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ehibamr\Downloads\"/>
    </mc:Choice>
  </mc:AlternateContent>
  <xr:revisionPtr revIDLastSave="0" documentId="13_ncr:1_{D1EE84C2-DBB6-4D69-852F-8F9E788BFD44}" xr6:coauthVersionLast="47" xr6:coauthVersionMax="47" xr10:uidLastSave="{00000000-0000-0000-0000-000000000000}"/>
  <bookViews>
    <workbookView xWindow="-38520" yWindow="-120" windowWidth="38640" windowHeight="21240" xr2:uid="{5EA1DA88-E9FB-4521-A55E-B04EDA6703B2}"/>
  </bookViews>
  <sheets>
    <sheet name="Revision" sheetId="4" r:id="rId1"/>
    <sheet name="User Guide" sheetId="5" r:id="rId2"/>
    <sheet name="TU863+_1x2116_Preg" sheetId="11" r:id="rId3"/>
    <sheet name="Tachyon100G_2x1078_Core" sheetId="10" r:id="rId4"/>
    <sheet name="SpeedWave300P_1x1035_Preg" sheetId="8" r:id="rId5"/>
  </sheets>
  <definedNames>
    <definedName name="Google_Sheet_Link_1785581074" localSheetId="4" hidden="1">_EMI_Filter</definedName>
    <definedName name="Google_Sheet_Link_1785581074" localSheetId="3" hidden="1">_EMI_Filter</definedName>
    <definedName name="Google_Sheet_Link_1785581074" localSheetId="2" hidden="1">_EMI_Filter</definedName>
    <definedName name="Google_Sheet_Link_1785581074" localSheetId="1" hidden="1">_EMI_Filter</definedName>
    <definedName name="Google_Sheet_Link_1785581074" hidden="1">_EMI_Filter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0" l="1"/>
  <c r="H3" i="8"/>
  <c r="H3" i="11"/>
  <c r="M2" i="11"/>
  <c r="M1" i="11"/>
  <c r="AQ14" i="8" l="1"/>
  <c r="M2" i="10"/>
  <c r="M1" i="10"/>
  <c r="A46" i="11"/>
  <c r="J46" i="11" s="1"/>
  <c r="S46" i="11" s="1"/>
  <c r="S45" i="11"/>
  <c r="J45" i="11"/>
  <c r="A45" i="11"/>
  <c r="S44" i="11"/>
  <c r="J44" i="11"/>
  <c r="A44" i="11"/>
  <c r="T27" i="11"/>
  <c r="K27" i="11"/>
  <c r="B27" i="11"/>
  <c r="T26" i="11"/>
  <c r="K26" i="11"/>
  <c r="B26" i="11"/>
  <c r="T25" i="11"/>
  <c r="K25" i="11"/>
  <c r="B25" i="11"/>
  <c r="Z24" i="11"/>
  <c r="Z45" i="11" s="1"/>
  <c r="Y24" i="11"/>
  <c r="Y45" i="11" s="1"/>
  <c r="X24" i="11"/>
  <c r="X45" i="11" s="1"/>
  <c r="W24" i="11"/>
  <c r="W45" i="11" s="1"/>
  <c r="V24" i="11"/>
  <c r="V45" i="11" s="1"/>
  <c r="U24" i="11"/>
  <c r="U45" i="11" s="1"/>
  <c r="T24" i="11"/>
  <c r="T45" i="11" s="1"/>
  <c r="S24" i="11"/>
  <c r="Q24" i="11"/>
  <c r="Q45" i="11" s="1"/>
  <c r="P24" i="11"/>
  <c r="P45" i="11" s="1"/>
  <c r="O24" i="11"/>
  <c r="O45" i="11" s="1"/>
  <c r="N24" i="11"/>
  <c r="N45" i="11" s="1"/>
  <c r="M24" i="11"/>
  <c r="M45" i="11" s="1"/>
  <c r="L24" i="11"/>
  <c r="L45" i="11" s="1"/>
  <c r="K24" i="11"/>
  <c r="K45" i="11" s="1"/>
  <c r="J24" i="11"/>
  <c r="H24" i="11"/>
  <c r="H45" i="11" s="1"/>
  <c r="G24" i="11"/>
  <c r="G45" i="11" s="1"/>
  <c r="F24" i="11"/>
  <c r="F45" i="11" s="1"/>
  <c r="E24" i="11"/>
  <c r="E45" i="11" s="1"/>
  <c r="D24" i="11"/>
  <c r="D45" i="11" s="1"/>
  <c r="C24" i="11"/>
  <c r="C45" i="11" s="1"/>
  <c r="B24" i="11"/>
  <c r="B45" i="11" s="1"/>
  <c r="A24" i="11"/>
  <c r="D21" i="11"/>
  <c r="M27" i="11" s="1"/>
  <c r="Z20" i="11"/>
  <c r="Y20" i="11"/>
  <c r="X20" i="11"/>
  <c r="X21" i="11" s="1"/>
  <c r="W20" i="11"/>
  <c r="W21" i="11" s="1"/>
  <c r="V20" i="11"/>
  <c r="V21" i="11" s="1"/>
  <c r="U20" i="11"/>
  <c r="U21" i="11" s="1"/>
  <c r="H20" i="11"/>
  <c r="G20" i="11"/>
  <c r="F20" i="11"/>
  <c r="E20" i="11"/>
  <c r="D20" i="11"/>
  <c r="C20" i="11"/>
  <c r="AL18" i="11"/>
  <c r="H15" i="11"/>
  <c r="G15" i="11"/>
  <c r="F15" i="11"/>
  <c r="E15" i="11"/>
  <c r="D15" i="11"/>
  <c r="C15" i="11"/>
  <c r="AL13" i="11"/>
  <c r="S27" i="11"/>
  <c r="S26" i="11"/>
  <c r="S25" i="11"/>
  <c r="AL8" i="11"/>
  <c r="AC7" i="11"/>
  <c r="AB6" i="11"/>
  <c r="AL3" i="11"/>
  <c r="AC3" i="11"/>
  <c r="AI3" i="11" s="1"/>
  <c r="AI4" i="11" s="1"/>
  <c r="AR2" i="11"/>
  <c r="AR5" i="11" s="1"/>
  <c r="AR6" i="11" s="1"/>
  <c r="AQ2" i="11"/>
  <c r="AQ15" i="11" s="1"/>
  <c r="AQ16" i="11" s="1"/>
  <c r="AP2" i="11"/>
  <c r="AP10" i="11" s="1"/>
  <c r="AP11" i="11" s="1"/>
  <c r="AM2" i="11"/>
  <c r="AM10" i="11" s="1"/>
  <c r="AM11" i="11" s="1"/>
  <c r="AI2" i="11"/>
  <c r="AI26" i="11" s="1"/>
  <c r="AH2" i="11"/>
  <c r="AG2" i="11"/>
  <c r="AD2" i="11"/>
  <c r="AD26" i="11" s="1"/>
  <c r="AK1" i="11"/>
  <c r="AB1" i="11"/>
  <c r="A18" i="10"/>
  <c r="A17" i="10"/>
  <c r="A16" i="10"/>
  <c r="A12" i="10"/>
  <c r="J27" i="10" s="1"/>
  <c r="A11" i="10"/>
  <c r="A10" i="10"/>
  <c r="S25" i="10" s="1"/>
  <c r="C15" i="10"/>
  <c r="D15" i="10"/>
  <c r="E15" i="10"/>
  <c r="F15" i="10"/>
  <c r="G15" i="10"/>
  <c r="H15" i="10"/>
  <c r="A46" i="10"/>
  <c r="J46" i="10" s="1"/>
  <c r="S46" i="10" s="1"/>
  <c r="T46" i="10" s="1"/>
  <c r="X46" i="10" s="1"/>
  <c r="S44" i="10"/>
  <c r="J44" i="10"/>
  <c r="A44" i="10"/>
  <c r="T27" i="10"/>
  <c r="K27" i="10"/>
  <c r="B27" i="10"/>
  <c r="T26" i="10"/>
  <c r="S26" i="10"/>
  <c r="K26" i="10"/>
  <c r="J26" i="10"/>
  <c r="B26" i="10"/>
  <c r="A26" i="10"/>
  <c r="T25" i="10"/>
  <c r="K25" i="10"/>
  <c r="J25" i="10"/>
  <c r="B25" i="10"/>
  <c r="Z24" i="10"/>
  <c r="Z45" i="10" s="1"/>
  <c r="Y24" i="10"/>
  <c r="Y45" i="10" s="1"/>
  <c r="X24" i="10"/>
  <c r="X45" i="10" s="1"/>
  <c r="W24" i="10"/>
  <c r="W45" i="10" s="1"/>
  <c r="V24" i="10"/>
  <c r="V45" i="10" s="1"/>
  <c r="U24" i="10"/>
  <c r="U45" i="10" s="1"/>
  <c r="T24" i="10"/>
  <c r="T45" i="10" s="1"/>
  <c r="S24" i="10"/>
  <c r="S45" i="10" s="1"/>
  <c r="Q24" i="10"/>
  <c r="Q45" i="10" s="1"/>
  <c r="P24" i="10"/>
  <c r="P45" i="10" s="1"/>
  <c r="O24" i="10"/>
  <c r="O45" i="10" s="1"/>
  <c r="N24" i="10"/>
  <c r="N45" i="10" s="1"/>
  <c r="M24" i="10"/>
  <c r="AE2" i="10" s="1"/>
  <c r="L24" i="10"/>
  <c r="AD2" i="10" s="1"/>
  <c r="K24" i="10"/>
  <c r="K45" i="10" s="1"/>
  <c r="J24" i="10"/>
  <c r="J45" i="10" s="1"/>
  <c r="H24" i="10"/>
  <c r="H45" i="10" s="1"/>
  <c r="G24" i="10"/>
  <c r="G45" i="10" s="1"/>
  <c r="F24" i="10"/>
  <c r="F45" i="10" s="1"/>
  <c r="E24" i="10"/>
  <c r="E45" i="10" s="1"/>
  <c r="D24" i="10"/>
  <c r="D45" i="10" s="1"/>
  <c r="C24" i="10"/>
  <c r="C45" i="10" s="1"/>
  <c r="B24" i="10"/>
  <c r="B45" i="10" s="1"/>
  <c r="A24" i="10"/>
  <c r="A45" i="10" s="1"/>
  <c r="Z20" i="10"/>
  <c r="Y20" i="10"/>
  <c r="X20" i="10"/>
  <c r="W20" i="10"/>
  <c r="W21" i="10" s="1"/>
  <c r="V20" i="10"/>
  <c r="V21" i="10" s="1"/>
  <c r="U20" i="10"/>
  <c r="H20" i="10"/>
  <c r="G20" i="10"/>
  <c r="F20" i="10"/>
  <c r="E20" i="10"/>
  <c r="E21" i="10" s="1"/>
  <c r="D20" i="10"/>
  <c r="C20" i="10"/>
  <c r="AL18" i="10"/>
  <c r="AL13" i="10"/>
  <c r="AL8" i="10"/>
  <c r="AC7" i="10"/>
  <c r="AB6" i="10"/>
  <c r="AL3" i="10"/>
  <c r="AC3" i="10"/>
  <c r="AQ2" i="10"/>
  <c r="AQ10" i="10" s="1"/>
  <c r="AQ11" i="10" s="1"/>
  <c r="AH2" i="10"/>
  <c r="AH26" i="10" s="1"/>
  <c r="AG2" i="10"/>
  <c r="AG26" i="10" s="1"/>
  <c r="AK1" i="10"/>
  <c r="AB1" i="10"/>
  <c r="AP14" i="8"/>
  <c r="AN9" i="8"/>
  <c r="AP4" i="8"/>
  <c r="AI7" i="8"/>
  <c r="AH7" i="8"/>
  <c r="AG7" i="8"/>
  <c r="AF7" i="8"/>
  <c r="AE7" i="8"/>
  <c r="AD7" i="8"/>
  <c r="V46" i="8"/>
  <c r="W46" i="8"/>
  <c r="X46" i="8"/>
  <c r="Y46" i="8"/>
  <c r="Z46" i="8"/>
  <c r="U46" i="8"/>
  <c r="L26" i="8"/>
  <c r="L27" i="8"/>
  <c r="T46" i="8"/>
  <c r="S44" i="8"/>
  <c r="S25" i="8"/>
  <c r="S26" i="8"/>
  <c r="S27" i="8"/>
  <c r="U24" i="8"/>
  <c r="V24" i="8"/>
  <c r="W24" i="8"/>
  <c r="X24" i="8"/>
  <c r="X45" i="8" s="1"/>
  <c r="Y24" i="8"/>
  <c r="Y45" i="8" s="1"/>
  <c r="Z24" i="8"/>
  <c r="Z45" i="8" s="1"/>
  <c r="T24" i="8"/>
  <c r="T45" i="8" s="1"/>
  <c r="S24" i="8"/>
  <c r="S46" i="8"/>
  <c r="W45" i="8"/>
  <c r="V45" i="8"/>
  <c r="U45" i="8"/>
  <c r="S45" i="8"/>
  <c r="V25" i="8"/>
  <c r="W25" i="8"/>
  <c r="X25" i="8"/>
  <c r="Y25" i="8"/>
  <c r="Z25" i="8"/>
  <c r="V26" i="8"/>
  <c r="W26" i="8"/>
  <c r="X26" i="8"/>
  <c r="Y26" i="8"/>
  <c r="Z26" i="8"/>
  <c r="V27" i="8"/>
  <c r="W27" i="8"/>
  <c r="X27" i="8"/>
  <c r="Y27" i="8"/>
  <c r="Z27" i="8"/>
  <c r="U26" i="8"/>
  <c r="U27" i="8"/>
  <c r="T26" i="8"/>
  <c r="T27" i="8"/>
  <c r="T25" i="8"/>
  <c r="U25" i="8"/>
  <c r="V20" i="8"/>
  <c r="W20" i="8"/>
  <c r="X20" i="8"/>
  <c r="X21" i="8" s="1"/>
  <c r="Y20" i="8"/>
  <c r="Y21" i="8" s="1"/>
  <c r="Z20" i="8"/>
  <c r="V21" i="8"/>
  <c r="W21" i="8"/>
  <c r="Z21" i="8"/>
  <c r="U20" i="8"/>
  <c r="U21" i="8" s="1"/>
  <c r="A46" i="8"/>
  <c r="J46" i="8" s="1"/>
  <c r="J44" i="8"/>
  <c r="A44" i="8"/>
  <c r="K27" i="8"/>
  <c r="B27" i="8"/>
  <c r="K26" i="8"/>
  <c r="B26" i="8"/>
  <c r="K25" i="8"/>
  <c r="B25" i="8"/>
  <c r="Q24" i="8"/>
  <c r="Q45" i="8" s="1"/>
  <c r="P24" i="8"/>
  <c r="AH2" i="8" s="1"/>
  <c r="AH26" i="8" s="1"/>
  <c r="O24" i="8"/>
  <c r="O45" i="8" s="1"/>
  <c r="N24" i="8"/>
  <c r="AO2" i="8" s="1"/>
  <c r="M24" i="8"/>
  <c r="AN2" i="8" s="1"/>
  <c r="AN5" i="8" s="1"/>
  <c r="AN6" i="8" s="1"/>
  <c r="L24" i="8"/>
  <c r="L45" i="8" s="1"/>
  <c r="K24" i="8"/>
  <c r="K45" i="8" s="1"/>
  <c r="J24" i="8"/>
  <c r="J45" i="8" s="1"/>
  <c r="H24" i="8"/>
  <c r="H45" i="8" s="1"/>
  <c r="G24" i="8"/>
  <c r="G45" i="8" s="1"/>
  <c r="F24" i="8"/>
  <c r="F45" i="8" s="1"/>
  <c r="E24" i="8"/>
  <c r="E45" i="8" s="1"/>
  <c r="D24" i="8"/>
  <c r="D45" i="8" s="1"/>
  <c r="C24" i="8"/>
  <c r="C45" i="8" s="1"/>
  <c r="B24" i="8"/>
  <c r="B45" i="8" s="1"/>
  <c r="A24" i="8"/>
  <c r="A45" i="8" s="1"/>
  <c r="AL18" i="8"/>
  <c r="H20" i="8"/>
  <c r="G20" i="8"/>
  <c r="G21" i="8" s="1"/>
  <c r="F20" i="8"/>
  <c r="E20" i="8"/>
  <c r="D20" i="8"/>
  <c r="D21" i="8" s="1"/>
  <c r="C20" i="8"/>
  <c r="C21" i="8" s="1"/>
  <c r="H15" i="8"/>
  <c r="G15" i="8"/>
  <c r="F15" i="8"/>
  <c r="E15" i="8"/>
  <c r="D15" i="8"/>
  <c r="C15" i="8"/>
  <c r="AL13" i="8"/>
  <c r="J27" i="8"/>
  <c r="K46" i="8"/>
  <c r="AL8" i="8"/>
  <c r="AC7" i="8"/>
  <c r="AB6" i="8"/>
  <c r="AL3" i="8"/>
  <c r="AC3" i="8"/>
  <c r="AK1" i="8"/>
  <c r="AB1" i="8"/>
  <c r="C6" i="4"/>
  <c r="W46" i="10" l="1"/>
  <c r="Z46" i="10"/>
  <c r="V46" i="10"/>
  <c r="AN4" i="10" s="1"/>
  <c r="U46" i="10"/>
  <c r="Y46" i="10"/>
  <c r="AN14" i="8"/>
  <c r="AR19" i="8"/>
  <c r="AQ19" i="8"/>
  <c r="AO4" i="8"/>
  <c r="AM14" i="8"/>
  <c r="AO14" i="8"/>
  <c r="AN4" i="8"/>
  <c r="AM19" i="8"/>
  <c r="AM9" i="8"/>
  <c r="AR9" i="8"/>
  <c r="AM4" i="8"/>
  <c r="AQ9" i="8"/>
  <c r="AP19" i="8"/>
  <c r="AR4" i="8"/>
  <c r="AP9" i="8"/>
  <c r="AO19" i="8"/>
  <c r="AQ4" i="8"/>
  <c r="AO9" i="8"/>
  <c r="AR14" i="8"/>
  <c r="AN19" i="8"/>
  <c r="AG3" i="11"/>
  <c r="AG4" i="11" s="1"/>
  <c r="AH3" i="11"/>
  <c r="AH4" i="11" s="1"/>
  <c r="V27" i="11"/>
  <c r="AQ10" i="11"/>
  <c r="AQ11" i="11" s="1"/>
  <c r="AO2" i="11"/>
  <c r="AO10" i="11" s="1"/>
  <c r="AO11" i="11" s="1"/>
  <c r="AN2" i="11"/>
  <c r="AN10" i="11" s="1"/>
  <c r="AN11" i="11" s="1"/>
  <c r="AE2" i="11"/>
  <c r="AF2" i="11"/>
  <c r="AF3" i="11" s="1"/>
  <c r="AF4" i="11" s="1"/>
  <c r="U27" i="11"/>
  <c r="D27" i="11"/>
  <c r="AR10" i="11"/>
  <c r="AR11" i="11" s="1"/>
  <c r="AM20" i="11"/>
  <c r="AM21" i="11" s="1"/>
  <c r="E21" i="11"/>
  <c r="Y21" i="11"/>
  <c r="Y27" i="11" s="1"/>
  <c r="U25" i="11"/>
  <c r="U26" i="11"/>
  <c r="AF26" i="11"/>
  <c r="E27" i="11"/>
  <c r="N27" i="11"/>
  <c r="W27" i="11"/>
  <c r="B46" i="11"/>
  <c r="K46" i="11"/>
  <c r="T46" i="11"/>
  <c r="U46" i="11" s="1"/>
  <c r="AM19" i="11" s="1"/>
  <c r="AM5" i="11"/>
  <c r="AM6" i="11" s="1"/>
  <c r="AN20" i="11"/>
  <c r="AN21" i="11" s="1"/>
  <c r="F21" i="11"/>
  <c r="F27" i="11" s="1"/>
  <c r="Z21" i="11"/>
  <c r="Z27" i="11" s="1"/>
  <c r="D25" i="11"/>
  <c r="M25" i="11"/>
  <c r="V25" i="11"/>
  <c r="D26" i="11"/>
  <c r="M26" i="11"/>
  <c r="V26" i="11"/>
  <c r="AG26" i="11"/>
  <c r="O27" i="11"/>
  <c r="X27" i="11"/>
  <c r="AD3" i="11"/>
  <c r="AD4" i="11" s="1"/>
  <c r="AN5" i="11"/>
  <c r="AN6" i="11" s="1"/>
  <c r="AM15" i="11"/>
  <c r="AM16" i="11" s="1"/>
  <c r="G21" i="11"/>
  <c r="P27" i="11" s="1"/>
  <c r="E25" i="11"/>
  <c r="N25" i="11"/>
  <c r="W25" i="11"/>
  <c r="E26" i="11"/>
  <c r="N26" i="11"/>
  <c r="W26" i="11"/>
  <c r="AH26" i="11"/>
  <c r="AO5" i="11"/>
  <c r="AO6" i="11" s="1"/>
  <c r="AN15" i="11"/>
  <c r="AN16" i="11" s="1"/>
  <c r="AP20" i="11"/>
  <c r="AP21" i="11" s="1"/>
  <c r="H21" i="11"/>
  <c r="Q26" i="11" s="1"/>
  <c r="X25" i="11"/>
  <c r="F26" i="11"/>
  <c r="X26" i="11"/>
  <c r="W46" i="11"/>
  <c r="AO4" i="11" s="1"/>
  <c r="AR15" i="11"/>
  <c r="AR16" i="11" s="1"/>
  <c r="AP5" i="11"/>
  <c r="AP6" i="11" s="1"/>
  <c r="AO15" i="11"/>
  <c r="AO16" i="11" s="1"/>
  <c r="AQ20" i="11"/>
  <c r="AQ21" i="11" s="1"/>
  <c r="A27" i="11"/>
  <c r="J27" i="11"/>
  <c r="AQ5" i="11"/>
  <c r="AQ6" i="11" s="1"/>
  <c r="AP15" i="11"/>
  <c r="AP16" i="11" s="1"/>
  <c r="AR20" i="11"/>
  <c r="AR21" i="11" s="1"/>
  <c r="Z25" i="11"/>
  <c r="C21" i="11"/>
  <c r="L26" i="11" s="1"/>
  <c r="A25" i="11"/>
  <c r="J25" i="11"/>
  <c r="A26" i="11"/>
  <c r="J26" i="11"/>
  <c r="A25" i="10"/>
  <c r="S27" i="10"/>
  <c r="AM2" i="10"/>
  <c r="AM15" i="10" s="1"/>
  <c r="AM16" i="10" s="1"/>
  <c r="A27" i="10"/>
  <c r="E27" i="10"/>
  <c r="AI2" i="10"/>
  <c r="AI3" i="10" s="1"/>
  <c r="AI4" i="10" s="1"/>
  <c r="AR2" i="10"/>
  <c r="AR20" i="10" s="1"/>
  <c r="AR21" i="10" s="1"/>
  <c r="K46" i="10"/>
  <c r="B46" i="10"/>
  <c r="E46" i="10" s="1"/>
  <c r="AH3" i="10"/>
  <c r="AH4" i="10" s="1"/>
  <c r="AN2" i="10"/>
  <c r="AO2" i="10"/>
  <c r="AO20" i="10" s="1"/>
  <c r="AO21" i="10" s="1"/>
  <c r="M45" i="10"/>
  <c r="AG3" i="10"/>
  <c r="AG4" i="10" s="1"/>
  <c r="Y21" i="10"/>
  <c r="AP2" i="10"/>
  <c r="AF2" i="10"/>
  <c r="AD26" i="10"/>
  <c r="AD3" i="10"/>
  <c r="AM10" i="10"/>
  <c r="AM11" i="10" s="1"/>
  <c r="AM5" i="10"/>
  <c r="AM6" i="10" s="1"/>
  <c r="D21" i="10"/>
  <c r="D25" i="10" s="1"/>
  <c r="X21" i="10"/>
  <c r="AE26" i="10"/>
  <c r="V27" i="10"/>
  <c r="AM20" i="10"/>
  <c r="AM21" i="10" s="1"/>
  <c r="AE3" i="10"/>
  <c r="AE4" i="10" s="1"/>
  <c r="AN10" i="10"/>
  <c r="AN11" i="10" s="1"/>
  <c r="AQ15" i="10"/>
  <c r="AQ16" i="10" s="1"/>
  <c r="AN20" i="10"/>
  <c r="AN21" i="10" s="1"/>
  <c r="F21" i="10"/>
  <c r="O25" i="10" s="1"/>
  <c r="Z21" i="10"/>
  <c r="AR4" i="10" s="1"/>
  <c r="V25" i="10"/>
  <c r="D26" i="10"/>
  <c r="M26" i="10"/>
  <c r="V26" i="10"/>
  <c r="L45" i="10"/>
  <c r="AP5" i="10"/>
  <c r="AP6" i="10" s="1"/>
  <c r="G21" i="10"/>
  <c r="G26" i="10" s="1"/>
  <c r="E25" i="10"/>
  <c r="N25" i="10"/>
  <c r="W25" i="10"/>
  <c r="E26" i="10"/>
  <c r="N26" i="10"/>
  <c r="W26" i="10"/>
  <c r="N27" i="10"/>
  <c r="W27" i="10"/>
  <c r="AQ5" i="10"/>
  <c r="AQ6" i="10" s="1"/>
  <c r="AP10" i="10"/>
  <c r="AP11" i="10" s="1"/>
  <c r="H21" i="10"/>
  <c r="AI26" i="10"/>
  <c r="AQ20" i="10"/>
  <c r="AQ21" i="10" s="1"/>
  <c r="U21" i="10"/>
  <c r="G25" i="10"/>
  <c r="AD4" i="10"/>
  <c r="C21" i="10"/>
  <c r="AI2" i="8"/>
  <c r="AM2" i="8"/>
  <c r="AM5" i="8" s="1"/>
  <c r="AM6" i="8" s="1"/>
  <c r="AD2" i="8"/>
  <c r="AD26" i="8" s="1"/>
  <c r="AE2" i="8"/>
  <c r="AE3" i="8" s="1"/>
  <c r="AE4" i="8" s="1"/>
  <c r="AR2" i="8"/>
  <c r="AR15" i="8" s="1"/>
  <c r="AR16" i="8" s="1"/>
  <c r="AQ2" i="8"/>
  <c r="P27" i="8"/>
  <c r="P45" i="8"/>
  <c r="AP2" i="8"/>
  <c r="AP5" i="8" s="1"/>
  <c r="AP6" i="8" s="1"/>
  <c r="M45" i="8"/>
  <c r="H21" i="8"/>
  <c r="Q27" i="8" s="1"/>
  <c r="P46" i="8"/>
  <c r="M46" i="8"/>
  <c r="L46" i="8"/>
  <c r="AI26" i="8"/>
  <c r="AI3" i="8"/>
  <c r="AI4" i="8" s="1"/>
  <c r="AN10" i="8"/>
  <c r="AN11" i="8" s="1"/>
  <c r="AN15" i="8"/>
  <c r="AN16" i="8" s="1"/>
  <c r="AN20" i="8"/>
  <c r="AN21" i="8" s="1"/>
  <c r="J26" i="8"/>
  <c r="A26" i="8"/>
  <c r="AO15" i="8"/>
  <c r="AO16" i="8" s="1"/>
  <c r="AO5" i="8"/>
  <c r="AO6" i="8" s="1"/>
  <c r="AO10" i="8"/>
  <c r="AO11" i="8" s="1"/>
  <c r="AO20" i="8"/>
  <c r="AO21" i="8" s="1"/>
  <c r="AH3" i="8"/>
  <c r="AH4" i="8" s="1"/>
  <c r="AQ10" i="8"/>
  <c r="AQ11" i="8" s="1"/>
  <c r="A25" i="8"/>
  <c r="J25" i="8"/>
  <c r="A27" i="8"/>
  <c r="G25" i="8"/>
  <c r="P25" i="8"/>
  <c r="G26" i="8"/>
  <c r="P26" i="8"/>
  <c r="G27" i="8"/>
  <c r="AF2" i="8"/>
  <c r="AG2" i="8"/>
  <c r="B46" i="8"/>
  <c r="C25" i="8"/>
  <c r="L25" i="8"/>
  <c r="C26" i="8"/>
  <c r="C27" i="8"/>
  <c r="D25" i="8"/>
  <c r="M25" i="8"/>
  <c r="D26" i="8"/>
  <c r="M26" i="8"/>
  <c r="D27" i="8"/>
  <c r="M27" i="8"/>
  <c r="E21" i="8"/>
  <c r="N27" i="8" s="1"/>
  <c r="N45" i="8"/>
  <c r="F21" i="8"/>
  <c r="O25" i="8" s="1"/>
  <c r="Q46" i="10" l="1"/>
  <c r="L46" i="10"/>
  <c r="M46" i="10"/>
  <c r="N46" i="10"/>
  <c r="AO18" i="10" s="1"/>
  <c r="AO22" i="10" s="1"/>
  <c r="O46" i="10"/>
  <c r="P46" i="10"/>
  <c r="Z46" i="11"/>
  <c r="Y26" i="11"/>
  <c r="Z26" i="11"/>
  <c r="Y25" i="11"/>
  <c r="AO14" i="11"/>
  <c r="AE3" i="11"/>
  <c r="AE4" i="11" s="1"/>
  <c r="AE26" i="11"/>
  <c r="AO20" i="11"/>
  <c r="AO21" i="11" s="1"/>
  <c r="O25" i="11"/>
  <c r="F25" i="11"/>
  <c r="P26" i="11"/>
  <c r="G26" i="11"/>
  <c r="L27" i="11"/>
  <c r="G27" i="11"/>
  <c r="Y46" i="11"/>
  <c r="AQ14" i="11" s="1"/>
  <c r="V46" i="11"/>
  <c r="O26" i="11"/>
  <c r="C46" i="11"/>
  <c r="AR19" i="11"/>
  <c r="AR4" i="11"/>
  <c r="AR9" i="11"/>
  <c r="AR14" i="11"/>
  <c r="Q46" i="11"/>
  <c r="AI7" i="11" s="1"/>
  <c r="P46" i="11"/>
  <c r="O46" i="11"/>
  <c r="N46" i="11"/>
  <c r="M46" i="11"/>
  <c r="L46" i="11"/>
  <c r="AD5" i="11" s="1"/>
  <c r="AD8" i="11" s="1"/>
  <c r="AD9" i="11" s="1"/>
  <c r="C26" i="11"/>
  <c r="H25" i="11"/>
  <c r="L25" i="11"/>
  <c r="AM14" i="11"/>
  <c r="E46" i="11"/>
  <c r="C25" i="11"/>
  <c r="Q25" i="11"/>
  <c r="H46" i="11"/>
  <c r="AO9" i="11"/>
  <c r="X46" i="11"/>
  <c r="H26" i="11"/>
  <c r="P25" i="11"/>
  <c r="D46" i="11"/>
  <c r="G46" i="11"/>
  <c r="H27" i="11"/>
  <c r="AM9" i="11"/>
  <c r="AD7" i="11"/>
  <c r="AM4" i="11"/>
  <c r="F46" i="11"/>
  <c r="G25" i="11"/>
  <c r="C27" i="11"/>
  <c r="AO19" i="11"/>
  <c r="Q27" i="11"/>
  <c r="Y25" i="10"/>
  <c r="X25" i="10"/>
  <c r="Y27" i="10"/>
  <c r="Y26" i="10"/>
  <c r="X26" i="10"/>
  <c r="Z26" i="10"/>
  <c r="Z25" i="10"/>
  <c r="AN9" i="10"/>
  <c r="AR10" i="10"/>
  <c r="AR11" i="10" s="1"/>
  <c r="AR15" i="10"/>
  <c r="AR16" i="10" s="1"/>
  <c r="M25" i="10"/>
  <c r="M27" i="10"/>
  <c r="AR5" i="10"/>
  <c r="AR6" i="10" s="1"/>
  <c r="AQ19" i="10"/>
  <c r="AQ4" i="10"/>
  <c r="AQ14" i="10"/>
  <c r="AO13" i="10"/>
  <c r="AO17" i="10" s="1"/>
  <c r="H27" i="10"/>
  <c r="AO3" i="10"/>
  <c r="AO7" i="10" s="1"/>
  <c r="Q25" i="10"/>
  <c r="H25" i="10"/>
  <c r="D46" i="10"/>
  <c r="AN18" i="10" s="1"/>
  <c r="AN14" i="10"/>
  <c r="H26" i="10"/>
  <c r="Z27" i="10"/>
  <c r="D27" i="10"/>
  <c r="F27" i="10"/>
  <c r="O27" i="10"/>
  <c r="AO10" i="10"/>
  <c r="AO11" i="10" s="1"/>
  <c r="AN15" i="10"/>
  <c r="AN16" i="10" s="1"/>
  <c r="AN5" i="10"/>
  <c r="AN6" i="10" s="1"/>
  <c r="F26" i="10"/>
  <c r="AO5" i="10"/>
  <c r="AO6" i="10" s="1"/>
  <c r="AQ9" i="10"/>
  <c r="AP20" i="10"/>
  <c r="AP21" i="10" s="1"/>
  <c r="AP15" i="10"/>
  <c r="AP16" i="10" s="1"/>
  <c r="AF7" i="10"/>
  <c r="AF3" i="10"/>
  <c r="AF4" i="10" s="1"/>
  <c r="AF26" i="10"/>
  <c r="AO14" i="10"/>
  <c r="P27" i="10"/>
  <c r="X27" i="10"/>
  <c r="AO15" i="10"/>
  <c r="AO16" i="10" s="1"/>
  <c r="AP14" i="10"/>
  <c r="AP19" i="10"/>
  <c r="AP9" i="10"/>
  <c r="AP4" i="10"/>
  <c r="AM4" i="10"/>
  <c r="AM9" i="10"/>
  <c r="AM19" i="10"/>
  <c r="AM14" i="10"/>
  <c r="C25" i="10"/>
  <c r="L25" i="10"/>
  <c r="C26" i="10"/>
  <c r="L26" i="10"/>
  <c r="P25" i="10"/>
  <c r="AO8" i="10"/>
  <c r="AN19" i="10"/>
  <c r="G46" i="10"/>
  <c r="AO9" i="10"/>
  <c r="AR9" i="10"/>
  <c r="F46" i="10"/>
  <c r="G27" i="10"/>
  <c r="H46" i="10"/>
  <c r="AE7" i="10"/>
  <c r="O26" i="10"/>
  <c r="AO4" i="10"/>
  <c r="AO19" i="10"/>
  <c r="P26" i="10"/>
  <c r="F25" i="10"/>
  <c r="AR14" i="10"/>
  <c r="U26" i="10"/>
  <c r="U25" i="10"/>
  <c r="AF5" i="10"/>
  <c r="L27" i="10"/>
  <c r="Q26" i="10"/>
  <c r="Q27" i="10"/>
  <c r="AR19" i="10"/>
  <c r="C46" i="10"/>
  <c r="C27" i="10"/>
  <c r="U27" i="10"/>
  <c r="AM15" i="8"/>
  <c r="AM16" i="8" s="1"/>
  <c r="AM10" i="8"/>
  <c r="AM11" i="8" s="1"/>
  <c r="AM20" i="8"/>
  <c r="AM21" i="8" s="1"/>
  <c r="AD3" i="8"/>
  <c r="AD4" i="8" s="1"/>
  <c r="AE26" i="8"/>
  <c r="AP15" i="8"/>
  <c r="AP16" i="8" s="1"/>
  <c r="AP10" i="8"/>
  <c r="AP11" i="8" s="1"/>
  <c r="AP20" i="8"/>
  <c r="AP21" i="8" s="1"/>
  <c r="AQ15" i="8"/>
  <c r="AQ16" i="8" s="1"/>
  <c r="AQ20" i="8"/>
  <c r="AQ21" i="8" s="1"/>
  <c r="AQ5" i="8"/>
  <c r="AQ6" i="8" s="1"/>
  <c r="AR10" i="8"/>
  <c r="AR11" i="8" s="1"/>
  <c r="AR5" i="8"/>
  <c r="AR6" i="8" s="1"/>
  <c r="AR20" i="8"/>
  <c r="AR21" i="8" s="1"/>
  <c r="H46" i="8"/>
  <c r="E27" i="8"/>
  <c r="O27" i="8"/>
  <c r="N25" i="8"/>
  <c r="N26" i="8"/>
  <c r="F26" i="8"/>
  <c r="F27" i="8"/>
  <c r="D46" i="8"/>
  <c r="N46" i="8"/>
  <c r="H25" i="8"/>
  <c r="AG26" i="8"/>
  <c r="AG3" i="8"/>
  <c r="AG4" i="8" s="1"/>
  <c r="E26" i="8"/>
  <c r="AF3" i="8"/>
  <c r="AF4" i="8" s="1"/>
  <c r="AF26" i="8"/>
  <c r="F46" i="8"/>
  <c r="E46" i="8"/>
  <c r="O46" i="8"/>
  <c r="Q25" i="8"/>
  <c r="H26" i="8"/>
  <c r="F25" i="8"/>
  <c r="E25" i="8"/>
  <c r="Q46" i="8"/>
  <c r="Q26" i="8"/>
  <c r="O26" i="8"/>
  <c r="H27" i="8"/>
  <c r="C46" i="8"/>
  <c r="G46" i="8"/>
  <c r="AE5" i="10" l="1"/>
  <c r="AE8" i="10" s="1"/>
  <c r="AE9" i="10" s="1"/>
  <c r="AE10" i="10" s="1"/>
  <c r="AN8" i="10"/>
  <c r="AN13" i="10"/>
  <c r="AQ9" i="11"/>
  <c r="AE7" i="11"/>
  <c r="AH7" i="11"/>
  <c r="AD10" i="11"/>
  <c r="AF7" i="11"/>
  <c r="AN14" i="11"/>
  <c r="AN19" i="11"/>
  <c r="AQ19" i="11"/>
  <c r="AN9" i="11"/>
  <c r="AQ4" i="11"/>
  <c r="AN4" i="11"/>
  <c r="AM8" i="11"/>
  <c r="AM18" i="11"/>
  <c r="AG5" i="11"/>
  <c r="AG8" i="11" s="1"/>
  <c r="AG9" i="11" s="1"/>
  <c r="AP8" i="11"/>
  <c r="AP3" i="11"/>
  <c r="AP13" i="11"/>
  <c r="AP18" i="11"/>
  <c r="AP14" i="11"/>
  <c r="AG7" i="11"/>
  <c r="AP4" i="11"/>
  <c r="AP19" i="11"/>
  <c r="AP9" i="11"/>
  <c r="AM13" i="11"/>
  <c r="AQ8" i="11"/>
  <c r="AQ3" i="11"/>
  <c r="AH5" i="11"/>
  <c r="AH8" i="11" s="1"/>
  <c r="AH9" i="11" s="1"/>
  <c r="AQ18" i="11"/>
  <c r="AQ13" i="11"/>
  <c r="AM3" i="11"/>
  <c r="AF5" i="11"/>
  <c r="AF8" i="11" s="1"/>
  <c r="AF9" i="11" s="1"/>
  <c r="AF10" i="11" s="1"/>
  <c r="AO8" i="11"/>
  <c r="AO13" i="11"/>
  <c r="AO3" i="11"/>
  <c r="AO18" i="11"/>
  <c r="AE5" i="11"/>
  <c r="AE8" i="11" s="1"/>
  <c r="AE9" i="11" s="1"/>
  <c r="AE10" i="11" s="1"/>
  <c r="AN18" i="11"/>
  <c r="AN3" i="11"/>
  <c r="AN8" i="11"/>
  <c r="AN13" i="11"/>
  <c r="AR3" i="11"/>
  <c r="AR8" i="11"/>
  <c r="AI5" i="11"/>
  <c r="AI8" i="11" s="1"/>
  <c r="AI9" i="11" s="1"/>
  <c r="AI10" i="11" s="1"/>
  <c r="AR13" i="11"/>
  <c r="AR18" i="11"/>
  <c r="AN3" i="10"/>
  <c r="AN7" i="10" s="1"/>
  <c r="AE27" i="10" s="1"/>
  <c r="AF8" i="10"/>
  <c r="AF9" i="10" s="1"/>
  <c r="AF10" i="10" s="1"/>
  <c r="AD7" i="10"/>
  <c r="AF27" i="10"/>
  <c r="AF29" i="10"/>
  <c r="AF30" i="10"/>
  <c r="AN17" i="10"/>
  <c r="AE29" i="10" s="1"/>
  <c r="AM13" i="10"/>
  <c r="AD5" i="10"/>
  <c r="AD8" i="10" s="1"/>
  <c r="AD9" i="10" s="1"/>
  <c r="AM18" i="10"/>
  <c r="AM3" i="10"/>
  <c r="AM8" i="10"/>
  <c r="AN12" i="10"/>
  <c r="AE28" i="10" s="1"/>
  <c r="AI5" i="10"/>
  <c r="AI8" i="10" s="1"/>
  <c r="AI9" i="10" s="1"/>
  <c r="AR3" i="10"/>
  <c r="AR13" i="10"/>
  <c r="AI7" i="10"/>
  <c r="AR8" i="10"/>
  <c r="AR18" i="10"/>
  <c r="AQ18" i="10"/>
  <c r="AQ8" i="10"/>
  <c r="AH5" i="10"/>
  <c r="AH8" i="10" s="1"/>
  <c r="AH9" i="10" s="1"/>
  <c r="AQ3" i="10"/>
  <c r="AQ13" i="10"/>
  <c r="AH7" i="10"/>
  <c r="AG5" i="10"/>
  <c r="AG8" i="10" s="1"/>
  <c r="AG9" i="10" s="1"/>
  <c r="AP3" i="10"/>
  <c r="AP13" i="10"/>
  <c r="AP8" i="10"/>
  <c r="AP18" i="10"/>
  <c r="AO12" i="10"/>
  <c r="AF28" i="10" s="1"/>
  <c r="AN22" i="10"/>
  <c r="AE30" i="10" s="1"/>
  <c r="AG7" i="10"/>
  <c r="AI5" i="8"/>
  <c r="AI8" i="8" s="1"/>
  <c r="AI9" i="8" s="1"/>
  <c r="AR18" i="8"/>
  <c r="AR22" i="8" s="1"/>
  <c r="AI30" i="8" s="1"/>
  <c r="AR8" i="8"/>
  <c r="AR12" i="8" s="1"/>
  <c r="AI28" i="8" s="1"/>
  <c r="AD5" i="8"/>
  <c r="AD8" i="8" s="1"/>
  <c r="AD9" i="8" s="1"/>
  <c r="AM3" i="8"/>
  <c r="AM13" i="8"/>
  <c r="AM8" i="8"/>
  <c r="AM18" i="8"/>
  <c r="AF5" i="8"/>
  <c r="AF8" i="8" s="1"/>
  <c r="AF9" i="8" s="1"/>
  <c r="AO13" i="8"/>
  <c r="AO18" i="8"/>
  <c r="AO3" i="8"/>
  <c r="AO8" i="8"/>
  <c r="AR13" i="8"/>
  <c r="AP3" i="8"/>
  <c r="AG5" i="8"/>
  <c r="AG8" i="8" s="1"/>
  <c r="AG9" i="8" s="1"/>
  <c r="AP13" i="8"/>
  <c r="AP8" i="8"/>
  <c r="AP18" i="8"/>
  <c r="AR3" i="8"/>
  <c r="AH5" i="8"/>
  <c r="AH8" i="8" s="1"/>
  <c r="AH9" i="8" s="1"/>
  <c r="AQ3" i="8"/>
  <c r="AQ18" i="8"/>
  <c r="AQ8" i="8"/>
  <c r="AQ13" i="8"/>
  <c r="AE5" i="8"/>
  <c r="AE8" i="8" s="1"/>
  <c r="AE9" i="8" s="1"/>
  <c r="AN3" i="8"/>
  <c r="AN13" i="8"/>
  <c r="AN18" i="8"/>
  <c r="AN8" i="8"/>
  <c r="AH10" i="11" l="1"/>
  <c r="AG10" i="11"/>
  <c r="AO17" i="11"/>
  <c r="AF29" i="11" s="1"/>
  <c r="AQ12" i="11"/>
  <c r="AH28" i="11" s="1"/>
  <c r="AP17" i="11"/>
  <c r="AG29" i="11" s="1"/>
  <c r="AO22" i="11"/>
  <c r="AF30" i="11" s="1"/>
  <c r="AR7" i="11"/>
  <c r="AI27" i="11" s="1"/>
  <c r="AN17" i="11"/>
  <c r="AE29" i="11" s="1"/>
  <c r="AO12" i="11"/>
  <c r="AF28" i="11" s="1"/>
  <c r="AM17" i="11"/>
  <c r="AD29" i="11" s="1"/>
  <c r="AP7" i="11"/>
  <c r="AG27" i="11" s="1"/>
  <c r="AQ7" i="11"/>
  <c r="AH27" i="11" s="1"/>
  <c r="AN12" i="11"/>
  <c r="AE28" i="11" s="1"/>
  <c r="AP12" i="11"/>
  <c r="AG28" i="11" s="1"/>
  <c r="AO7" i="11"/>
  <c r="AF27" i="11" s="1"/>
  <c r="AP22" i="11"/>
  <c r="AG30" i="11" s="1"/>
  <c r="AM7" i="11"/>
  <c r="AD27" i="11" s="1"/>
  <c r="AR22" i="11"/>
  <c r="AI30" i="11" s="1"/>
  <c r="AN22" i="11"/>
  <c r="AE30" i="11" s="1"/>
  <c r="AQ17" i="11"/>
  <c r="AH29" i="11" s="1"/>
  <c r="AM22" i="11"/>
  <c r="AD30" i="11" s="1"/>
  <c r="AR12" i="11"/>
  <c r="AI28" i="11" s="1"/>
  <c r="AN7" i="11"/>
  <c r="AE27" i="11" s="1"/>
  <c r="AR17" i="11"/>
  <c r="AI29" i="11" s="1"/>
  <c r="AQ22" i="11"/>
  <c r="AH30" i="11" s="1"/>
  <c r="AM12" i="11"/>
  <c r="AD28" i="11" s="1"/>
  <c r="AD10" i="10"/>
  <c r="AG10" i="10"/>
  <c r="AI10" i="10"/>
  <c r="AH10" i="10"/>
  <c r="AM12" i="10"/>
  <c r="AD28" i="10" s="1"/>
  <c r="AQ17" i="10"/>
  <c r="AH29" i="10" s="1"/>
  <c r="AR17" i="10"/>
  <c r="AI29" i="10" s="1"/>
  <c r="AM7" i="10"/>
  <c r="AD27" i="10" s="1"/>
  <c r="AQ7" i="10"/>
  <c r="AH27" i="10" s="1"/>
  <c r="AR7" i="10"/>
  <c r="AI27" i="10" s="1"/>
  <c r="AM22" i="10"/>
  <c r="AD30" i="10" s="1"/>
  <c r="AP22" i="10"/>
  <c r="AG30" i="10" s="1"/>
  <c r="AP12" i="10"/>
  <c r="AG28" i="10" s="1"/>
  <c r="AQ12" i="10"/>
  <c r="AH28" i="10" s="1"/>
  <c r="AM17" i="10"/>
  <c r="AD29" i="10" s="1"/>
  <c r="AR12" i="10"/>
  <c r="AI28" i="10" s="1"/>
  <c r="AP17" i="10"/>
  <c r="AG29" i="10" s="1"/>
  <c r="AQ22" i="10"/>
  <c r="AH30" i="10" s="1"/>
  <c r="AP7" i="10"/>
  <c r="AG27" i="10" s="1"/>
  <c r="AR22" i="10"/>
  <c r="AI30" i="10" s="1"/>
  <c r="AI10" i="8"/>
  <c r="AG10" i="8"/>
  <c r="AF10" i="8"/>
  <c r="AE10" i="8"/>
  <c r="AO12" i="8"/>
  <c r="AF28" i="8" s="1"/>
  <c r="AO22" i="8"/>
  <c r="AF30" i="8" s="1"/>
  <c r="AM22" i="8"/>
  <c r="AD30" i="8" s="1"/>
  <c r="AQ17" i="8"/>
  <c r="AH29" i="8" s="1"/>
  <c r="AQ12" i="8"/>
  <c r="AH28" i="8" s="1"/>
  <c r="AP17" i="8"/>
  <c r="AG29" i="8" s="1"/>
  <c r="AO17" i="8"/>
  <c r="AF29" i="8" s="1"/>
  <c r="AM12" i="8"/>
  <c r="AD28" i="8" s="1"/>
  <c r="AO7" i="8"/>
  <c r="AF27" i="8" s="1"/>
  <c r="AP12" i="8"/>
  <c r="AG28" i="8" s="1"/>
  <c r="AQ22" i="8"/>
  <c r="AH30" i="8" s="1"/>
  <c r="AN22" i="8"/>
  <c r="AE30" i="8" s="1"/>
  <c r="AQ7" i="8"/>
  <c r="AH27" i="8" s="1"/>
  <c r="AP7" i="8"/>
  <c r="AG27" i="8" s="1"/>
  <c r="AM17" i="8"/>
  <c r="AD29" i="8" s="1"/>
  <c r="AP22" i="8"/>
  <c r="AG30" i="8" s="1"/>
  <c r="AN12" i="8"/>
  <c r="AE28" i="8" s="1"/>
  <c r="AN17" i="8"/>
  <c r="AE29" i="8" s="1"/>
  <c r="AH10" i="8"/>
  <c r="AM7" i="8"/>
  <c r="AD27" i="8" s="1"/>
  <c r="AR7" i="8"/>
  <c r="AI27" i="8" s="1"/>
  <c r="AN7" i="8"/>
  <c r="AE27" i="8" s="1"/>
  <c r="AR17" i="8"/>
  <c r="AI29" i="8" s="1"/>
  <c r="AD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tc={DF62E9F4-AFDC-4B42-A8D2-2B4ED3BFE857}</author>
    <author>tc={A1FBBCB6-679E-4972-83FA-ECE666BDED2B}</author>
    <author>tc={3C674711-0ED7-4488-B8AF-1F111DA1598F}</author>
    <author>tc={B884777D-1C18-487F-A50A-E196849FFCDD}</author>
    <author>tc={0E923B7E-0A78-4365-BEBC-5AEC466015DA}</author>
    <author>tc={69CA0851-CA36-464F-A1F4-6F9055A88673}</author>
    <author>tc={E8A89E9F-B00C-4E49-AC28-3B16F0FEFE0F}</author>
    <author>tc={C09CA5EB-440F-4487-B317-E3C47EA15CDA}</author>
    <author>tc={8633A123-E188-469C-B88B-7CDA48320DFB}</author>
    <author>tc={7DB2183D-D932-4B54-A6B8-5D9CA11186E3}</author>
    <author>tc={8489FAEC-0C4A-48D1-AC26-7FEF4342E262}</author>
    <author>tc={A0765877-A29A-48F8-BBE0-28483C809B93}</author>
    <author>tc={6DBAC9F4-4EEA-4DC9-82F6-F8E81EB5A4AA}</author>
    <author>tc={B949FD10-A422-4ED5-8F09-FB9EFC54AD51}</author>
    <author>tc={456A7150-59A4-47E5-9AE2-78C87F05F6F7}</author>
    <author>tc={8429A2B1-FFE7-4942-9C88-281CBDACEE90}</author>
    <author>tc={1DABB439-6BCF-42D8-B7EE-49ED733C78C2}</author>
    <author>tc={B4FF7209-770D-41BF-93CF-11CD16CBF688}</author>
    <author>tc={02BDA7F6-3FD0-47BD-8D03-AFD0BE72FFDD}</author>
    <author>tc={DA575216-C3B5-4E37-9CC3-EAEF19D704D7}</author>
    <author>tc={D6EFCAC0-FA30-42A1-B52F-BAF3BBB517F5}</author>
    <author>tc={361D8AD6-EAF4-4D1F-97AF-6CECC70B92DF}</author>
    <author>tc={E3A3FBF7-864B-43FD-BAFE-FD23DA18FE0E}</author>
    <author>tc={1A570404-3881-4A3D-9867-386BBF9D0CB8}</author>
    <author>tc={EB3443C8-CF59-4C4D-B0B4-D0D26AA6C3BB}</author>
    <author>tc={89A1662B-76EF-498C-9261-84ACDD54FC8C}</author>
    <author>tc={81791440-E5FE-4A29-B2A4-53117F02BEE4}</author>
    <author>tc={1F46D7E2-0748-41F9-B328-CBB07B8FF220}</author>
    <author>tc={A87D2FCD-0B69-435F-A1D5-A0811D733AA5}</author>
    <author>tc={C466ACAA-236A-46D6-9EA8-4A608E6FE9B2}</author>
  </authors>
  <commentList>
    <comment ref="C1" authorId="0" shapeId="0" xr:uid="{DF62E9F4-AFDC-4B42-A8D2-2B4ED3BFE857}">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A1FBBCB6-679E-4972-83FA-ECE666BDED2B}">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3C674711-0ED7-4488-B8AF-1F111DA1598F}">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B884777D-1C18-487F-A50A-E196849FFCDD}">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0E923B7E-0A78-4365-BEBC-5AEC466015DA}">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69CA0851-CA36-464F-A1F4-6F9055A88673}">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E8A89E9F-B00C-4E49-AC28-3B16F0FEFE0F}">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C09CA5EB-440F-4487-B317-E3C47EA15CDA}">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8633A123-E188-469C-B88B-7CDA48320DFB}">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AB3" authorId="9" shapeId="0" xr:uid="{7DB2183D-D932-4B54-A6B8-5D9CA11186E3}">
      <text>
        <t>[Threaded comment]
Your version of Excel allows you to read this threaded comment; however, any edits to it will get removed if the file is opened in a newer version of Excel. Learn more: https://go.microsoft.com/fwlink/?linkid=870924
Comment:
    δs = sqrt(2/(σωµ))</t>
      </text>
    </comment>
    <comment ref="C4" authorId="10" shapeId="0" xr:uid="{8489FAEC-0C4A-48D1-AC26-7FEF4342E262}">
      <text>
        <t>[Threaded comment]
Your version of Excel allows you to read this threaded comment; however, any edits to it will get removed if the file is opened in a newer version of Excel. Learn more: https://go.microsoft.com/fwlink/?linkid=870924
Comment:
    Stripline spacing</t>
      </text>
    </comment>
    <comment ref="AB4" authorId="11" shapeId="0" xr:uid="{A0765877-A29A-48F8-BBE0-28483C809B93}">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B5" authorId="12" shapeId="0" xr:uid="{6DBAC9F4-4EEA-4DC9-82F6-F8E81EB5A4AA}">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5" authorId="13" shapeId="0" xr:uid="{B949FD10-A422-4ED5-8F09-FB9EFC54AD51}">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4" shapeId="0" xr:uid="{456A7150-59A4-47E5-9AE2-78C87F05F6F7}">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7" authorId="15" shapeId="0" xr:uid="{8429A2B1-FFE7-4942-9C88-281CBDACEE90}">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7" authorId="16" shapeId="0" xr:uid="{1DABB439-6BCF-42D8-B7EE-49ED733C78C2}">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8" authorId="17" shapeId="0" xr:uid="{B4FF7209-770D-41BF-93CF-11CD16CBF688}">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C9" authorId="18" shapeId="0" xr:uid="{02BDA7F6-3FD0-47BD-8D03-AFD0BE72FFDD}">
      <text>
        <t>[Threaded comment]
Your version of Excel allows you to read this threaded comment; however, any edits to it will get removed if the file is opened in a newer version of Excel. Learn more: https://go.microsoft.com/fwlink/?linkid=870924
Comment:
    Frequency in GHz</t>
      </text>
    </comment>
    <comment ref="AB9" authorId="19" shapeId="0" xr:uid="{DA575216-C3B5-4E37-9CC3-EAEF19D704D7}">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B10" authorId="20" shapeId="0" xr:uid="{D6EFCAC0-FA30-42A1-B52F-BAF3BBB517F5}">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0" authorId="21" shapeId="0" xr:uid="{361D8AD6-EAF4-4D1F-97AF-6CECC70B92DF}">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22" shapeId="0" xr:uid="{E3A3FBF7-864B-43FD-BAFE-FD23DA18FE0E}">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2" authorId="23" shapeId="0" xr:uid="{1A570404-3881-4A3D-9867-386BBF9D0CB8}">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5" authorId="24" shapeId="0" xr:uid="{EB3443C8-CF59-4C4D-B0B4-D0D26AA6C3BB}">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6" authorId="25" shapeId="0" xr:uid="{89A1662B-76EF-498C-9261-84ACDD54FC8C}">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7" authorId="26" shapeId="0" xr:uid="{81791440-E5FE-4A29-B2A4-53117F02BEE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20" authorId="27" shapeId="0" xr:uid="{1F46D7E2-0748-41F9-B328-CBB07B8FF220}">
      <text>
        <t>[Threaded comment]
Your version of Excel allows you to read this threaded comment; however, any edits to it will get removed if the file is opened in a newer version of Excel. Learn more: https://go.microsoft.com/fwlink/?linkid=870924
Comment:
    δs = sqrt(2/(σωµ))</t>
      </text>
    </comment>
    <comment ref="AK21" authorId="28" shapeId="0" xr:uid="{A87D2FCD-0B69-435F-A1D5-A0811D733AA5}">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29" shapeId="0" xr:uid="{C466ACAA-236A-46D6-9EA8-4A608E6FE9B2}">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tc={98173FA5-BF42-41D9-AA0A-C2372CC74847}</author>
    <author>tc={04BEB639-BAB5-4378-9879-054068F07E53}</author>
    <author>tc={A84F9508-A3F3-4FFF-AB44-85098435E78E}</author>
    <author>tc={2BB238EF-40C5-4319-9286-0227841FCA11}</author>
    <author>tc={E5EBF007-918B-47B2-B7C8-6A43EEEFBD4B}</author>
    <author>tc={E947D48E-5B0B-42E1-8595-5C1FA8970924}</author>
    <author>tc={0FAAFA5D-1A10-40CD-9F31-1D7CD54CDD35}</author>
    <author>tc={FBA52DA1-5CD6-4569-9A5C-217D3A16D3BE}</author>
    <author>tc={F927B9B3-E61D-4F63-BD8A-747AE9796189}</author>
    <author>tc={6B1868DD-22D8-4EC7-B626-E37DD63E7558}</author>
    <author>tc={E8086291-A8E6-4FA7-BA3A-4420813B1289}</author>
    <author>tc={988BC4F4-8DEF-43DD-BF35-CE49F5D11E77}</author>
    <author>tc={EE67783C-64FC-461A-A7F5-04FFCE187C9B}</author>
    <author>tc={C178B121-E34D-425F-AAF3-53DDF083905A}</author>
    <author>tc={427F8A4C-F930-47D0-8E1B-829BB95BA249}</author>
    <author>tc={B669FFD0-3959-459A-89E5-61421217AA6F}</author>
    <author>tc={E526FF34-93D5-4B9E-825C-EAAD14646762}</author>
    <author>tc={B95576B2-2891-4401-96A3-FCC1CD929BD9}</author>
    <author>tc={FDBF842D-EDFF-48AC-A418-F4AF6F69A73A}</author>
    <author>tc={F3E2F6C2-44CD-46E1-9714-D714FAE60F77}</author>
    <author>tc={B0C60C54-6C53-4DBE-9BAF-8FDA0A5B39CB}</author>
    <author>tc={B2125346-5E6A-4E35-A83E-0102AF5E9C9E}</author>
    <author>tc={BB1B87A1-84CB-4444-852C-E128CF6B2170}</author>
    <author>tc={8D684938-2E27-48C1-84EF-649AC2E81CF4}</author>
    <author>tc={801C1697-C3DA-4C93-BAC0-F6DA18B9513C}</author>
    <author>tc={24D157CB-B84A-4A33-93F2-678F5AE915FE}</author>
    <author>tc={65B6F457-357D-45A2-8C00-46A8E7D0E660}</author>
    <author>tc={89D1DBE0-E5C1-4D32-840F-BE6C6C278774}</author>
    <author>tc={0C094C91-2204-4D04-8389-87C0417B27F6}</author>
    <author>tc={64A75A31-E797-433E-8267-8126AF6E34F6}</author>
  </authors>
  <commentList>
    <comment ref="C1" authorId="0" shapeId="0" xr:uid="{98173FA5-BF42-41D9-AA0A-C2372CC74847}">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04BEB639-BAB5-4378-9879-054068F07E53}">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A84F9508-A3F3-4FFF-AB44-85098435E78E}">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BB238EF-40C5-4319-9286-0227841FCA11}">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E5EBF007-918B-47B2-B7C8-6A43EEEFBD4B}">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E947D48E-5B0B-42E1-8595-5C1FA8970924}">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0FAAFA5D-1A10-40CD-9F31-1D7CD54CDD35}">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FBA52DA1-5CD6-4569-9A5C-217D3A16D3BE}">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F927B9B3-E61D-4F63-BD8A-747AE9796189}">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AB3" authorId="9" shapeId="0" xr:uid="{6B1868DD-22D8-4EC7-B626-E37DD63E7558}">
      <text>
        <t>[Threaded comment]
Your version of Excel allows you to read this threaded comment; however, any edits to it will get removed if the file is opened in a newer version of Excel. Learn more: https://go.microsoft.com/fwlink/?linkid=870924
Comment:
    δs = sqrt(2/(σωµ))</t>
      </text>
    </comment>
    <comment ref="C4" authorId="10" shapeId="0" xr:uid="{E8086291-A8E6-4FA7-BA3A-4420813B1289}">
      <text>
        <t>[Threaded comment]
Your version of Excel allows you to read this threaded comment; however, any edits to it will get removed if the file is opened in a newer version of Excel. Learn more: https://go.microsoft.com/fwlink/?linkid=870924
Comment:
    Stripline spacing</t>
      </text>
    </comment>
    <comment ref="AB4" authorId="11" shapeId="0" xr:uid="{988BC4F4-8DEF-43DD-BF35-CE49F5D11E77}">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B5" authorId="12" shapeId="0" xr:uid="{EE67783C-64FC-461A-A7F5-04FFCE187C9B}">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5" authorId="13" shapeId="0" xr:uid="{C178B121-E34D-425F-AAF3-53DDF083905A}">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4" shapeId="0" xr:uid="{427F8A4C-F930-47D0-8E1B-829BB95BA249}">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7" authorId="15" shapeId="0" xr:uid="{B669FFD0-3959-459A-89E5-61421217AA6F}">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7" authorId="16" shapeId="0" xr:uid="{E526FF34-93D5-4B9E-825C-EAAD14646762}">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8" authorId="17" shapeId="0" xr:uid="{B95576B2-2891-4401-96A3-FCC1CD929BD9}">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C9" authorId="18" shapeId="0" xr:uid="{FDBF842D-EDFF-48AC-A418-F4AF6F69A73A}">
      <text>
        <t>[Threaded comment]
Your version of Excel allows you to read this threaded comment; however, any edits to it will get removed if the file is opened in a newer version of Excel. Learn more: https://go.microsoft.com/fwlink/?linkid=870924
Comment:
    Frequency in GHz</t>
      </text>
    </comment>
    <comment ref="AB9" authorId="19" shapeId="0" xr:uid="{F3E2F6C2-44CD-46E1-9714-D714FAE60F77}">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B10" authorId="20" shapeId="0" xr:uid="{B0C60C54-6C53-4DBE-9BAF-8FDA0A5B39CB}">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0" authorId="21" shapeId="0" xr:uid="{B2125346-5E6A-4E35-A83E-0102AF5E9C9E}">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22" shapeId="0" xr:uid="{BB1B87A1-84CB-4444-852C-E128CF6B2170}">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2" authorId="23" shapeId="0" xr:uid="{8D684938-2E27-48C1-84EF-649AC2E81CF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5" authorId="24" shapeId="0" xr:uid="{801C1697-C3DA-4C93-BAC0-F6DA18B9513C}">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6" authorId="25" shapeId="0" xr:uid="{24D157CB-B84A-4A33-93F2-678F5AE915FE}">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7" authorId="26" shapeId="0" xr:uid="{65B6F457-357D-45A2-8C00-46A8E7D0E660}">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20" authorId="27" shapeId="0" xr:uid="{89D1DBE0-E5C1-4D32-840F-BE6C6C27877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21" authorId="28" shapeId="0" xr:uid="{0C094C91-2204-4D04-8389-87C0417B27F6}">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29" shapeId="0" xr:uid="{64A75A31-E797-433E-8267-8126AF6E34F6}">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tc={1919DD29-3742-4C67-8235-2D8098F515AA}</author>
    <author>tc={6FF5187A-3AC4-4756-9885-6F76F8416448}</author>
    <author>tc={C1FDA261-C5E0-4F61-BEB0-4ADB61786AD9}</author>
    <author>tc={2FBEB921-0AFD-4C3F-8DC5-040DFD7609AE}</author>
    <author>tc={44F9AFA8-0B5A-44B4-B7CE-CFA1E38474BC}</author>
    <author>tc={2E484653-139C-4A18-938B-8BD2946FA65B}</author>
    <author>tc={D79A986B-500B-4344-ADBA-4F4246400C8D}</author>
    <author>tc={F831F9B7-E184-46D0-A5E3-4BCC7559B644}</author>
    <author>tc={A184D3AF-1B9A-497F-B5A8-568C8C73602E}</author>
    <author>tc={45184DF8-13F7-4FD6-8ED4-799247546CB7}</author>
    <author>tc={8815E4A3-6DFB-47BD-BC24-B7C40FCFD3AC}</author>
    <author>tc={0CE5DB17-4225-4D99-83D4-60E4289062D6}</author>
    <author>tc={BD4DFF94-78BE-41A9-A12D-DCB1CC29F65E}</author>
    <author>tc={75F644F3-7DCA-434D-B7FE-9F0CB3BD6AD1}</author>
    <author>tc={E6886A9C-DD72-4F93-ADCB-F5916C61871E}</author>
    <author>tc={4D53587D-2217-46AC-99B7-2A266E77CAC2}</author>
    <author>tc={BEC15BF3-7AF2-4458-A836-33F5E446C7BB}</author>
    <author>tc={D5643BAA-B279-4BCB-9BFE-113007801BBF}</author>
    <author>tc={11700102-2FDB-4ABC-A4B5-EC7626FDE0CE}</author>
    <author>tc={4F220167-8B1A-4D7F-8A4C-80DCA7A8F6BC}</author>
    <author>tc={44B73589-7399-4153-A2F8-210FC8A643DF}</author>
    <author>tc={FD6F4DCC-C4C1-47E7-88F4-7E0CB3B0C9B3}</author>
    <author>tc={829AEACE-494A-4FCA-9D28-D39BA1C03E2B}</author>
    <author>tc={8B9BCF93-54C5-4D7E-9562-D62927B7D49B}</author>
    <author>tc={1D6FBB37-4139-4EC4-9662-F5EAB1C4FA77}</author>
    <author>tc={E7A095A6-FF36-41DD-96F9-0F0FA4492358}</author>
    <author>tc={B434089F-822B-4350-BDA4-0BDCE1469638}</author>
    <author>tc={D83D6968-7195-4308-BA22-4E8DFFF4686A}</author>
    <author>tc={8823DDCC-198D-4F03-A68B-34E2B870B40A}</author>
    <author>tc={9380860B-28B4-4A2A-B528-1050BE01D473}</author>
  </authors>
  <commentList>
    <comment ref="C1" authorId="0" shapeId="0" xr:uid="{1919DD29-3742-4C67-8235-2D8098F515AA}">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6FF5187A-3AC4-4756-9885-6F76F8416448}">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C1FDA261-C5E0-4F61-BEB0-4ADB61786AD9}">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FBEB921-0AFD-4C3F-8DC5-040DFD7609AE}">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44F9AFA8-0B5A-44B4-B7CE-CFA1E38474BC}">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2E484653-139C-4A18-938B-8BD2946FA65B}">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D79A986B-500B-4344-ADBA-4F4246400C8D}">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F831F9B7-E184-46D0-A5E3-4BCC7559B644}">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A184D3AF-1B9A-497F-B5A8-568C8C73602E}">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AB3" authorId="9" shapeId="0" xr:uid="{45184DF8-13F7-4FD6-8ED4-799247546CB7}">
      <text>
        <t>[Threaded comment]
Your version of Excel allows you to read this threaded comment; however, any edits to it will get removed if the file is opened in a newer version of Excel. Learn more: https://go.microsoft.com/fwlink/?linkid=870924
Comment:
    δs = sqrt(2/(σωµ))</t>
      </text>
    </comment>
    <comment ref="C4" authorId="10" shapeId="0" xr:uid="{8815E4A3-6DFB-47BD-BC24-B7C40FCFD3AC}">
      <text>
        <t>[Threaded comment]
Your version of Excel allows you to read this threaded comment; however, any edits to it will get removed if the file is opened in a newer version of Excel. Learn more: https://go.microsoft.com/fwlink/?linkid=870924
Comment:
    Stripline spacing</t>
      </text>
    </comment>
    <comment ref="AB4" authorId="11" shapeId="0" xr:uid="{0CE5DB17-4225-4D99-83D4-60E4289062D6}">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B5" authorId="12" shapeId="0" xr:uid="{BD4DFF94-78BE-41A9-A12D-DCB1CC29F65E}">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5" authorId="13" shapeId="0" xr:uid="{75F644F3-7DCA-434D-B7FE-9F0CB3BD6AD1}">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4" shapeId="0" xr:uid="{E6886A9C-DD72-4F93-ADCB-F5916C61871E}">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7" authorId="15" shapeId="0" xr:uid="{4D53587D-2217-46AC-99B7-2A266E77CAC2}">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7" authorId="16" shapeId="0" xr:uid="{BEC15BF3-7AF2-4458-A836-33F5E446C7BB}">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8" authorId="17" shapeId="0" xr:uid="{D5643BAA-B279-4BCB-9BFE-113007801BBF}">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C9" authorId="18" shapeId="0" xr:uid="{11700102-2FDB-4ABC-A4B5-EC7626FDE0CE}">
      <text>
        <t>[Threaded comment]
Your version of Excel allows you to read this threaded comment; however, any edits to it will get removed if the file is opened in a newer version of Excel. Learn more: https://go.microsoft.com/fwlink/?linkid=870924
Comment:
    Frequency in GHz</t>
      </text>
    </comment>
    <comment ref="AB9" authorId="19" shapeId="0" xr:uid="{4F220167-8B1A-4D7F-8A4C-80DCA7A8F6BC}">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B10" authorId="20" shapeId="0" xr:uid="{44B73589-7399-4153-A2F8-210FC8A643DF}">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0" authorId="21" shapeId="0" xr:uid="{FD6F4DCC-C4C1-47E7-88F4-7E0CB3B0C9B3}">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22" shapeId="0" xr:uid="{829AEACE-494A-4FCA-9D28-D39BA1C03E2B}">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2" authorId="23" shapeId="0" xr:uid="{8B9BCF93-54C5-4D7E-9562-D62927B7D49B}">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5" authorId="24" shapeId="0" xr:uid="{1D6FBB37-4139-4EC4-9662-F5EAB1C4FA77}">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6" authorId="25" shapeId="0" xr:uid="{E7A095A6-FF36-41DD-96F9-0F0FA4492358}">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17" authorId="26" shapeId="0" xr:uid="{B434089F-822B-4350-BDA4-0BDCE1469638}">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20" authorId="27" shapeId="0" xr:uid="{D83D6968-7195-4308-BA22-4E8DFFF4686A}">
      <text>
        <t>[Threaded comment]
Your version of Excel allows you to read this threaded comment; however, any edits to it will get removed if the file is opened in a newer version of Excel. Learn more: https://go.microsoft.com/fwlink/?linkid=870924
Comment:
    δs = sqrt(2/(σωµ))</t>
      </text>
    </comment>
    <comment ref="AK21" authorId="28" shapeId="0" xr:uid="{8823DDCC-198D-4F03-A68B-34E2B870B40A}">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29" shapeId="0" xr:uid="{9380860B-28B4-4A2A-B528-1050BE01D473}">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sharedStrings.xml><?xml version="1.0" encoding="utf-8"?>
<sst xmlns="http://schemas.openxmlformats.org/spreadsheetml/2006/main" count="205" uniqueCount="71">
  <si>
    <t>User Input</t>
  </si>
  <si>
    <t>Output</t>
  </si>
  <si>
    <t>Temp (°C)</t>
  </si>
  <si>
    <t xml:space="preserve">Trace Width W (µm): </t>
  </si>
  <si>
    <t>Skin Depth δs (µm)</t>
  </si>
  <si>
    <t>Dk_avg</t>
  </si>
  <si>
    <t xml:space="preserve">Trace Spacing S (µm): </t>
  </si>
  <si>
    <t>Df</t>
  </si>
  <si>
    <t>δs (µm)</t>
  </si>
  <si>
    <t>Note: When Dk is measured by an in-plane method (SPC or Cylindrical Resonator), effective Dk is linear to resin content for a given glass style.</t>
  </si>
  <si>
    <t>Zdiff (Ω)</t>
  </si>
  <si>
    <t>DK_Inplane (From the Datasheet)</t>
  </si>
  <si>
    <t>Thickness (um)</t>
  </si>
  <si>
    <t>RC (%)</t>
  </si>
  <si>
    <t>DF (From the Datasheet)</t>
  </si>
  <si>
    <t>Intercept (DK_glass)</t>
  </si>
  <si>
    <t>DK_Resin</t>
  </si>
  <si>
    <t>DK_InPlane (From Dk_Glass, DK_Resin, and RC)</t>
  </si>
  <si>
    <t>DK_OutofPlane (From Dk_Glass, DK_Resin, and RC)</t>
  </si>
  <si>
    <t>Stripline Total Loss vs. Temperature (dB/m)</t>
  </si>
  <si>
    <r>
      <t>R' (</t>
    </r>
    <r>
      <rPr>
        <sz val="11"/>
        <color theme="0"/>
        <rFont val="Calibri"/>
        <family val="2"/>
      </rPr>
      <t>Ω</t>
    </r>
    <r>
      <rPr>
        <sz val="11"/>
        <color theme="0"/>
        <rFont val="Calibri"/>
        <family val="2"/>
        <scheme val="minor"/>
      </rPr>
      <t>)</t>
    </r>
  </si>
  <si>
    <r>
      <rPr>
        <sz val="11"/>
        <color theme="0"/>
        <rFont val="Calibri"/>
        <family val="2"/>
      </rPr>
      <t>α_</t>
    </r>
    <r>
      <rPr>
        <sz val="8"/>
        <color theme="0"/>
        <rFont val="Calibri"/>
        <family val="2"/>
        <scheme val="minor"/>
      </rPr>
      <t>RoughMetal</t>
    </r>
  </si>
  <si>
    <r>
      <rPr>
        <sz val="11"/>
        <color theme="0"/>
        <rFont val="Calibri"/>
        <family val="2"/>
      </rPr>
      <t>α_</t>
    </r>
    <r>
      <rPr>
        <sz val="8"/>
        <color theme="0"/>
        <rFont val="Calibri"/>
        <family val="2"/>
        <scheme val="minor"/>
      </rPr>
      <t>Total</t>
    </r>
  </si>
  <si>
    <r>
      <rPr>
        <sz val="11"/>
        <color theme="0"/>
        <rFont val="Calibri"/>
        <family val="2"/>
      </rPr>
      <t>α_</t>
    </r>
    <r>
      <rPr>
        <sz val="8"/>
        <color theme="0"/>
        <rFont val="Calibri"/>
        <family val="2"/>
        <scheme val="minor"/>
      </rPr>
      <t>Dielectric</t>
    </r>
    <r>
      <rPr>
        <sz val="11"/>
        <color theme="0"/>
        <rFont val="Calibri"/>
        <family val="2"/>
        <scheme val="minor"/>
      </rPr>
      <t xml:space="preserve"> </t>
    </r>
    <r>
      <rPr>
        <b/>
        <sz val="9"/>
        <color theme="0"/>
        <rFont val="Calibri"/>
        <family val="2"/>
        <scheme val="minor"/>
      </rPr>
      <t>(Verified)</t>
    </r>
  </si>
  <si>
    <r>
      <rPr>
        <sz val="11"/>
        <color theme="0"/>
        <rFont val="Calibri"/>
        <family val="2"/>
      </rPr>
      <t>α_</t>
    </r>
    <r>
      <rPr>
        <sz val="8"/>
        <color theme="0"/>
        <rFont val="Calibri"/>
        <family val="2"/>
        <scheme val="minor"/>
      </rPr>
      <t>SmoothMetal</t>
    </r>
    <r>
      <rPr>
        <b/>
        <sz val="9"/>
        <color theme="0"/>
        <rFont val="Calibri"/>
        <family val="2"/>
        <scheme val="minor"/>
      </rPr>
      <t xml:space="preserve"> (Verified)</t>
    </r>
  </si>
  <si>
    <r>
      <t xml:space="preserve">Zdiff (Ω)  </t>
    </r>
    <r>
      <rPr>
        <b/>
        <sz val="9"/>
        <color theme="0"/>
        <rFont val="Calibri"/>
        <family val="2"/>
        <scheme val="minor"/>
      </rPr>
      <t>(Verified)</t>
    </r>
  </si>
  <si>
    <r>
      <t>Resistance/u.l R' (</t>
    </r>
    <r>
      <rPr>
        <sz val="11"/>
        <color theme="0"/>
        <rFont val="Calibri"/>
        <family val="2"/>
      </rPr>
      <t>Ω</t>
    </r>
    <r>
      <rPr>
        <sz val="11"/>
        <color theme="0"/>
        <rFont val="Calibri"/>
        <family val="2"/>
        <scheme val="minor"/>
      </rPr>
      <t>)</t>
    </r>
  </si>
  <si>
    <r>
      <t>DK Coeffcient Tc</t>
    </r>
    <r>
      <rPr>
        <sz val="8"/>
        <color theme="0"/>
        <rFont val="Calibri"/>
        <family val="2"/>
        <scheme val="minor"/>
      </rPr>
      <t>_DK</t>
    </r>
    <r>
      <rPr>
        <sz val="11"/>
        <color theme="0"/>
        <rFont val="Calibri"/>
        <family val="2"/>
        <scheme val="minor"/>
      </rPr>
      <t xml:space="preserve"> (1/°C):</t>
    </r>
  </si>
  <si>
    <r>
      <t>DF Coeffcient Tc</t>
    </r>
    <r>
      <rPr>
        <sz val="8"/>
        <color theme="0"/>
        <rFont val="Calibri"/>
        <family val="2"/>
        <scheme val="minor"/>
      </rPr>
      <t>_DF</t>
    </r>
    <r>
      <rPr>
        <sz val="11"/>
        <color theme="0"/>
        <rFont val="Calibri"/>
        <family val="2"/>
        <scheme val="minor"/>
      </rPr>
      <t xml:space="preserve"> (1/°C):</t>
    </r>
  </si>
  <si>
    <r>
      <t>Conductivity σ</t>
    </r>
    <r>
      <rPr>
        <sz val="8"/>
        <color theme="0"/>
        <rFont val="Calibri"/>
        <family val="2"/>
        <scheme val="minor"/>
      </rPr>
      <t>o</t>
    </r>
    <r>
      <rPr>
        <sz val="11"/>
        <color theme="0"/>
        <rFont val="Calibri"/>
        <family val="2"/>
        <scheme val="minor"/>
      </rPr>
      <t xml:space="preserve"> (S/m):</t>
    </r>
  </si>
  <si>
    <r>
      <t>Metal Coeffcient α</t>
    </r>
    <r>
      <rPr>
        <sz val="8"/>
        <color theme="0"/>
        <rFont val="Calibri"/>
        <family val="2"/>
        <scheme val="minor"/>
      </rPr>
      <t xml:space="preserve">_M </t>
    </r>
    <r>
      <rPr>
        <sz val="11"/>
        <color theme="0"/>
        <rFont val="Calibri"/>
        <family val="2"/>
        <scheme val="minor"/>
      </rPr>
      <t>(1/°C):</t>
    </r>
  </si>
  <si>
    <r>
      <t>Temperature T</t>
    </r>
    <r>
      <rPr>
        <sz val="8"/>
        <color theme="0"/>
        <rFont val="Calibri"/>
        <family val="2"/>
        <scheme val="minor"/>
      </rPr>
      <t>o</t>
    </r>
    <r>
      <rPr>
        <sz val="11"/>
        <color theme="0"/>
        <rFont val="Calibri"/>
        <family val="2"/>
        <scheme val="minor"/>
      </rPr>
      <t xml:space="preserve"> (°C):</t>
    </r>
  </si>
  <si>
    <r>
      <t xml:space="preserve">Roughness_RMS </t>
    </r>
    <r>
      <rPr>
        <sz val="11"/>
        <color theme="0"/>
        <rFont val="Calibri"/>
        <family val="2"/>
      </rPr>
      <t xml:space="preserve">Δ </t>
    </r>
    <r>
      <rPr>
        <sz val="11"/>
        <color theme="0"/>
        <rFont val="Calibri"/>
        <family val="2"/>
        <scheme val="minor"/>
      </rPr>
      <t>(µm):</t>
    </r>
  </si>
  <si>
    <t>About this tool…</t>
  </si>
  <si>
    <t>Version Number</t>
  </si>
  <si>
    <t>Created by</t>
  </si>
  <si>
    <t>Ahmed Ibrahim</t>
  </si>
  <si>
    <t>LICENSE INFORMATION:</t>
  </si>
  <si>
    <t>Copyright © 2024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</si>
  <si>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</si>
  <si>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</si>
  <si>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</si>
  <si>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</si>
  <si>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</si>
  <si>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</si>
  <si>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</si>
  <si>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</si>
  <si>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</si>
  <si>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1.0.0</t>
  </si>
  <si>
    <t>Initial Release</t>
  </si>
  <si>
    <t>PCB MATERIAL MODELER</t>
  </si>
  <si>
    <t>Chosen Thickness (µm) :</t>
  </si>
  <si>
    <t>Metal Thickness t (µm) :</t>
  </si>
  <si>
    <t>USER GUIDE</t>
  </si>
  <si>
    <t>NOTES:</t>
  </si>
  <si>
    <t>Do enter user input ONLY in the yellow-highlighted cells</t>
  </si>
  <si>
    <t>Stripline dimensions</t>
  </si>
  <si>
    <t xml:space="preserve">        PCB process constants</t>
  </si>
  <si>
    <t>Temperature coefficients</t>
  </si>
  <si>
    <t>1- Input the stripline dimensions, PCB process constants, and temperature coefficients.</t>
  </si>
  <si>
    <t>2- Input the dielectric constant (DK) in-plane values versus frequency (GHz) for different thicknesses/resin contents. In-plane values are those that were characterized by SPC or Cylindrical resonator. When Dk is measured by an in-plane method (SPC or Cylindrical Resonator), effective Dk is linear to resin content for a given glass style. Then enter DF value as well, the DF value should be almost independent from the dielectric thickness.</t>
  </si>
  <si>
    <t>4- The tool also calculate the stripline loss components (Dielectric loss, smooth metal, and loss due to roughness). Calculation steps are shown as comments on each cell.</t>
  </si>
  <si>
    <t>5- Input up to 4 values of temperature to calculate the stripline loss vs temperature.
The tool takes into consideration the effect of temperature on DK, DF, and Copper conductivity.</t>
  </si>
  <si>
    <t>Intercept (DF_glass)</t>
  </si>
  <si>
    <t>DF_Resin</t>
  </si>
  <si>
    <t>DF (From DF_Glass, DF_Resin, and RC)</t>
  </si>
  <si>
    <t>3- The tool will calculate the DK/DF of the resin and the glass separately, then it will use them to calculate the in-plane effective dielectric constant, the out-of-plane value, and the loss tangent for the chosen dielectric thickness. These are the values that should be fed into field simulators. Calculation steps are detailed in the linked reference (PCB Laminate Material Out-of-plane Dielectric Constant Extraction Methodology)https://ieeexplore.ieee.org/document/9874947</t>
  </si>
  <si>
    <t>1.0.1</t>
  </si>
  <si>
    <t>Added the calculation of loss tangent from the input resin content</t>
  </si>
  <si>
    <t>1.0.2</t>
  </si>
  <si>
    <t>Added more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</si>
</sst>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
    <numFmt numFmtId="166"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
      <b/>
      <sz val="10"/>
      <color theme="5"/>
      <name val="Arial"/>
      <family val="2"/>
    </font>
    <font>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15">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0"/>
      </bottom>
      <diagonal/>
    </border>
    <border>
      <left/>
      <right/>
      <top style="thin">
        <color theme="0"/>
      </top>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top style="thin">
        <color theme="0"/>
      </top>
      <bottom/>
      <diagonal/>
    </border>
    <border>
      <left/>
      <right style="medium">
        <color theme="0"/>
      </right>
      <top style="thin">
        <color theme="0"/>
      </top>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174">
    <xf numFmtId="0" fontId="0" fillId="0" borderId="0" xfId="0"/>
    <xf numFmtId="0" fontId="0" fillId="2" borderId="0" xfId="0" applyFill="1" applyAlignment="1">
      <alignment horizontal="center" vertical="center" wrapText="1"/>
    </xf>
    <xf numFmtId="11" fontId="0" fillId="2" borderId="0" xfId="0" applyNumberFormat="1" applyFill="1" applyAlignment="1">
      <alignment horizontal="center" vertical="center" wrapText="1"/>
    </xf>
    <xf numFmtId="0" fontId="0" fillId="2" borderId="0" xfId="0" applyFill="1"/>
    <xf numFmtId="164" fontId="0" fillId="2" borderId="0" xfId="0" applyNumberFormat="1" applyFill="1"/>
    <xf numFmtId="0" fontId="4" fillId="3" borderId="0" xfId="0" applyFont="1" applyFill="1"/>
    <xf numFmtId="2" fontId="4" fillId="3" borderId="0" xfId="0" applyNumberFormat="1" applyFont="1" applyFill="1"/>
    <xf numFmtId="10" fontId="4" fillId="3" borderId="0" xfId="1" applyNumberFormat="1" applyFont="1" applyFill="1"/>
    <xf numFmtId="0" fontId="5" fillId="3" borderId="0" xfId="0" applyFont="1" applyFill="1"/>
    <xf numFmtId="9" fontId="4" fillId="3" borderId="0" xfId="0" applyNumberFormat="1" applyFont="1" applyFill="1"/>
    <xf numFmtId="11" fontId="4" fillId="3" borderId="0" xfId="0" applyNumberFormat="1" applyFont="1" applyFill="1"/>
    <xf numFmtId="0" fontId="4" fillId="3" borderId="0" xfId="0" applyFont="1" applyFill="1" applyAlignment="1">
      <alignment vertical="center"/>
    </xf>
    <xf numFmtId="0" fontId="2" fillId="4" borderId="0" xfId="0" applyFont="1" applyFill="1"/>
    <xf numFmtId="0" fontId="10" fillId="3" borderId="0" xfId="3" applyFill="1"/>
    <xf numFmtId="0" fontId="12" fillId="3" borderId="0" xfId="2" applyFont="1" applyFill="1" applyAlignment="1">
      <alignment horizontal="left"/>
    </xf>
    <xf numFmtId="0" fontId="1" fillId="3" borderId="0" xfId="2" applyFill="1"/>
    <xf numFmtId="0" fontId="14" fillId="3" borderId="0" xfId="4" applyFont="1" applyFill="1" applyBorder="1" applyAlignment="1">
      <alignment vertical="center"/>
    </xf>
    <xf numFmtId="0" fontId="14" fillId="3" borderId="5" xfId="4" applyFont="1" applyFill="1" applyBorder="1" applyAlignment="1">
      <alignment horizontal="right" vertical="center"/>
    </xf>
    <xf numFmtId="0" fontId="14" fillId="3" borderId="0" xfId="4" applyFont="1" applyFill="1" applyBorder="1" applyAlignment="1">
      <alignment horizontal="right" vertical="center"/>
    </xf>
    <xf numFmtId="0" fontId="4" fillId="3" borderId="4" xfId="3" applyFont="1" applyFill="1" applyBorder="1"/>
    <xf numFmtId="0" fontId="4" fillId="3" borderId="0" xfId="3" applyFont="1" applyFill="1"/>
    <xf numFmtId="0" fontId="4" fillId="3" borderId="5" xfId="3" applyFont="1" applyFill="1" applyBorder="1"/>
    <xf numFmtId="0" fontId="4" fillId="3" borderId="4" xfId="2" applyFont="1" applyFill="1" applyBorder="1"/>
    <xf numFmtId="0" fontId="16" fillId="3" borderId="0" xfId="2" applyFont="1" applyFill="1" applyAlignment="1">
      <alignment horizontal="left"/>
    </xf>
    <xf numFmtId="0" fontId="4" fillId="3" borderId="0" xfId="2" applyFont="1" applyFill="1"/>
    <xf numFmtId="0" fontId="4" fillId="3" borderId="5" xfId="2" applyFont="1" applyFill="1" applyBorder="1"/>
    <xf numFmtId="0" fontId="16" fillId="3" borderId="4" xfId="2" applyFont="1" applyFill="1" applyBorder="1" applyAlignment="1">
      <alignment horizontal="center"/>
    </xf>
    <xf numFmtId="0" fontId="16" fillId="3" borderId="0" xfId="2" applyFont="1" applyFill="1"/>
    <xf numFmtId="0" fontId="1" fillId="3" borderId="5" xfId="2" applyFill="1" applyBorder="1"/>
    <xf numFmtId="0" fontId="17" fillId="5" borderId="4" xfId="2" applyFont="1" applyFill="1" applyBorder="1" applyAlignment="1">
      <alignment horizontal="center"/>
    </xf>
    <xf numFmtId="0" fontId="2" fillId="5" borderId="5" xfId="2" applyFont="1" applyFill="1" applyBorder="1"/>
    <xf numFmtId="0" fontId="16" fillId="3" borderId="6" xfId="2" applyFont="1" applyFill="1" applyBorder="1" applyAlignment="1">
      <alignment horizontal="center"/>
    </xf>
    <xf numFmtId="0" fontId="16" fillId="3" borderId="7" xfId="2" applyFont="1" applyFill="1" applyBorder="1" applyAlignment="1">
      <alignment horizontal="left"/>
    </xf>
    <xf numFmtId="0" fontId="4" fillId="3" borderId="7" xfId="2" applyFont="1" applyFill="1" applyBorder="1"/>
    <xf numFmtId="0" fontId="1" fillId="3" borderId="8" xfId="2" applyFill="1" applyBorder="1"/>
    <xf numFmtId="0" fontId="16" fillId="3" borderId="4" xfId="2" applyFont="1" applyFill="1" applyBorder="1" applyAlignment="1">
      <alignment horizontal="right"/>
    </xf>
    <xf numFmtId="0" fontId="16" fillId="2" borderId="0" xfId="2" applyFont="1" applyFill="1" applyAlignment="1">
      <alignment vertical="top"/>
    </xf>
    <xf numFmtId="0" fontId="16" fillId="3" borderId="0" xfId="2" applyFont="1" applyFill="1" applyAlignment="1">
      <alignment vertical="top"/>
    </xf>
    <xf numFmtId="0" fontId="12" fillId="3" borderId="4" xfId="2" applyFont="1" applyFill="1" applyBorder="1" applyAlignment="1">
      <alignment horizontal="center"/>
    </xf>
    <xf numFmtId="0" fontId="12" fillId="3" borderId="0" xfId="2" applyFont="1" applyFill="1" applyAlignment="1">
      <alignment horizontal="center"/>
    </xf>
    <xf numFmtId="0" fontId="2" fillId="3" borderId="0" xfId="2" applyFont="1" applyFill="1"/>
    <xf numFmtId="0" fontId="19" fillId="3" borderId="0" xfId="2" applyFont="1" applyFill="1"/>
    <xf numFmtId="0" fontId="19" fillId="3" borderId="4" xfId="2" applyFont="1" applyFill="1" applyBorder="1"/>
    <xf numFmtId="0" fontId="4" fillId="3" borderId="4" xfId="3" applyFont="1" applyFill="1" applyBorder="1" applyAlignment="1">
      <alignment vertical="top" wrapText="1"/>
    </xf>
    <xf numFmtId="0" fontId="4" fillId="3" borderId="0" xfId="3" applyFont="1" applyFill="1" applyAlignment="1">
      <alignment vertical="top" wrapText="1"/>
    </xf>
    <xf numFmtId="0" fontId="4" fillId="3" borderId="5" xfId="3" applyFont="1" applyFill="1" applyBorder="1" applyAlignment="1">
      <alignment vertical="top" wrapText="1"/>
    </xf>
    <xf numFmtId="0" fontId="15" fillId="3" borderId="4" xfId="3" applyFont="1" applyFill="1" applyBorder="1"/>
    <xf numFmtId="0" fontId="15" fillId="3" borderId="0" xfId="3" applyFont="1" applyFill="1"/>
    <xf numFmtId="0" fontId="15" fillId="3" borderId="5" xfId="3" applyFont="1" applyFill="1" applyBorder="1"/>
    <xf numFmtId="0" fontId="16" fillId="3" borderId="0" xfId="2" applyFont="1" applyFill="1" applyAlignment="1">
      <alignment horizontal="left"/>
    </xf>
    <xf numFmtId="0" fontId="4" fillId="3" borderId="0" xfId="0" applyFont="1" applyFill="1" applyAlignment="1">
      <alignment horizontal="right"/>
    </xf>
    <xf numFmtId="0" fontId="4" fillId="3" borderId="0" xfId="0" applyFont="1" applyFill="1" applyAlignment="1">
      <alignment horizontal="center" vertical="center" wrapText="1"/>
    </xf>
    <xf numFmtId="0" fontId="4" fillId="3" borderId="0" xfId="0" applyFont="1" applyFill="1" applyBorder="1"/>
    <xf numFmtId="2" fontId="4" fillId="3" borderId="0" xfId="0" applyNumberFormat="1" applyFont="1" applyFill="1" applyBorder="1"/>
    <xf numFmtId="165" fontId="4" fillId="3" borderId="0" xfId="0" applyNumberFormat="1" applyFont="1" applyFill="1" applyBorder="1"/>
    <xf numFmtId="2" fontId="4" fillId="3" borderId="9" xfId="0" applyNumberFormat="1" applyFont="1" applyFill="1" applyBorder="1"/>
    <xf numFmtId="2" fontId="4" fillId="3" borderId="10" xfId="0" applyNumberFormat="1" applyFont="1" applyFill="1" applyBorder="1"/>
    <xf numFmtId="0" fontId="4" fillId="3" borderId="4" xfId="0" applyFont="1" applyFill="1" applyBorder="1"/>
    <xf numFmtId="2" fontId="4" fillId="3" borderId="5" xfId="0" applyNumberFormat="1" applyFont="1" applyFill="1" applyBorder="1"/>
    <xf numFmtId="165" fontId="4" fillId="3" borderId="5" xfId="0" applyNumberFormat="1" applyFont="1" applyFill="1" applyBorder="1"/>
    <xf numFmtId="0" fontId="4" fillId="3" borderId="11" xfId="0" applyFont="1" applyFill="1" applyBorder="1"/>
    <xf numFmtId="2" fontId="4" fillId="3" borderId="12" xfId="0" applyNumberFormat="1" applyFont="1" applyFill="1" applyBorder="1"/>
    <xf numFmtId="0" fontId="4" fillId="3" borderId="13" xfId="0" applyFont="1" applyFill="1" applyBorder="1"/>
    <xf numFmtId="2" fontId="4" fillId="3" borderId="14" xfId="0" applyNumberFormat="1" applyFont="1" applyFill="1" applyBorder="1"/>
    <xf numFmtId="0" fontId="4" fillId="3" borderId="6" xfId="0" applyFont="1" applyFill="1" applyBorder="1"/>
    <xf numFmtId="2" fontId="4" fillId="3" borderId="7" xfId="0" applyNumberFormat="1" applyFont="1" applyFill="1" applyBorder="1"/>
    <xf numFmtId="2" fontId="4" fillId="3" borderId="8" xfId="0" applyNumberFormat="1" applyFont="1" applyFill="1" applyBorder="1"/>
    <xf numFmtId="2" fontId="0" fillId="4" borderId="7" xfId="0" applyNumberFormat="1" applyFill="1" applyBorder="1"/>
    <xf numFmtId="2" fontId="0" fillId="4" borderId="8" xfId="0" applyNumberFormat="1" applyFill="1" applyBorder="1"/>
    <xf numFmtId="2" fontId="0" fillId="4" borderId="0" xfId="0" applyNumberFormat="1" applyFill="1" applyBorder="1"/>
    <xf numFmtId="2" fontId="0" fillId="4" borderId="5" xfId="0" applyNumberFormat="1" applyFill="1" applyBorder="1"/>
    <xf numFmtId="0" fontId="0" fillId="2" borderId="0" xfId="0" applyFill="1" applyBorder="1"/>
    <xf numFmtId="0" fontId="0" fillId="2" borderId="7" xfId="0" applyFill="1" applyBorder="1"/>
    <xf numFmtId="0" fontId="4" fillId="3" borderId="4" xfId="0" applyFont="1" applyFill="1" applyBorder="1" applyAlignment="1">
      <alignment horizontal="center"/>
    </xf>
    <xf numFmtId="0" fontId="4" fillId="3" borderId="0" xfId="0" applyFont="1" applyFill="1" applyBorder="1" applyAlignment="1">
      <alignment horizontal="center"/>
    </xf>
    <xf numFmtId="0" fontId="0" fillId="2" borderId="5" xfId="0" applyFill="1" applyBorder="1"/>
    <xf numFmtId="0" fontId="0" fillId="2" borderId="8" xfId="0" applyFill="1" applyBorder="1"/>
    <xf numFmtId="165" fontId="0" fillId="2" borderId="7" xfId="0" applyNumberFormat="1" applyFill="1" applyBorder="1"/>
    <xf numFmtId="165" fontId="0" fillId="2" borderId="8" xfId="0" applyNumberFormat="1" applyFill="1" applyBorder="1"/>
    <xf numFmtId="2" fontId="2" fillId="4" borderId="2" xfId="0" applyNumberFormat="1" applyFont="1" applyFill="1" applyBorder="1"/>
    <xf numFmtId="2" fontId="2" fillId="4" borderId="3" xfId="0" applyNumberFormat="1" applyFont="1" applyFill="1" applyBorder="1"/>
    <xf numFmtId="2" fontId="2" fillId="4" borderId="7" xfId="0" applyNumberFormat="1" applyFont="1" applyFill="1" applyBorder="1"/>
    <xf numFmtId="2" fontId="2" fillId="4" borderId="8" xfId="0" applyNumberFormat="1" applyFont="1" applyFill="1" applyBorder="1"/>
    <xf numFmtId="2" fontId="4" fillId="3" borderId="0" xfId="0" applyNumberFormat="1" applyFont="1" applyFill="1" applyBorder="1" applyAlignment="1">
      <alignment horizontal="center"/>
    </xf>
    <xf numFmtId="2" fontId="4" fillId="3" borderId="5" xfId="0" applyNumberFormat="1" applyFont="1" applyFill="1" applyBorder="1" applyAlignment="1">
      <alignment horizontal="center"/>
    </xf>
    <xf numFmtId="2" fontId="4" fillId="3" borderId="9" xfId="0" applyNumberFormat="1" applyFont="1" applyFill="1" applyBorder="1" applyAlignment="1">
      <alignment horizontal="center"/>
    </xf>
    <xf numFmtId="2" fontId="4" fillId="3" borderId="12" xfId="0" applyNumberFormat="1" applyFont="1" applyFill="1" applyBorder="1" applyAlignment="1">
      <alignment horizontal="center"/>
    </xf>
    <xf numFmtId="2" fontId="0" fillId="2" borderId="0" xfId="0" applyNumberFormat="1" applyFill="1" applyBorder="1" applyAlignment="1">
      <alignment horizontal="right"/>
    </xf>
    <xf numFmtId="2" fontId="0" fillId="2" borderId="5" xfId="0" applyNumberFormat="1" applyFill="1" applyBorder="1" applyAlignment="1">
      <alignment horizontal="right"/>
    </xf>
    <xf numFmtId="0" fontId="18" fillId="3" borderId="4" xfId="2" applyFont="1" applyFill="1" applyBorder="1" applyAlignment="1">
      <alignment vertical="top" wrapText="1"/>
    </xf>
    <xf numFmtId="0" fontId="18" fillId="3" borderId="0" xfId="2" applyFont="1" applyFill="1" applyAlignment="1">
      <alignment vertical="top" wrapText="1"/>
    </xf>
    <xf numFmtId="0" fontId="18" fillId="3" borderId="0" xfId="2" applyFont="1" applyFill="1" applyBorder="1" applyAlignment="1">
      <alignment vertical="top" wrapText="1"/>
    </xf>
    <xf numFmtId="0" fontId="19" fillId="3" borderId="0" xfId="2" applyFont="1" applyFill="1" applyBorder="1" applyAlignment="1">
      <alignment horizontal="left" vertical="top" wrapText="1"/>
    </xf>
    <xf numFmtId="0" fontId="19" fillId="3" borderId="0" xfId="2" applyFont="1" applyFill="1" applyBorder="1" applyAlignment="1">
      <alignment vertical="top" wrapText="1"/>
    </xf>
    <xf numFmtId="0" fontId="4" fillId="3" borderId="0" xfId="3" applyFont="1" applyFill="1" applyBorder="1" applyAlignment="1">
      <alignment vertical="top" wrapText="1"/>
    </xf>
    <xf numFmtId="0" fontId="18" fillId="3" borderId="5" xfId="2" applyFont="1" applyFill="1" applyBorder="1" applyAlignment="1">
      <alignment vertical="top" wrapText="1"/>
    </xf>
    <xf numFmtId="0" fontId="19" fillId="3" borderId="0" xfId="2" applyFont="1" applyFill="1" applyAlignment="1">
      <alignment horizontal="left" vertical="top" wrapText="1"/>
    </xf>
    <xf numFmtId="0" fontId="19" fillId="3" borderId="0" xfId="2" applyFont="1" applyFill="1" applyAlignment="1">
      <alignment vertical="top" wrapText="1"/>
    </xf>
    <xf numFmtId="0" fontId="19" fillId="3" borderId="5" xfId="2" applyFont="1" applyFill="1" applyBorder="1" applyAlignment="1">
      <alignment vertical="top" wrapText="1"/>
    </xf>
    <xf numFmtId="165" fontId="0" fillId="4" borderId="7" xfId="0" applyNumberFormat="1" applyFill="1" applyBorder="1"/>
    <xf numFmtId="165" fontId="0" fillId="4" borderId="8" xfId="0" applyNumberFormat="1" applyFill="1" applyBorder="1"/>
    <xf numFmtId="166" fontId="0" fillId="2" borderId="0" xfId="0" applyNumberFormat="1" applyFill="1" applyBorder="1"/>
    <xf numFmtId="166" fontId="0" fillId="2" borderId="7" xfId="0" applyNumberFormat="1" applyFill="1" applyBorder="1"/>
    <xf numFmtId="2" fontId="0" fillId="2" borderId="4" xfId="0" applyNumberFormat="1" applyFill="1" applyBorder="1"/>
    <xf numFmtId="2" fontId="0" fillId="2" borderId="6" xfId="0" applyNumberFormat="1" applyFill="1" applyBorder="1"/>
    <xf numFmtId="165" fontId="2" fillId="4" borderId="2" xfId="0" applyNumberFormat="1" applyFont="1" applyFill="1" applyBorder="1"/>
    <xf numFmtId="165" fontId="2" fillId="4" borderId="3" xfId="0" applyNumberFormat="1" applyFont="1" applyFill="1" applyBorder="1"/>
    <xf numFmtId="165" fontId="2" fillId="4" borderId="7" xfId="0" applyNumberFormat="1" applyFont="1" applyFill="1" applyBorder="1"/>
    <xf numFmtId="165" fontId="2" fillId="4" borderId="8" xfId="0" applyNumberFormat="1" applyFont="1" applyFill="1" applyBorder="1"/>
    <xf numFmtId="0" fontId="3" fillId="3" borderId="0" xfId="0" applyFont="1" applyFill="1" applyBorder="1" applyAlignment="1">
      <alignment horizontal="center"/>
    </xf>
    <xf numFmtId="165" fontId="0" fillId="4" borderId="0" xfId="0" applyNumberFormat="1" applyFill="1" applyBorder="1"/>
    <xf numFmtId="165" fontId="0" fillId="4" borderId="5" xfId="0" applyNumberFormat="1" applyFill="1" applyBorder="1"/>
    <xf numFmtId="2" fontId="4" fillId="3" borderId="4" xfId="0" applyNumberFormat="1" applyFont="1" applyFill="1" applyBorder="1"/>
    <xf numFmtId="2" fontId="4" fillId="3" borderId="6" xfId="0" applyNumberFormat="1" applyFont="1" applyFill="1" applyBorder="1"/>
    <xf numFmtId="166" fontId="4" fillId="3" borderId="0" xfId="0" applyNumberFormat="1" applyFont="1" applyFill="1" applyBorder="1"/>
    <xf numFmtId="166" fontId="4" fillId="3" borderId="7" xfId="0" applyNumberFormat="1" applyFont="1" applyFill="1" applyBorder="1"/>
    <xf numFmtId="166" fontId="4" fillId="3" borderId="7" xfId="1" applyNumberFormat="1" applyFont="1" applyFill="1" applyBorder="1"/>
    <xf numFmtId="164" fontId="0" fillId="2" borderId="0" xfId="0" applyNumberFormat="1" applyFill="1" applyAlignment="1">
      <alignment horizontal="right" vertical="center" wrapText="1"/>
    </xf>
    <xf numFmtId="11" fontId="0" fillId="2" borderId="0" xfId="0" applyNumberFormat="1" applyFill="1" applyAlignment="1">
      <alignment horizontal="right" vertical="center" wrapText="1"/>
    </xf>
    <xf numFmtId="1" fontId="0" fillId="2" borderId="0" xfId="0" applyNumberFormat="1" applyFill="1" applyAlignment="1">
      <alignment horizontal="center" vertical="center" wrapText="1"/>
    </xf>
    <xf numFmtId="2" fontId="0" fillId="2" borderId="0" xfId="0" applyNumberFormat="1" applyFill="1" applyBorder="1"/>
    <xf numFmtId="2" fontId="0" fillId="2" borderId="5" xfId="0" applyNumberFormat="1" applyFill="1" applyBorder="1"/>
    <xf numFmtId="2" fontId="0" fillId="2" borderId="7" xfId="0" applyNumberFormat="1" applyFill="1" applyBorder="1"/>
    <xf numFmtId="2" fontId="0" fillId="2" borderId="8" xfId="0" applyNumberFormat="1" applyFill="1" applyBorder="1"/>
    <xf numFmtId="165" fontId="4" fillId="3" borderId="0" xfId="0" applyNumberFormat="1" applyFont="1" applyFill="1"/>
    <xf numFmtId="0" fontId="15" fillId="3" borderId="4" xfId="3" applyFont="1" applyFill="1" applyBorder="1" applyAlignment="1">
      <alignment horizontal="left"/>
    </xf>
    <xf numFmtId="0" fontId="15" fillId="3" borderId="0" xfId="3" applyFont="1" applyFill="1" applyAlignment="1">
      <alignment horizontal="left"/>
    </xf>
    <xf numFmtId="0" fontId="15" fillId="3" borderId="5" xfId="3" applyFont="1" applyFill="1" applyBorder="1" applyAlignment="1">
      <alignment horizontal="left"/>
    </xf>
    <xf numFmtId="0" fontId="9" fillId="3" borderId="1" xfId="2" applyFont="1" applyFill="1" applyBorder="1" applyAlignment="1">
      <alignment horizontal="center" vertical="center"/>
    </xf>
    <xf numFmtId="0" fontId="9" fillId="3" borderId="2" xfId="2" applyFont="1" applyFill="1" applyBorder="1" applyAlignment="1">
      <alignment horizontal="center" vertical="center"/>
    </xf>
    <xf numFmtId="0" fontId="9" fillId="3" borderId="3" xfId="2" applyFont="1" applyFill="1" applyBorder="1" applyAlignment="1">
      <alignment horizontal="center" vertical="center"/>
    </xf>
    <xf numFmtId="0" fontId="9" fillId="3" borderId="4" xfId="2" applyFont="1" applyFill="1" applyBorder="1" applyAlignment="1">
      <alignment horizontal="center" vertical="center"/>
    </xf>
    <xf numFmtId="0" fontId="9" fillId="3" borderId="0" xfId="2" applyFont="1" applyFill="1" applyAlignment="1">
      <alignment horizontal="center" vertical="center"/>
    </xf>
    <xf numFmtId="0" fontId="9" fillId="3" borderId="5" xfId="2" applyFont="1" applyFill="1" applyBorder="1" applyAlignment="1">
      <alignment horizontal="center" vertical="center"/>
    </xf>
    <xf numFmtId="0" fontId="11" fillId="5" borderId="4" xfId="2" applyFont="1" applyFill="1" applyBorder="1" applyAlignment="1">
      <alignment horizontal="center"/>
    </xf>
    <xf numFmtId="0" fontId="11" fillId="5" borderId="0" xfId="2" applyFont="1" applyFill="1" applyAlignment="1">
      <alignment horizontal="center"/>
    </xf>
    <xf numFmtId="0" fontId="11" fillId="5" borderId="5" xfId="2" applyFont="1" applyFill="1" applyBorder="1" applyAlignment="1">
      <alignment horizontal="center"/>
    </xf>
    <xf numFmtId="0" fontId="12" fillId="3" borderId="0" xfId="2" applyFont="1" applyFill="1" applyAlignment="1">
      <alignment horizontal="center"/>
    </xf>
    <xf numFmtId="0" fontId="12" fillId="3" borderId="5" xfId="2" applyFont="1" applyFill="1" applyBorder="1" applyAlignment="1">
      <alignment horizontal="center"/>
    </xf>
    <xf numFmtId="0" fontId="17" fillId="5" borderId="0" xfId="2" applyFont="1" applyFill="1" applyAlignment="1">
      <alignment horizontal="left"/>
    </xf>
    <xf numFmtId="0" fontId="4" fillId="3" borderId="4" xfId="3" applyFont="1" applyFill="1" applyBorder="1" applyAlignment="1">
      <alignment horizontal="left" vertical="top" wrapText="1"/>
    </xf>
    <xf numFmtId="0" fontId="4" fillId="3" borderId="0" xfId="3" applyFont="1" applyFill="1" applyAlignment="1">
      <alignment horizontal="left" vertical="top" wrapText="1"/>
    </xf>
    <xf numFmtId="0" fontId="4" fillId="3" borderId="5" xfId="3" applyFont="1" applyFill="1" applyBorder="1" applyAlignment="1">
      <alignment horizontal="left" vertical="top" wrapText="1"/>
    </xf>
    <xf numFmtId="0" fontId="4" fillId="3" borderId="4" xfId="3" applyFont="1" applyFill="1" applyBorder="1" applyAlignment="1">
      <alignment horizontal="left"/>
    </xf>
    <xf numFmtId="0" fontId="4" fillId="3" borderId="0" xfId="3" applyFont="1" applyFill="1" applyAlignment="1">
      <alignment horizontal="left"/>
    </xf>
    <xf numFmtId="0" fontId="4" fillId="3" borderId="5" xfId="3" applyFont="1" applyFill="1" applyBorder="1" applyAlignment="1">
      <alignment horizontal="left"/>
    </xf>
    <xf numFmtId="0" fontId="4" fillId="3" borderId="0" xfId="3" applyFont="1" applyFill="1" applyBorder="1" applyAlignment="1">
      <alignment horizontal="left"/>
    </xf>
    <xf numFmtId="0" fontId="19" fillId="3" borderId="0" xfId="2" applyFont="1" applyFill="1" applyAlignment="1">
      <alignment horizontal="left" vertical="top" wrapText="1"/>
    </xf>
    <xf numFmtId="0" fontId="19" fillId="3" borderId="4" xfId="2" applyFont="1" applyFill="1" applyBorder="1" applyAlignment="1">
      <alignment horizontal="left" vertical="top" wrapText="1"/>
    </xf>
    <xf numFmtId="0" fontId="19" fillId="3" borderId="0" xfId="2" applyFont="1" applyFill="1" applyBorder="1" applyAlignment="1">
      <alignment horizontal="left" vertical="top" wrapText="1"/>
    </xf>
    <xf numFmtId="0" fontId="12" fillId="3" borderId="4" xfId="2" applyFont="1" applyFill="1" applyBorder="1" applyAlignment="1">
      <alignment horizontal="center"/>
    </xf>
    <xf numFmtId="0" fontId="16" fillId="3" borderId="0" xfId="2" applyFont="1" applyFill="1" applyAlignment="1">
      <alignment horizontal="left" vertical="top"/>
    </xf>
    <xf numFmtId="0" fontId="20" fillId="3" borderId="4" xfId="2" applyFont="1" applyFill="1" applyBorder="1" applyAlignment="1">
      <alignment horizontal="center" vertical="top" wrapText="1"/>
    </xf>
    <xf numFmtId="0" fontId="20" fillId="3" borderId="0" xfId="2" applyFont="1" applyFill="1" applyBorder="1" applyAlignment="1">
      <alignment horizontal="center" vertical="top" wrapText="1"/>
    </xf>
    <xf numFmtId="0" fontId="4" fillId="3" borderId="0" xfId="0" applyFont="1" applyFill="1" applyAlignment="1">
      <alignment horizontal="right" vertical="center" wrapText="1"/>
    </xf>
    <xf numFmtId="0" fontId="4" fillId="3" borderId="0" xfId="0" applyFont="1" applyFill="1" applyAlignment="1">
      <alignment horizontal="right"/>
    </xf>
    <xf numFmtId="0" fontId="4" fillId="3" borderId="11" xfId="0" applyFont="1" applyFill="1" applyBorder="1" applyAlignment="1">
      <alignment horizontal="right"/>
    </xf>
    <xf numFmtId="0" fontId="4" fillId="3" borderId="9" xfId="0" applyFont="1" applyFill="1" applyBorder="1" applyAlignment="1">
      <alignment horizontal="right"/>
    </xf>
    <xf numFmtId="0" fontId="4" fillId="3" borderId="0" xfId="0" applyFont="1" applyFill="1" applyAlignment="1">
      <alignment horizontal="right" vertic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4" fillId="3" borderId="0"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0" xfId="0" applyFont="1" applyFill="1" applyAlignment="1">
      <alignment horizontal="center" vertical="center" wrapText="1"/>
    </xf>
    <xf numFmtId="0" fontId="4" fillId="3" borderId="7" xfId="0" applyFont="1" applyFill="1" applyBorder="1" applyAlignment="1">
      <alignment horizontal="center" vertical="center" wrapText="1"/>
    </xf>
    <xf numFmtId="0" fontId="4" fillId="3" borderId="10" xfId="0" applyFont="1" applyFill="1" applyBorder="1" applyAlignment="1">
      <alignment horizontal="center" vertical="center"/>
    </xf>
    <xf numFmtId="0" fontId="3" fillId="3" borderId="1" xfId="0" applyFont="1" applyFill="1" applyBorder="1" applyAlignment="1">
      <alignment horizontal="right"/>
    </xf>
    <xf numFmtId="0" fontId="3" fillId="3" borderId="2" xfId="0" applyFont="1" applyFill="1" applyBorder="1" applyAlignment="1">
      <alignment horizontal="right"/>
    </xf>
    <xf numFmtId="0" fontId="3" fillId="3" borderId="6" xfId="0" applyFont="1" applyFill="1" applyBorder="1" applyAlignment="1">
      <alignment horizontal="right"/>
    </xf>
    <xf numFmtId="0" fontId="3" fillId="3" borderId="7" xfId="0" applyFont="1" applyFill="1" applyBorder="1" applyAlignment="1">
      <alignment horizontal="right"/>
    </xf>
    <xf numFmtId="0" fontId="4" fillId="3" borderId="4" xfId="0" applyFont="1" applyFill="1" applyBorder="1" applyAlignment="1">
      <alignment horizontal="right"/>
    </xf>
    <xf numFmtId="0" fontId="4" fillId="3" borderId="0" xfId="0" applyFont="1" applyFill="1" applyBorder="1" applyAlignment="1">
      <alignment horizontal="right"/>
    </xf>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'TU863+_1x2116_Preg'!$A$23:$H$23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'TU863+_1x2116_Preg'!$C$24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'TU863+_1x2116_Preg'!$C$25:$C$27</c:f>
              <c:numCache>
                <c:formatCode>0.00</c:formatCode>
                <c:ptCount val="3"/>
                <c:pt idx="0">
                  <c:v>4.0476315789473682</c:v>
                </c:pt>
                <c:pt idx="1">
                  <c:v>3.9839473684210525</c:v>
                </c:pt>
                <c:pt idx="2">
                  <c:v>3.8884210526315792</c:v>
                </c:pt>
              </c:numCache>
            </c:numRef>
          </c:yVal>
          <c:smooth val="0"/>
          <c:extLst>
            <c:ext xmlns:c16="http://schemas.microsoft.com/office/drawing/2014/chart" uri="{C3380CC4-5D6E-409C-BE32-E72D297353CC}">
              <c16:uniqueId val="{00000000-3717-4428-AFD5-FB93AD5C4496}"/>
            </c:ext>
          </c:extLst>
        </c:ser>
        <c:ser>
          <c:idx val="1"/>
          <c:order val="1"/>
          <c:tx>
            <c:strRef>
              <c:f>'TU863+_1x2116_Preg'!$D$24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'TU863+_1x2116_Preg'!$D$25:$D$27</c:f>
              <c:numCache>
                <c:formatCode>0.00</c:formatCode>
                <c:ptCount val="3"/>
                <c:pt idx="0">
                  <c:v>4.0376315789473685</c:v>
                </c:pt>
                <c:pt idx="1">
                  <c:v>3.9739473684210522</c:v>
                </c:pt>
                <c:pt idx="2">
                  <c:v>3.8784210526315785</c:v>
                </c:pt>
              </c:numCache>
            </c:numRef>
          </c:yVal>
          <c:smooth val="0"/>
          <c:extLst>
            <c:ext xmlns:c16="http://schemas.microsoft.com/office/drawing/2014/chart" uri="{C3380CC4-5D6E-409C-BE32-E72D297353CC}">
              <c16:uniqueId val="{00000001-3717-4428-AFD5-FB93AD5C4496}"/>
            </c:ext>
          </c:extLst>
        </c:ser>
        <c:ser>
          <c:idx val="2"/>
          <c:order val="2"/>
          <c:tx>
            <c:strRef>
              <c:f>'TU863+_1x2116_Preg'!$E$24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'TU863+_1x2116_Preg'!$E$25:$E$27</c:f>
              <c:numCache>
                <c:formatCode>0.00</c:formatCode>
                <c:ptCount val="3"/>
                <c:pt idx="0">
                  <c:v>4.0076315789473682</c:v>
                </c:pt>
                <c:pt idx="1">
                  <c:v>3.9439473684210524</c:v>
                </c:pt>
                <c:pt idx="2">
                  <c:v>3.8484210526315792</c:v>
                </c:pt>
              </c:numCache>
            </c:numRef>
          </c:yVal>
          <c:smooth val="0"/>
          <c:extLst>
            <c:ext xmlns:c16="http://schemas.microsoft.com/office/drawing/2014/chart" uri="{C3380CC4-5D6E-409C-BE32-E72D297353CC}">
              <c16:uniqueId val="{00000002-3717-4428-AFD5-FB93AD5C4496}"/>
            </c:ext>
          </c:extLst>
        </c:ser>
        <c:ser>
          <c:idx val="3"/>
          <c:order val="3"/>
          <c:tx>
            <c:strRef>
              <c:f>'TU863+_1x2116_Preg'!$F$24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'TU863+_1x2116_Preg'!$F$25:$F$27</c:f>
              <c:numCache>
                <c:formatCode>0.00</c:formatCode>
                <c:ptCount val="3"/>
                <c:pt idx="0">
                  <c:v>3.9600000000000004</c:v>
                </c:pt>
                <c:pt idx="1">
                  <c:v>3.9000000000000004</c:v>
                </c:pt>
                <c:pt idx="2">
                  <c:v>3.8100000000000005</c:v>
                </c:pt>
              </c:numCache>
            </c:numRef>
          </c:yVal>
          <c:smooth val="0"/>
          <c:extLst>
            <c:ext xmlns:c16="http://schemas.microsoft.com/office/drawing/2014/chart" uri="{C3380CC4-5D6E-409C-BE32-E72D297353CC}">
              <c16:uniqueId val="{00000003-3717-4428-AFD5-FB93AD5C4496}"/>
            </c:ext>
          </c:extLst>
        </c:ser>
        <c:ser>
          <c:idx val="4"/>
          <c:order val="4"/>
          <c:tx>
            <c:strRef>
              <c:f>'TU863+_1x2116_Preg'!$H$24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'TU863+_1x2116_Preg'!$H$25:$H$27</c:f>
              <c:numCache>
                <c:formatCode>0.00</c:formatCode>
                <c:ptCount val="3"/>
                <c:pt idx="0">
                  <c:v>3.8999999999999995</c:v>
                </c:pt>
                <c:pt idx="1">
                  <c:v>3.84</c:v>
                </c:pt>
                <c:pt idx="2">
                  <c:v>3.75</c:v>
                </c:pt>
              </c:numCache>
            </c:numRef>
          </c:yVal>
          <c:smooth val="0"/>
          <c:extLst>
            <c:ext xmlns:c16="http://schemas.microsoft.com/office/drawing/2014/chart" uri="{C3380CC4-5D6E-409C-BE32-E72D297353CC}">
              <c16:uniqueId val="{00000004-3717-4428-AFD5-FB93AD5C449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Tachyon100G_2x1078_Core!$J$23:$Q$23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Tachyon100G_2x1078_Core!$L$24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Tachyon100G_2x1078_Core!$L$25:$L$27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0-8C99-4ADA-9B58-75A4137608C6}"/>
            </c:ext>
          </c:extLst>
        </c:ser>
        <c:ser>
          <c:idx val="1"/>
          <c:order val="1"/>
          <c:tx>
            <c:strRef>
              <c:f>Tachyon100G_2x1078_Core!$M$24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Tachyon100G_2x1078_Core!$M$25:$M$27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1-8C99-4ADA-9B58-75A4137608C6}"/>
            </c:ext>
          </c:extLst>
        </c:ser>
        <c:ser>
          <c:idx val="2"/>
          <c:order val="2"/>
          <c:tx>
            <c:strRef>
              <c:f>Tachyon100G_2x1078_Core!$N$24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Tachyon100G_2x1078_Core!$N$25:$N$27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2-8C99-4ADA-9B58-75A4137608C6}"/>
            </c:ext>
          </c:extLst>
        </c:ser>
        <c:ser>
          <c:idx val="3"/>
          <c:order val="3"/>
          <c:tx>
            <c:strRef>
              <c:f>Tachyon100G_2x1078_Core!$O$24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Tachyon100G_2x1078_Core!$O$25:$O$27</c:f>
              <c:numCache>
                <c:formatCode>0.00</c:formatCode>
                <c:ptCount val="3"/>
                <c:pt idx="0">
                  <c:v>3.0103418305631466</c:v>
                </c:pt>
                <c:pt idx="1">
                  <c:v>2.9688437237661818</c:v>
                </c:pt>
                <c:pt idx="2">
                  <c:v>2.8699372143680861</c:v>
                </c:pt>
              </c:numCache>
            </c:numRef>
          </c:yVal>
          <c:smooth val="0"/>
          <c:extLst>
            <c:ext xmlns:c16="http://schemas.microsoft.com/office/drawing/2014/chart" uri="{C3380CC4-5D6E-409C-BE32-E72D297353CC}">
              <c16:uniqueId val="{00000003-8C99-4ADA-9B58-75A4137608C6}"/>
            </c:ext>
          </c:extLst>
        </c:ser>
        <c:ser>
          <c:idx val="4"/>
          <c:order val="4"/>
          <c:tx>
            <c:strRef>
              <c:f>Tachyon100G_2x1078_Core!$Q$24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Tachyon100G_2x1078_Core!$Q$25:$Q$27</c:f>
              <c:numCache>
                <c:formatCode>0.00</c:formatCode>
                <c:ptCount val="3"/>
                <c:pt idx="0">
                  <c:v>2.9892430693537704</c:v>
                </c:pt>
                <c:pt idx="1">
                  <c:v>2.9457631701631697</c:v>
                </c:pt>
                <c:pt idx="2">
                  <c:v>2.8424030589293743</c:v>
                </c:pt>
              </c:numCache>
            </c:numRef>
          </c:yVal>
          <c:smooth val="0"/>
          <c:extLst>
            <c:ext xmlns:c16="http://schemas.microsoft.com/office/drawing/2014/chart" uri="{C3380CC4-5D6E-409C-BE32-E72D297353CC}">
              <c16:uniqueId val="{00000004-8C99-4ADA-9B58-75A4137608C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Tachyon100G_2x1078_Core!$A$44:$H$44</c:f>
              <c:strCache>
                <c:ptCount val="8"/>
                <c:pt idx="0">
                  <c:v>DK_InPlane (Thickness = 152µm)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Tachyon100G_2x1078_Core!$C$45:$H$45</c:f>
              <c:numCache>
                <c:formatCode>0.00</c:formatCode>
                <c:ptCount val="6"/>
                <c:pt idx="0">
                  <c:v>1</c:v>
                </c:pt>
                <c:pt idx="1">
                  <c:v>2</c:v>
                </c:pt>
                <c:pt idx="2">
                  <c:v>5</c:v>
                </c:pt>
                <c:pt idx="3">
                  <c:v>10</c:v>
                </c:pt>
                <c:pt idx="4">
                  <c:v>15</c:v>
                </c:pt>
                <c:pt idx="5">
                  <c:v>20</c:v>
                </c:pt>
              </c:numCache>
            </c:numRef>
          </c:xVal>
          <c:yVal>
            <c:numRef>
              <c:f>Tachyon100G_2x1078_Core!$C$46:$H$46</c:f>
              <c:numCache>
                <c:formatCode>0.00</c:formatCode>
                <c:ptCount val="6"/>
                <c:pt idx="0">
                  <c:v>3.1071416804733722</c:v>
                </c:pt>
                <c:pt idx="1">
                  <c:v>3.1071416804733722</c:v>
                </c:pt>
                <c:pt idx="2">
                  <c:v>3.1071416804733722</c:v>
                </c:pt>
                <c:pt idx="3">
                  <c:v>3.1071416804733722</c:v>
                </c:pt>
                <c:pt idx="4">
                  <c:v>3.1071416804733722</c:v>
                </c:pt>
                <c:pt idx="5">
                  <c:v>3.103004702169625</c:v>
                </c:pt>
              </c:numCache>
            </c:numRef>
          </c:yVal>
          <c:smooth val="0"/>
          <c:extLst>
            <c:ext xmlns:c16="http://schemas.microsoft.com/office/drawing/2014/chart" uri="{C3380CC4-5D6E-409C-BE32-E72D297353CC}">
              <c16:uniqueId val="{00000000-EC59-4B36-B8C3-9F528A764BB9}"/>
            </c:ext>
          </c:extLst>
        </c:ser>
        <c:ser>
          <c:idx val="1"/>
          <c:order val="1"/>
          <c:tx>
            <c:strRef>
              <c:f>Tachyon100G_2x1078_Core!$J$44:$Q$44</c:f>
              <c:strCache>
                <c:ptCount val="8"/>
                <c:pt idx="0">
                  <c:v>DK_OutofPlane (Thickness = 152µm)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Tachyon100G_2x1078_Core!$L$45:$Q$45</c:f>
              <c:numCache>
                <c:formatCode>0.00</c:formatCode>
                <c:ptCount val="6"/>
                <c:pt idx="0">
                  <c:v>1</c:v>
                </c:pt>
                <c:pt idx="1">
                  <c:v>2</c:v>
                </c:pt>
                <c:pt idx="2">
                  <c:v>5</c:v>
                </c:pt>
                <c:pt idx="3">
                  <c:v>10</c:v>
                </c:pt>
                <c:pt idx="4">
                  <c:v>15</c:v>
                </c:pt>
                <c:pt idx="5">
                  <c:v>20</c:v>
                </c:pt>
              </c:numCache>
            </c:numRef>
          </c:xVal>
          <c:yVal>
            <c:numRef>
              <c:f>Tachyon100G_2x1078_Core!$L$46:$Q$46</c:f>
              <c:numCache>
                <c:formatCode>0.00</c:formatCode>
                <c:ptCount val="6"/>
                <c:pt idx="0">
                  <c:v>2.9380149343195523</c:v>
                </c:pt>
                <c:pt idx="1">
                  <c:v>2.9380149343195523</c:v>
                </c:pt>
                <c:pt idx="2">
                  <c:v>2.9380149343195523</c:v>
                </c:pt>
                <c:pt idx="3">
                  <c:v>2.9380149343195523</c:v>
                </c:pt>
                <c:pt idx="4">
                  <c:v>2.9380149343195523</c:v>
                </c:pt>
                <c:pt idx="5">
                  <c:v>2.9135054893582515</c:v>
                </c:pt>
              </c:numCache>
            </c:numRef>
          </c:yVal>
          <c:smooth val="0"/>
          <c:extLst>
            <c:ext xmlns:c16="http://schemas.microsoft.com/office/drawing/2014/chart" uri="{C3380CC4-5D6E-409C-BE32-E72D297353CC}">
              <c16:uniqueId val="{00000001-EC59-4B36-B8C3-9F528A764BB9}"/>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Tachyon100G_2x1078_Core!$AB$6:$AH$6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Tachyon100G_2x1078_Core!$AB$7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Tachyon100G_2x1078_Core!$AD$2:$AI$2</c:f>
              <c:numCache>
                <c:formatCode>0.00</c:formatCode>
                <c:ptCount val="6"/>
                <c:pt idx="0">
                  <c:v>1</c:v>
                </c:pt>
                <c:pt idx="1">
                  <c:v>2</c:v>
                </c:pt>
                <c:pt idx="2">
                  <c:v>5</c:v>
                </c:pt>
                <c:pt idx="3">
                  <c:v>10</c:v>
                </c:pt>
                <c:pt idx="4">
                  <c:v>15</c:v>
                </c:pt>
                <c:pt idx="5">
                  <c:v>20</c:v>
                </c:pt>
              </c:numCache>
            </c:numRef>
          </c:xVal>
          <c:yVal>
            <c:numRef>
              <c:f>Tachyon100G_2x1078_Core!$AD$7:$AI$7</c:f>
              <c:numCache>
                <c:formatCode>0.00</c:formatCode>
                <c:ptCount val="6"/>
                <c:pt idx="0">
                  <c:v>0.28311980029376427</c:v>
                </c:pt>
                <c:pt idx="1">
                  <c:v>0.56623960058752854</c:v>
                </c:pt>
                <c:pt idx="2">
                  <c:v>1.4155990014688211</c:v>
                </c:pt>
                <c:pt idx="3">
                  <c:v>2.8311980029376422</c:v>
                </c:pt>
                <c:pt idx="4">
                  <c:v>4.2467970044064636</c:v>
                </c:pt>
                <c:pt idx="5">
                  <c:v>5.6489637638061847</c:v>
                </c:pt>
              </c:numCache>
            </c:numRef>
          </c:yVal>
          <c:smooth val="0"/>
          <c:extLst>
            <c:ext xmlns:c16="http://schemas.microsoft.com/office/drawing/2014/chart" uri="{C3380CC4-5D6E-409C-BE32-E72D297353CC}">
              <c16:uniqueId val="{00000000-F4C1-4F51-8019-C9640E2DEBBF}"/>
            </c:ext>
          </c:extLst>
        </c:ser>
        <c:ser>
          <c:idx val="1"/>
          <c:order val="1"/>
          <c:tx>
            <c:strRef>
              <c:f>Tachyon100G_2x1078_Core!$AB$8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Tachyon100G_2x1078_Core!$AD$2:$AI$2</c:f>
              <c:numCache>
                <c:formatCode>0.00</c:formatCode>
                <c:ptCount val="6"/>
                <c:pt idx="0">
                  <c:v>1</c:v>
                </c:pt>
                <c:pt idx="1">
                  <c:v>2</c:v>
                </c:pt>
                <c:pt idx="2">
                  <c:v>5</c:v>
                </c:pt>
                <c:pt idx="3">
                  <c:v>10</c:v>
                </c:pt>
                <c:pt idx="4">
                  <c:v>15</c:v>
                </c:pt>
                <c:pt idx="5">
                  <c:v>20</c:v>
                </c:pt>
              </c:numCache>
            </c:numRef>
          </c:xVal>
          <c:yVal>
            <c:numRef>
              <c:f>Tachyon100G_2x1078_Core!$AD$8:$AI$8</c:f>
              <c:numCache>
                <c:formatCode>0.00</c:formatCode>
                <c:ptCount val="6"/>
                <c:pt idx="0">
                  <c:v>4.4769110758420476</c:v>
                </c:pt>
                <c:pt idx="1">
                  <c:v>6.3313083609941483</c:v>
                </c:pt>
                <c:pt idx="2">
                  <c:v>10.010677494804533</c:v>
                </c:pt>
                <c:pt idx="3">
                  <c:v>14.157235881695689</c:v>
                </c:pt>
                <c:pt idx="4">
                  <c:v>17.339002039187775</c:v>
                </c:pt>
                <c:pt idx="5">
                  <c:v>19.973860662738826</c:v>
                </c:pt>
              </c:numCache>
            </c:numRef>
          </c:yVal>
          <c:smooth val="0"/>
          <c:extLst>
            <c:ext xmlns:c16="http://schemas.microsoft.com/office/drawing/2014/chart" uri="{C3380CC4-5D6E-409C-BE32-E72D297353CC}">
              <c16:uniqueId val="{00000001-F4C1-4F51-8019-C9640E2DEBBF}"/>
            </c:ext>
          </c:extLst>
        </c:ser>
        <c:ser>
          <c:idx val="2"/>
          <c:order val="2"/>
          <c:tx>
            <c:strRef>
              <c:f>Tachyon100G_2x1078_Core!$AB$9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Tachyon100G_2x1078_Core!$AD$2:$AI$2</c:f>
              <c:numCache>
                <c:formatCode>0.00</c:formatCode>
                <c:ptCount val="6"/>
                <c:pt idx="0">
                  <c:v>1</c:v>
                </c:pt>
                <c:pt idx="1">
                  <c:v>2</c:v>
                </c:pt>
                <c:pt idx="2">
                  <c:v>5</c:v>
                </c:pt>
                <c:pt idx="3">
                  <c:v>10</c:v>
                </c:pt>
                <c:pt idx="4">
                  <c:v>15</c:v>
                </c:pt>
                <c:pt idx="5">
                  <c:v>20</c:v>
                </c:pt>
              </c:numCache>
            </c:numRef>
          </c:xVal>
          <c:yVal>
            <c:numRef>
              <c:f>Tachyon100G_2x1078_Core!$AD$9:$AI$9</c:f>
              <c:numCache>
                <c:formatCode>0.00</c:formatCode>
                <c:ptCount val="6"/>
                <c:pt idx="0">
                  <c:v>4.5555606964660642</c:v>
                </c:pt>
                <c:pt idx="1">
                  <c:v>6.5535939371786078</c:v>
                </c:pt>
                <c:pt idx="2">
                  <c:v>10.884708815855234</c:v>
                </c:pt>
                <c:pt idx="3">
                  <c:v>16.584546206096455</c:v>
                </c:pt>
                <c:pt idx="4">
                  <c:v>21.672092557255258</c:v>
                </c:pt>
                <c:pt idx="5">
                  <c:v>26.387886041615737</c:v>
                </c:pt>
              </c:numCache>
            </c:numRef>
          </c:yVal>
          <c:smooth val="0"/>
          <c:extLst>
            <c:ext xmlns:c16="http://schemas.microsoft.com/office/drawing/2014/chart" uri="{C3380CC4-5D6E-409C-BE32-E72D297353CC}">
              <c16:uniqueId val="{00000002-F4C1-4F51-8019-C9640E2DEBBF}"/>
            </c:ext>
          </c:extLst>
        </c:ser>
        <c:ser>
          <c:idx val="3"/>
          <c:order val="3"/>
          <c:tx>
            <c:strRef>
              <c:f>Tachyon100G_2x1078_Core!$AB$10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Tachyon100G_2x1078_Core!$AD$2:$AI$2</c:f>
              <c:numCache>
                <c:formatCode>0.00</c:formatCode>
                <c:ptCount val="6"/>
                <c:pt idx="0">
                  <c:v>1</c:v>
                </c:pt>
                <c:pt idx="1">
                  <c:v>2</c:v>
                </c:pt>
                <c:pt idx="2">
                  <c:v>5</c:v>
                </c:pt>
                <c:pt idx="3">
                  <c:v>10</c:v>
                </c:pt>
                <c:pt idx="4">
                  <c:v>15</c:v>
                </c:pt>
                <c:pt idx="5">
                  <c:v>20</c:v>
                </c:pt>
              </c:numCache>
            </c:numRef>
          </c:xVal>
          <c:yVal>
            <c:numRef>
              <c:f>Tachyon100G_2x1078_Core!$AD$10:$AI$10</c:f>
              <c:numCache>
                <c:formatCode>0.00</c:formatCode>
                <c:ptCount val="6"/>
                <c:pt idx="0">
                  <c:v>4.838680496759828</c:v>
                </c:pt>
                <c:pt idx="1">
                  <c:v>7.1198335377661364</c:v>
                </c:pt>
                <c:pt idx="2">
                  <c:v>12.300307817324056</c:v>
                </c:pt>
                <c:pt idx="3">
                  <c:v>19.415744209034099</c:v>
                </c:pt>
                <c:pt idx="4">
                  <c:v>25.918889561661722</c:v>
                </c:pt>
                <c:pt idx="5">
                  <c:v>32.036849805421923</c:v>
                </c:pt>
              </c:numCache>
            </c:numRef>
          </c:yVal>
          <c:smooth val="0"/>
          <c:extLst>
            <c:ext xmlns:c16="http://schemas.microsoft.com/office/drawing/2014/chart" uri="{C3380CC4-5D6E-409C-BE32-E72D297353CC}">
              <c16:uniqueId val="{00000003-F4C1-4F51-8019-C9640E2DEBBF}"/>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Tachyon100G_2x1078_Core!$AB$25:$AH$25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Tachyon100G_2x1078_Core!$AD$26</c:f>
              <c:strCache>
                <c:ptCount val="1"/>
                <c:pt idx="0">
                  <c:v>1.00</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Tachyon100G_2x1078_Core!$AC$27:$AC$30</c:f>
              <c:numCache>
                <c:formatCode>General</c:formatCode>
                <c:ptCount val="4"/>
                <c:pt idx="0">
                  <c:v>-40</c:v>
                </c:pt>
                <c:pt idx="1">
                  <c:v>0</c:v>
                </c:pt>
                <c:pt idx="2">
                  <c:v>25</c:v>
                </c:pt>
                <c:pt idx="3">
                  <c:v>80</c:v>
                </c:pt>
              </c:numCache>
            </c:numRef>
          </c:xVal>
          <c:yVal>
            <c:numRef>
              <c:f>Tachyon100G_2x1078_Core!$AD$27:$AD$30</c:f>
              <c:numCache>
                <c:formatCode>0.00</c:formatCode>
                <c:ptCount val="4"/>
                <c:pt idx="0">
                  <c:v>4.1386938331567649</c:v>
                </c:pt>
                <c:pt idx="1">
                  <c:v>4.5795369453438832</c:v>
                </c:pt>
                <c:pt idx="2">
                  <c:v>4.838680496759828</c:v>
                </c:pt>
                <c:pt idx="3">
                  <c:v>5.3741973277626434</c:v>
                </c:pt>
              </c:numCache>
            </c:numRef>
          </c:yVal>
          <c:smooth val="0"/>
          <c:extLst>
            <c:ext xmlns:c16="http://schemas.microsoft.com/office/drawing/2014/chart" uri="{C3380CC4-5D6E-409C-BE32-E72D297353CC}">
              <c16:uniqueId val="{00000001-5A60-4C75-BD65-853E7EA135C6}"/>
            </c:ext>
          </c:extLst>
        </c:ser>
        <c:ser>
          <c:idx val="1"/>
          <c:order val="1"/>
          <c:tx>
            <c:strRef>
              <c:f>Tachyon100G_2x1078_Core!$AE$26</c:f>
              <c:strCache>
                <c:ptCount val="1"/>
                <c:pt idx="0">
                  <c:v>2.00</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Tachyon100G_2x1078_Core!$AC$27:$AC$30</c:f>
              <c:numCache>
                <c:formatCode>General</c:formatCode>
                <c:ptCount val="4"/>
                <c:pt idx="0">
                  <c:v>-40</c:v>
                </c:pt>
                <c:pt idx="1">
                  <c:v>0</c:v>
                </c:pt>
                <c:pt idx="2">
                  <c:v>25</c:v>
                </c:pt>
                <c:pt idx="3">
                  <c:v>80</c:v>
                </c:pt>
              </c:numCache>
            </c:numRef>
          </c:xVal>
          <c:yVal>
            <c:numRef>
              <c:f>Tachyon100G_2x1078_Core!$AE$27:$AE$30</c:f>
              <c:numCache>
                <c:formatCode>0.00</c:formatCode>
                <c:ptCount val="4"/>
                <c:pt idx="0">
                  <c:v>6.1062848930634042</c:v>
                </c:pt>
                <c:pt idx="1">
                  <c:v>6.7433224794482642</c:v>
                </c:pt>
                <c:pt idx="2">
                  <c:v>7.1198335377661364</c:v>
                </c:pt>
                <c:pt idx="3">
                  <c:v>7.9020065771576675</c:v>
                </c:pt>
              </c:numCache>
            </c:numRef>
          </c:yVal>
          <c:smooth val="0"/>
          <c:extLst>
            <c:ext xmlns:c16="http://schemas.microsoft.com/office/drawing/2014/chart" uri="{C3380CC4-5D6E-409C-BE32-E72D297353CC}">
              <c16:uniqueId val="{00000003-5A60-4C75-BD65-853E7EA135C6}"/>
            </c:ext>
          </c:extLst>
        </c:ser>
        <c:ser>
          <c:idx val="2"/>
          <c:order val="2"/>
          <c:tx>
            <c:strRef>
              <c:f>Tachyon100G_2x1078_Core!$AF$26</c:f>
              <c:strCache>
                <c:ptCount val="1"/>
                <c:pt idx="0">
                  <c:v>5.00</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Tachyon100G_2x1078_Core!$AC$27:$AC$30</c:f>
              <c:numCache>
                <c:formatCode>General</c:formatCode>
                <c:ptCount val="4"/>
                <c:pt idx="0">
                  <c:v>-40</c:v>
                </c:pt>
                <c:pt idx="1">
                  <c:v>0</c:v>
                </c:pt>
                <c:pt idx="2">
                  <c:v>25</c:v>
                </c:pt>
                <c:pt idx="3">
                  <c:v>80</c:v>
                </c:pt>
              </c:numCache>
            </c:numRef>
          </c:xVal>
          <c:yVal>
            <c:numRef>
              <c:f>Tachyon100G_2x1078_Core!$AF$27:$AF$30</c:f>
              <c:numCache>
                <c:formatCode>0.00</c:formatCode>
                <c:ptCount val="4"/>
                <c:pt idx="0">
                  <c:v>10.647478237630398</c:v>
                </c:pt>
                <c:pt idx="1">
                  <c:v>11.681765120804144</c:v>
                </c:pt>
                <c:pt idx="2">
                  <c:v>12.300307817324056</c:v>
                </c:pt>
                <c:pt idx="3">
                  <c:v>13.600008545436953</c:v>
                </c:pt>
              </c:numCache>
            </c:numRef>
          </c:yVal>
          <c:smooth val="0"/>
          <c:extLst>
            <c:ext xmlns:c16="http://schemas.microsoft.com/office/drawing/2014/chart" uri="{C3380CC4-5D6E-409C-BE32-E72D297353CC}">
              <c16:uniqueId val="{00000005-5A60-4C75-BD65-853E7EA135C6}"/>
            </c:ext>
          </c:extLst>
        </c:ser>
        <c:ser>
          <c:idx val="3"/>
          <c:order val="3"/>
          <c:tx>
            <c:strRef>
              <c:f>Tachyon100G_2x1078_Core!$AG$26</c:f>
              <c:strCache>
                <c:ptCount val="1"/>
                <c:pt idx="0">
                  <c:v>10.00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Tachyon100G_2x1078_Core!$AC$27:$AC$30</c:f>
              <c:numCache>
                <c:formatCode>General</c:formatCode>
                <c:ptCount val="4"/>
                <c:pt idx="0">
                  <c:v>-40</c:v>
                </c:pt>
                <c:pt idx="1">
                  <c:v>0</c:v>
                </c:pt>
                <c:pt idx="2">
                  <c:v>25</c:v>
                </c:pt>
                <c:pt idx="3">
                  <c:v>80</c:v>
                </c:pt>
              </c:numCache>
            </c:numRef>
          </c:xVal>
          <c:yVal>
            <c:numRef>
              <c:f>Tachyon100G_2x1078_Core!$AG$27:$AG$30</c:f>
              <c:numCache>
                <c:formatCode>0.00</c:formatCode>
                <c:ptCount val="4"/>
                <c:pt idx="0">
                  <c:v>17.01696381104626</c:v>
                </c:pt>
                <c:pt idx="1">
                  <c:v>18.512844948536991</c:v>
                </c:pt>
                <c:pt idx="2">
                  <c:v>19.415744209034099</c:v>
                </c:pt>
                <c:pt idx="3">
                  <c:v>21.333449341067329</c:v>
                </c:pt>
              </c:numCache>
            </c:numRef>
          </c:yVal>
          <c:smooth val="0"/>
          <c:extLst>
            <c:ext xmlns:c16="http://schemas.microsoft.com/office/drawing/2014/chart" uri="{C3380CC4-5D6E-409C-BE32-E72D297353CC}">
              <c16:uniqueId val="{00000007-5A60-4C75-BD65-853E7EA135C6}"/>
            </c:ext>
          </c:extLst>
        </c:ser>
        <c:ser>
          <c:idx val="4"/>
          <c:order val="4"/>
          <c:tx>
            <c:strRef>
              <c:f>Tachyon100G_2x1078_Core!$AH$26</c:f>
              <c:strCache>
                <c:ptCount val="1"/>
                <c:pt idx="0">
                  <c:v>15.00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Tachyon100G_2x1078_Core!$AC$27:$AC$30</c:f>
              <c:numCache>
                <c:formatCode>General</c:formatCode>
                <c:ptCount val="4"/>
                <c:pt idx="0">
                  <c:v>-40</c:v>
                </c:pt>
                <c:pt idx="1">
                  <c:v>0</c:v>
                </c:pt>
                <c:pt idx="2">
                  <c:v>25</c:v>
                </c:pt>
                <c:pt idx="3">
                  <c:v>80</c:v>
                </c:pt>
              </c:numCache>
            </c:numRef>
          </c:xVal>
          <c:yVal>
            <c:numRef>
              <c:f>Tachyon100G_2x1078_Core!$AH$27:$AH$30</c:f>
              <c:numCache>
                <c:formatCode>0.00</c:formatCode>
                <c:ptCount val="4"/>
                <c:pt idx="0">
                  <c:v>22.877142206779929</c:v>
                </c:pt>
                <c:pt idx="1">
                  <c:v>24.775864015139682</c:v>
                </c:pt>
                <c:pt idx="2">
                  <c:v>25.918889561661722</c:v>
                </c:pt>
                <c:pt idx="3">
                  <c:v>28.350674248443262</c:v>
                </c:pt>
              </c:numCache>
            </c:numRef>
          </c:yVal>
          <c:smooth val="0"/>
          <c:extLst>
            <c:ext xmlns:c16="http://schemas.microsoft.com/office/drawing/2014/chart" uri="{C3380CC4-5D6E-409C-BE32-E72D297353CC}">
              <c16:uniqueId val="{00000009-5A60-4C75-BD65-853E7EA135C6}"/>
            </c:ext>
          </c:extLst>
        </c:ser>
        <c:ser>
          <c:idx val="5"/>
          <c:order val="5"/>
          <c:tx>
            <c:strRef>
              <c:f>Tachyon100G_2x1078_Core!$AI$26</c:f>
              <c:strCache>
                <c:ptCount val="1"/>
                <c:pt idx="0">
                  <c:v>20.00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Tachyon100G_2x1078_Core!$AC$27:$AC$30</c:f>
              <c:numCache>
                <c:formatCode>General</c:formatCode>
                <c:ptCount val="4"/>
                <c:pt idx="0">
                  <c:v>-40</c:v>
                </c:pt>
                <c:pt idx="1">
                  <c:v>0</c:v>
                </c:pt>
                <c:pt idx="2">
                  <c:v>25</c:v>
                </c:pt>
                <c:pt idx="3">
                  <c:v>80</c:v>
                </c:pt>
              </c:numCache>
            </c:numRef>
          </c:xVal>
          <c:yVal>
            <c:numRef>
              <c:f>Tachyon100G_2x1078_Core!$AI$27:$AI$30</c:f>
              <c:numCache>
                <c:formatCode>0.00</c:formatCode>
                <c:ptCount val="4"/>
                <c:pt idx="0">
                  <c:v>28.348633548522436</c:v>
                </c:pt>
                <c:pt idx="1">
                  <c:v>30.659562487207804</c:v>
                </c:pt>
                <c:pt idx="2">
                  <c:v>32.036849805421923</c:v>
                </c:pt>
                <c:pt idx="3">
                  <c:v>34.951438220675662</c:v>
                </c:pt>
              </c:numCache>
            </c:numRef>
          </c:yVal>
          <c:smooth val="0"/>
          <c:extLst>
            <c:ext xmlns:c16="http://schemas.microsoft.com/office/drawing/2014/chart" uri="{C3380CC4-5D6E-409C-BE32-E72D297353CC}">
              <c16:uniqueId val="{0000000B-5A60-4C75-BD65-853E7EA135C6}"/>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Tachyon100G_2x1078_Core!$AB$25:$AH$25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8053904473639959"/>
          <c:w val="0.6233309689179638"/>
          <c:h val="0.59432405559332946"/>
        </c:manualLayout>
      </c:layout>
      <c:scatterChart>
        <c:scatterStyle val="smoothMarker"/>
        <c:varyColors val="0"/>
        <c:ser>
          <c:idx val="0"/>
          <c:order val="0"/>
          <c:tx>
            <c:strRef>
              <c:f>Tachyon100G_2x1078_Core!$AC$27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Tachyon100G_2x1078_Core!$AD$26:$AI$26</c:f>
              <c:numCache>
                <c:formatCode>0.00</c:formatCode>
                <c:ptCount val="6"/>
                <c:pt idx="0">
                  <c:v>1</c:v>
                </c:pt>
                <c:pt idx="1">
                  <c:v>2</c:v>
                </c:pt>
                <c:pt idx="2">
                  <c:v>5</c:v>
                </c:pt>
                <c:pt idx="3">
                  <c:v>10</c:v>
                </c:pt>
                <c:pt idx="4">
                  <c:v>15</c:v>
                </c:pt>
                <c:pt idx="5">
                  <c:v>20</c:v>
                </c:pt>
              </c:numCache>
            </c:numRef>
          </c:xVal>
          <c:yVal>
            <c:numRef>
              <c:f>Tachyon100G_2x1078_Core!$AD$27:$AI$27</c:f>
              <c:numCache>
                <c:formatCode>0.00</c:formatCode>
                <c:ptCount val="6"/>
                <c:pt idx="0">
                  <c:v>4.1386938331567649</c:v>
                </c:pt>
                <c:pt idx="1">
                  <c:v>6.1062848930634042</c:v>
                </c:pt>
                <c:pt idx="2">
                  <c:v>10.647478237630398</c:v>
                </c:pt>
                <c:pt idx="3">
                  <c:v>17.01696381104626</c:v>
                </c:pt>
                <c:pt idx="4">
                  <c:v>22.877142206779929</c:v>
                </c:pt>
                <c:pt idx="5">
                  <c:v>28.348633548522436</c:v>
                </c:pt>
              </c:numCache>
            </c:numRef>
          </c:yVal>
          <c:smooth val="1"/>
          <c:extLst>
            <c:ext xmlns:c16="http://schemas.microsoft.com/office/drawing/2014/chart" uri="{C3380CC4-5D6E-409C-BE32-E72D297353CC}">
              <c16:uniqueId val="{00000000-6CC1-48FC-A0D5-A020FFFF21F7}"/>
            </c:ext>
          </c:extLst>
        </c:ser>
        <c:ser>
          <c:idx val="1"/>
          <c:order val="1"/>
          <c:tx>
            <c:strRef>
              <c:f>Tachyon100G_2x1078_Core!$AC$28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Tachyon100G_2x1078_Core!$AD$26:$AI$26</c:f>
              <c:numCache>
                <c:formatCode>0.00</c:formatCode>
                <c:ptCount val="6"/>
                <c:pt idx="0">
                  <c:v>1</c:v>
                </c:pt>
                <c:pt idx="1">
                  <c:v>2</c:v>
                </c:pt>
                <c:pt idx="2">
                  <c:v>5</c:v>
                </c:pt>
                <c:pt idx="3">
                  <c:v>10</c:v>
                </c:pt>
                <c:pt idx="4">
                  <c:v>15</c:v>
                </c:pt>
                <c:pt idx="5">
                  <c:v>20</c:v>
                </c:pt>
              </c:numCache>
            </c:numRef>
          </c:xVal>
          <c:yVal>
            <c:numRef>
              <c:f>Tachyon100G_2x1078_Core!$AD$28:$AI$28</c:f>
              <c:numCache>
                <c:formatCode>0.00</c:formatCode>
                <c:ptCount val="6"/>
                <c:pt idx="0">
                  <c:v>4.5795369453438832</c:v>
                </c:pt>
                <c:pt idx="1">
                  <c:v>6.7433224794482642</c:v>
                </c:pt>
                <c:pt idx="2">
                  <c:v>11.681765120804144</c:v>
                </c:pt>
                <c:pt idx="3">
                  <c:v>18.512844948536991</c:v>
                </c:pt>
                <c:pt idx="4">
                  <c:v>24.775864015139682</c:v>
                </c:pt>
                <c:pt idx="5">
                  <c:v>30.659562487207804</c:v>
                </c:pt>
              </c:numCache>
            </c:numRef>
          </c:yVal>
          <c:smooth val="1"/>
          <c:extLst>
            <c:ext xmlns:c16="http://schemas.microsoft.com/office/drawing/2014/chart" uri="{C3380CC4-5D6E-409C-BE32-E72D297353CC}">
              <c16:uniqueId val="{00000001-6CC1-48FC-A0D5-A020FFFF21F7}"/>
            </c:ext>
          </c:extLst>
        </c:ser>
        <c:ser>
          <c:idx val="2"/>
          <c:order val="2"/>
          <c:tx>
            <c:strRef>
              <c:f>Tachyon100G_2x1078_Core!$AC$29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Tachyon100G_2x1078_Core!$AD$26:$AI$26</c:f>
              <c:numCache>
                <c:formatCode>0.00</c:formatCode>
                <c:ptCount val="6"/>
                <c:pt idx="0">
                  <c:v>1</c:v>
                </c:pt>
                <c:pt idx="1">
                  <c:v>2</c:v>
                </c:pt>
                <c:pt idx="2">
                  <c:v>5</c:v>
                </c:pt>
                <c:pt idx="3">
                  <c:v>10</c:v>
                </c:pt>
                <c:pt idx="4">
                  <c:v>15</c:v>
                </c:pt>
                <c:pt idx="5">
                  <c:v>20</c:v>
                </c:pt>
              </c:numCache>
            </c:numRef>
          </c:xVal>
          <c:yVal>
            <c:numRef>
              <c:f>Tachyon100G_2x1078_Core!$AD$29:$AI$29</c:f>
              <c:numCache>
                <c:formatCode>0.00</c:formatCode>
                <c:ptCount val="6"/>
                <c:pt idx="0">
                  <c:v>4.838680496759828</c:v>
                </c:pt>
                <c:pt idx="1">
                  <c:v>7.1198335377661364</c:v>
                </c:pt>
                <c:pt idx="2">
                  <c:v>12.300307817324056</c:v>
                </c:pt>
                <c:pt idx="3">
                  <c:v>19.415744209034099</c:v>
                </c:pt>
                <c:pt idx="4">
                  <c:v>25.918889561661722</c:v>
                </c:pt>
                <c:pt idx="5">
                  <c:v>32.036849805421923</c:v>
                </c:pt>
              </c:numCache>
            </c:numRef>
          </c:yVal>
          <c:smooth val="1"/>
          <c:extLst>
            <c:ext xmlns:c16="http://schemas.microsoft.com/office/drawing/2014/chart" uri="{C3380CC4-5D6E-409C-BE32-E72D297353CC}">
              <c16:uniqueId val="{00000002-6CC1-48FC-A0D5-A020FFFF21F7}"/>
            </c:ext>
          </c:extLst>
        </c:ser>
        <c:ser>
          <c:idx val="3"/>
          <c:order val="3"/>
          <c:tx>
            <c:strRef>
              <c:f>Tachyon100G_2x1078_Core!$AC$30</c:f>
              <c:strCache>
                <c:ptCount val="1"/>
                <c:pt idx="0">
                  <c:v>80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Tachyon100G_2x1078_Core!$AD$26:$AI$26</c:f>
              <c:numCache>
                <c:formatCode>0.00</c:formatCode>
                <c:ptCount val="6"/>
                <c:pt idx="0">
                  <c:v>1</c:v>
                </c:pt>
                <c:pt idx="1">
                  <c:v>2</c:v>
                </c:pt>
                <c:pt idx="2">
                  <c:v>5</c:v>
                </c:pt>
                <c:pt idx="3">
                  <c:v>10</c:v>
                </c:pt>
                <c:pt idx="4">
                  <c:v>15</c:v>
                </c:pt>
                <c:pt idx="5">
                  <c:v>20</c:v>
                </c:pt>
              </c:numCache>
            </c:numRef>
          </c:xVal>
          <c:yVal>
            <c:numRef>
              <c:f>Tachyon100G_2x1078_Core!$AD$30:$AI$30</c:f>
              <c:numCache>
                <c:formatCode>0.00</c:formatCode>
                <c:ptCount val="6"/>
                <c:pt idx="0">
                  <c:v>5.3741973277626434</c:v>
                </c:pt>
                <c:pt idx="1">
                  <c:v>7.9020065771576675</c:v>
                </c:pt>
                <c:pt idx="2">
                  <c:v>13.600008545436953</c:v>
                </c:pt>
                <c:pt idx="3">
                  <c:v>21.333449341067329</c:v>
                </c:pt>
                <c:pt idx="4">
                  <c:v>28.350674248443262</c:v>
                </c:pt>
                <c:pt idx="5">
                  <c:v>34.951438220675662</c:v>
                </c:pt>
              </c:numCache>
            </c:numRef>
          </c:yVal>
          <c:smooth val="1"/>
          <c:extLst>
            <c:ext xmlns:c16="http://schemas.microsoft.com/office/drawing/2014/chart" uri="{C3380CC4-5D6E-409C-BE32-E72D297353CC}">
              <c16:uniqueId val="{00000003-6CC1-48FC-A0D5-A020FFFF21F7}"/>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77176437521454444"/>
          <c:y val="0.21686140485168856"/>
          <c:w val="0.20744404309396594"/>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Tachyon100G_2x1078_Core!$S$23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Tachyon100G_2x1078_Core!$U$24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Tachyon100G_2x1078_Core!$U$25:$U$27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0-7319-40D7-8038-78CB45653741}"/>
            </c:ext>
          </c:extLst>
        </c:ser>
        <c:ser>
          <c:idx val="1"/>
          <c:order val="1"/>
          <c:tx>
            <c:strRef>
              <c:f>Tachyon100G_2x1078_Core!$V$24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Tachyon100G_2x1078_Core!$V$25:$V$27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1-7319-40D7-8038-78CB45653741}"/>
            </c:ext>
          </c:extLst>
        </c:ser>
        <c:ser>
          <c:idx val="2"/>
          <c:order val="2"/>
          <c:tx>
            <c:strRef>
              <c:f>Tachyon100G_2x1078_Core!$W$24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Tachyon100G_2x1078_Core!$W$25:$W$27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2-7319-40D7-8038-78CB45653741}"/>
            </c:ext>
          </c:extLst>
        </c:ser>
        <c:ser>
          <c:idx val="3"/>
          <c:order val="3"/>
          <c:tx>
            <c:strRef>
              <c:f>Tachyon100G_2x1078_Core!$X$24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Tachyon100G_2x1078_Core!$X$25:$X$27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3-7319-40D7-8038-78CB45653741}"/>
            </c:ext>
          </c:extLst>
        </c:ser>
        <c:ser>
          <c:idx val="4"/>
          <c:order val="4"/>
          <c:tx>
            <c:strRef>
              <c:f>Tachyon100G_2x1078_Core!$Z$24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Tachyon100G_2x1078_Core!$Z$25:$Z$27</c:f>
              <c:numCache>
                <c:formatCode>0.0000</c:formatCode>
                <c:ptCount val="3"/>
                <c:pt idx="0">
                  <c:v>2.0871794871794871E-3</c:v>
                </c:pt>
                <c:pt idx="1">
                  <c:v>1.9179487179487177E-3</c:v>
                </c:pt>
                <c:pt idx="2">
                  <c:v>1.4948717948717947E-3</c:v>
                </c:pt>
              </c:numCache>
            </c:numRef>
          </c:yVal>
          <c:smooth val="0"/>
          <c:extLst>
            <c:ext xmlns:c16="http://schemas.microsoft.com/office/drawing/2014/chart" uri="{C3380CC4-5D6E-409C-BE32-E72D297353CC}">
              <c16:uniqueId val="{00000004-7319-40D7-8038-78CB45653741}"/>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DF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Tachyon100G_2x1078_Core!$S$44:$Z$44</c:f>
              <c:strCache>
                <c:ptCount val="8"/>
                <c:pt idx="0">
                  <c:v>DF (Thickness = 152µm)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Tachyon100G_2x1078_Core!$U$45:$Z$45</c:f>
              <c:numCache>
                <c:formatCode>0.00</c:formatCode>
                <c:ptCount val="6"/>
                <c:pt idx="0">
                  <c:v>1</c:v>
                </c:pt>
                <c:pt idx="1">
                  <c:v>2</c:v>
                </c:pt>
                <c:pt idx="2">
                  <c:v>5</c:v>
                </c:pt>
                <c:pt idx="3">
                  <c:v>10</c:v>
                </c:pt>
                <c:pt idx="4">
                  <c:v>15</c:v>
                </c:pt>
                <c:pt idx="5">
                  <c:v>20</c:v>
                </c:pt>
              </c:numCache>
            </c:numRef>
          </c:xVal>
          <c:yVal>
            <c:numRef>
              <c:f>Tachyon100G_2x1078_Core!$U$46:$Z$46</c:f>
              <c:numCache>
                <c:formatCode>0.0000</c:formatCode>
                <c:ptCount val="6"/>
                <c:pt idx="0">
                  <c:v>1.7891328599605517E-3</c:v>
                </c:pt>
                <c:pt idx="1">
                  <c:v>1.7891328599605517E-3</c:v>
                </c:pt>
                <c:pt idx="2">
                  <c:v>1.7891328599605517E-3</c:v>
                </c:pt>
                <c:pt idx="3">
                  <c:v>1.7891328599605517E-3</c:v>
                </c:pt>
                <c:pt idx="4">
                  <c:v>1.7891328599605517E-3</c:v>
                </c:pt>
                <c:pt idx="5">
                  <c:v>1.7891328599605517E-3</c:v>
                </c:pt>
              </c:numCache>
            </c:numRef>
          </c:yVal>
          <c:smooth val="0"/>
          <c:extLst>
            <c:ext xmlns:c16="http://schemas.microsoft.com/office/drawing/2014/chart" uri="{C3380CC4-5D6E-409C-BE32-E72D297353CC}">
              <c16:uniqueId val="{00000000-BEAC-4F29-B48B-3AC516EA0CC1}"/>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SpeedWave300P_1x1035_Preg!$A$23:$H$23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SpeedWave300P_1x1035_Preg!$C$24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SpeedWave300P_1x1035_Preg!$C$25:$C$27</c:f>
              <c:numCache>
                <c:formatCode>0.00</c:formatCode>
                <c:ptCount val="3"/>
                <c:pt idx="0">
                  <c:v>3.1390163934426232</c:v>
                </c:pt>
                <c:pt idx="1">
                  <c:v>3.0722131147540983</c:v>
                </c:pt>
                <c:pt idx="2">
                  <c:v>3.0187704918032789</c:v>
                </c:pt>
              </c:numCache>
            </c:numRef>
          </c:yVal>
          <c:smooth val="0"/>
          <c:extLst>
            <c:ext xmlns:c16="http://schemas.microsoft.com/office/drawing/2014/chart" uri="{C3380CC4-5D6E-409C-BE32-E72D297353CC}">
              <c16:uniqueId val="{00000000-17F2-4142-879D-B4D91D4B1CDC}"/>
            </c:ext>
          </c:extLst>
        </c:ser>
        <c:ser>
          <c:idx val="1"/>
          <c:order val="1"/>
          <c:tx>
            <c:strRef>
              <c:f>SpeedWave300P_1x1035_Preg!$D$24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SpeedWave300P_1x1035_Preg!$D$25:$D$27</c:f>
              <c:numCache>
                <c:formatCode>0.00</c:formatCode>
                <c:ptCount val="3"/>
                <c:pt idx="0">
                  <c:v>3.1406557377049178</c:v>
                </c:pt>
                <c:pt idx="1">
                  <c:v>3.0685245901639342</c:v>
                </c:pt>
                <c:pt idx="2">
                  <c:v>3.0108196721311469</c:v>
                </c:pt>
              </c:numCache>
            </c:numRef>
          </c:yVal>
          <c:smooth val="0"/>
          <c:extLst>
            <c:ext xmlns:c16="http://schemas.microsoft.com/office/drawing/2014/chart" uri="{C3380CC4-5D6E-409C-BE32-E72D297353CC}">
              <c16:uniqueId val="{00000001-17F2-4142-879D-B4D91D4B1CDC}"/>
            </c:ext>
          </c:extLst>
        </c:ser>
        <c:ser>
          <c:idx val="2"/>
          <c:order val="2"/>
          <c:tx>
            <c:strRef>
              <c:f>SpeedWave300P_1x1035_Preg!$E$24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SpeedWave300P_1x1035_Preg!$E$25:$E$27</c:f>
              <c:numCache>
                <c:formatCode>0.00</c:formatCode>
                <c:ptCount val="3"/>
                <c:pt idx="0">
                  <c:v>3.1290163934426229</c:v>
                </c:pt>
                <c:pt idx="1">
                  <c:v>3.0622131147540985</c:v>
                </c:pt>
                <c:pt idx="2">
                  <c:v>3.0087704918032787</c:v>
                </c:pt>
              </c:numCache>
            </c:numRef>
          </c:yVal>
          <c:smooth val="0"/>
          <c:extLst>
            <c:ext xmlns:c16="http://schemas.microsoft.com/office/drawing/2014/chart" uri="{C3380CC4-5D6E-409C-BE32-E72D297353CC}">
              <c16:uniqueId val="{00000002-17F2-4142-879D-B4D91D4B1CDC}"/>
            </c:ext>
          </c:extLst>
        </c:ser>
        <c:ser>
          <c:idx val="3"/>
          <c:order val="3"/>
          <c:tx>
            <c:strRef>
              <c:f>SpeedWave300P_1x1035_Preg!$F$24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SpeedWave300P_1x1035_Preg!$F$25:$F$27</c:f>
              <c:numCache>
                <c:formatCode>0.00</c:formatCode>
                <c:ptCount val="3"/>
                <c:pt idx="0">
                  <c:v>3.1190163934426227</c:v>
                </c:pt>
                <c:pt idx="1">
                  <c:v>3.0522131147540978</c:v>
                </c:pt>
                <c:pt idx="2">
                  <c:v>2.998770491803278</c:v>
                </c:pt>
              </c:numCache>
            </c:numRef>
          </c:yVal>
          <c:smooth val="0"/>
          <c:extLst>
            <c:ext xmlns:c16="http://schemas.microsoft.com/office/drawing/2014/chart" uri="{C3380CC4-5D6E-409C-BE32-E72D297353CC}">
              <c16:uniqueId val="{00000003-17F2-4142-879D-B4D91D4B1CDC}"/>
            </c:ext>
          </c:extLst>
        </c:ser>
        <c:ser>
          <c:idx val="4"/>
          <c:order val="4"/>
          <c:tx>
            <c:strRef>
              <c:f>SpeedWave300P_1x1035_Preg!$H$24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SpeedWave300P_1x1035_Preg!$H$25:$H$27</c:f>
              <c:numCache>
                <c:formatCode>0.00</c:formatCode>
                <c:ptCount val="3"/>
                <c:pt idx="0">
                  <c:v>3.097377049180329</c:v>
                </c:pt>
                <c:pt idx="1">
                  <c:v>3.0359016393442633</c:v>
                </c:pt>
                <c:pt idx="2">
                  <c:v>2.986721311475411</c:v>
                </c:pt>
              </c:numCache>
            </c:numRef>
          </c:yVal>
          <c:smooth val="0"/>
          <c:extLst>
            <c:ext xmlns:c16="http://schemas.microsoft.com/office/drawing/2014/chart" uri="{C3380CC4-5D6E-409C-BE32-E72D297353CC}">
              <c16:uniqueId val="{00000004-17F2-4142-879D-B4D91D4B1CDC}"/>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SpeedWave300P_1x1035_Preg!$J$23:$Q$23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SpeedWave300P_1x1035_Preg!$L$24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SpeedWave300P_1x1035_Preg!$L$25:$L$27</c:f>
              <c:numCache>
                <c:formatCode>0.00</c:formatCode>
                <c:ptCount val="3"/>
                <c:pt idx="0">
                  <c:v>3.0291781981946944</c:v>
                </c:pt>
                <c:pt idx="1">
                  <c:v>2.9738900824683445</c:v>
                </c:pt>
                <c:pt idx="2">
                  <c:v>2.9310917967654566</c:v>
                </c:pt>
              </c:numCache>
            </c:numRef>
          </c:yVal>
          <c:smooth val="0"/>
          <c:extLst>
            <c:ext xmlns:c16="http://schemas.microsoft.com/office/drawing/2014/chart" uri="{C3380CC4-5D6E-409C-BE32-E72D297353CC}">
              <c16:uniqueId val="{00000000-F30F-464B-A64F-3AD21131D35D}"/>
            </c:ext>
          </c:extLst>
        </c:ser>
        <c:ser>
          <c:idx val="1"/>
          <c:order val="1"/>
          <c:tx>
            <c:strRef>
              <c:f>SpeedWave300P_1x1035_Preg!$M$24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SpeedWave300P_1x1035_Preg!$M$25:$M$27</c:f>
              <c:numCache>
                <c:formatCode>0.00</c:formatCode>
                <c:ptCount val="3"/>
                <c:pt idx="0">
                  <c:v>3.0139341745920132</c:v>
                </c:pt>
                <c:pt idx="1">
                  <c:v>2.9552298347593227</c:v>
                </c:pt>
                <c:pt idx="2">
                  <c:v>2.9098876282457105</c:v>
                </c:pt>
              </c:numCache>
            </c:numRef>
          </c:yVal>
          <c:smooth val="0"/>
          <c:extLst>
            <c:ext xmlns:c16="http://schemas.microsoft.com/office/drawing/2014/chart" uri="{C3380CC4-5D6E-409C-BE32-E72D297353CC}">
              <c16:uniqueId val="{00000001-F30F-464B-A64F-3AD21131D35D}"/>
            </c:ext>
          </c:extLst>
        </c:ser>
        <c:ser>
          <c:idx val="2"/>
          <c:order val="2"/>
          <c:tx>
            <c:strRef>
              <c:f>SpeedWave300P_1x1035_Preg!$N$24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SpeedWave300P_1x1035_Preg!$N$25:$N$27</c:f>
              <c:numCache>
                <c:formatCode>0.00</c:formatCode>
                <c:ptCount val="3"/>
                <c:pt idx="0">
                  <c:v>3.0188716683241608</c:v>
                </c:pt>
                <c:pt idx="1">
                  <c:v>2.9636207103469272</c:v>
                </c:pt>
                <c:pt idx="2">
                  <c:v>2.9208550528397628</c:v>
                </c:pt>
              </c:numCache>
            </c:numRef>
          </c:yVal>
          <c:smooth val="0"/>
          <c:extLst>
            <c:ext xmlns:c16="http://schemas.microsoft.com/office/drawing/2014/chart" uri="{C3380CC4-5D6E-409C-BE32-E72D297353CC}">
              <c16:uniqueId val="{00000002-F30F-464B-A64F-3AD21131D35D}"/>
            </c:ext>
          </c:extLst>
        </c:ser>
        <c:ser>
          <c:idx val="3"/>
          <c:order val="3"/>
          <c:tx>
            <c:strRef>
              <c:f>SpeedWave300P_1x1035_Preg!$O$24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SpeedWave300P_1x1035_Preg!$O$25:$O$27</c:f>
              <c:numCache>
                <c:formatCode>0.00</c:formatCode>
                <c:ptCount val="3"/>
                <c:pt idx="0">
                  <c:v>3.0085634227751288</c:v>
                </c:pt>
                <c:pt idx="1">
                  <c:v>2.9533498581922353</c:v>
                </c:pt>
                <c:pt idx="2">
                  <c:v>2.9106170269736356</c:v>
                </c:pt>
              </c:numCache>
            </c:numRef>
          </c:yVal>
          <c:smooth val="0"/>
          <c:extLst>
            <c:ext xmlns:c16="http://schemas.microsoft.com/office/drawing/2014/chart" uri="{C3380CC4-5D6E-409C-BE32-E72D297353CC}">
              <c16:uniqueId val="{00000003-F30F-464B-A64F-3AD21131D35D}"/>
            </c:ext>
          </c:extLst>
        </c:ser>
        <c:ser>
          <c:idx val="4"/>
          <c:order val="4"/>
          <c:tx>
            <c:strRef>
              <c:f>SpeedWave300P_1x1035_Preg!$Q$24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SpeedWave300P_1x1035_Preg!$Q$25:$Q$27</c:f>
              <c:numCache>
                <c:formatCode>0.00</c:formatCode>
                <c:ptCount val="3"/>
                <c:pt idx="0">
                  <c:v>3.0023000128432131</c:v>
                </c:pt>
                <c:pt idx="1">
                  <c:v>2.9506999163760881</c:v>
                </c:pt>
                <c:pt idx="2">
                  <c:v>2.9106795730100754</c:v>
                </c:pt>
              </c:numCache>
            </c:numRef>
          </c:yVal>
          <c:smooth val="0"/>
          <c:extLst>
            <c:ext xmlns:c16="http://schemas.microsoft.com/office/drawing/2014/chart" uri="{C3380CC4-5D6E-409C-BE32-E72D297353CC}">
              <c16:uniqueId val="{00000004-F30F-464B-A64F-3AD21131D35D}"/>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SpeedWave300P_1x1035_Preg!$A$44:$H$44</c:f>
              <c:strCache>
                <c:ptCount val="8"/>
                <c:pt idx="0">
                  <c:v>DK_InPlane (Thickness = 64µm)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SpeedWave300P_1x1035_Preg!$C$45:$H$45</c:f>
              <c:numCache>
                <c:formatCode>0.00</c:formatCode>
                <c:ptCount val="6"/>
                <c:pt idx="0">
                  <c:v>1</c:v>
                </c:pt>
                <c:pt idx="1">
                  <c:v>3</c:v>
                </c:pt>
                <c:pt idx="2">
                  <c:v>5</c:v>
                </c:pt>
                <c:pt idx="3">
                  <c:v>10</c:v>
                </c:pt>
                <c:pt idx="4">
                  <c:v>15</c:v>
                </c:pt>
                <c:pt idx="5">
                  <c:v>20</c:v>
                </c:pt>
              </c:numCache>
            </c:numRef>
          </c:xVal>
          <c:yVal>
            <c:numRef>
              <c:f>SpeedWave300P_1x1035_Preg!$C$46:$H$46</c:f>
              <c:numCache>
                <c:formatCode>0.00</c:formatCode>
                <c:ptCount val="6"/>
                <c:pt idx="0">
                  <c:v>3.0750618686427345</c:v>
                </c:pt>
                <c:pt idx="1">
                  <c:v>3.0716005452829522</c:v>
                </c:pt>
                <c:pt idx="2">
                  <c:v>3.0650618686427347</c:v>
                </c:pt>
                <c:pt idx="3">
                  <c:v>3.055061868642734</c:v>
                </c:pt>
                <c:pt idx="4">
                  <c:v>3.0450618686427346</c:v>
                </c:pt>
                <c:pt idx="5">
                  <c:v>3.0385231920025175</c:v>
                </c:pt>
              </c:numCache>
            </c:numRef>
          </c:yVal>
          <c:smooth val="0"/>
          <c:extLst>
            <c:ext xmlns:c16="http://schemas.microsoft.com/office/drawing/2014/chart" uri="{C3380CC4-5D6E-409C-BE32-E72D297353CC}">
              <c16:uniqueId val="{00000000-60FD-45FC-892D-D9008EC4CBD9}"/>
            </c:ext>
          </c:extLst>
        </c:ser>
        <c:ser>
          <c:idx val="1"/>
          <c:order val="1"/>
          <c:tx>
            <c:strRef>
              <c:f>SpeedWave300P_1x1035_Preg!$J$44:$Q$44</c:f>
              <c:strCache>
                <c:ptCount val="8"/>
                <c:pt idx="0">
                  <c:v>DK_OutofPlane (Thickness = 64µm)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SpeedWave300P_1x1035_Preg!$L$45:$Q$45</c:f>
              <c:numCache>
                <c:formatCode>0.00</c:formatCode>
                <c:ptCount val="6"/>
                <c:pt idx="0">
                  <c:v>1</c:v>
                </c:pt>
                <c:pt idx="1">
                  <c:v>3</c:v>
                </c:pt>
                <c:pt idx="2">
                  <c:v>5</c:v>
                </c:pt>
                <c:pt idx="3">
                  <c:v>10</c:v>
                </c:pt>
                <c:pt idx="4">
                  <c:v>15</c:v>
                </c:pt>
                <c:pt idx="5">
                  <c:v>20</c:v>
                </c:pt>
              </c:numCache>
            </c:numRef>
          </c:xVal>
          <c:yVal>
            <c:numRef>
              <c:f>SpeedWave300P_1x1035_Preg!$L$46:$Q$46</c:f>
              <c:numCache>
                <c:formatCode>0.00</c:formatCode>
                <c:ptCount val="6"/>
                <c:pt idx="0">
                  <c:v>2.9762065551794485</c:v>
                </c:pt>
                <c:pt idx="1">
                  <c:v>2.9576864986215581</c:v>
                </c:pt>
                <c:pt idx="2">
                  <c:v>2.9659355132479863</c:v>
                </c:pt>
                <c:pt idx="3">
                  <c:v>2.9556629809422992</c:v>
                </c:pt>
                <c:pt idx="4">
                  <c:v>2.9453889459358513</c:v>
                </c:pt>
                <c:pt idx="5">
                  <c:v>2.9528641146203602</c:v>
                </c:pt>
              </c:numCache>
            </c:numRef>
          </c:yVal>
          <c:smooth val="0"/>
          <c:extLst>
            <c:ext xmlns:c16="http://schemas.microsoft.com/office/drawing/2014/chart" uri="{C3380CC4-5D6E-409C-BE32-E72D297353CC}">
              <c16:uniqueId val="{00000001-60FD-45FC-892D-D9008EC4CBD9}"/>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'TU863+_1x2116_Preg'!$J$23:$Q$23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'TU863+_1x2116_Preg'!$L$24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'TU863+_1x2116_Preg'!$L$25:$L$27</c:f>
              <c:numCache>
                <c:formatCode>0.00</c:formatCode>
                <c:ptCount val="3"/>
                <c:pt idx="0">
                  <c:v>3.4517688615280053</c:v>
                </c:pt>
                <c:pt idx="1">
                  <c:v>3.4006753350438306</c:v>
                </c:pt>
                <c:pt idx="2">
                  <c:v>3.3268095412058152</c:v>
                </c:pt>
              </c:numCache>
            </c:numRef>
          </c:yVal>
          <c:smooth val="0"/>
          <c:extLst>
            <c:ext xmlns:c16="http://schemas.microsoft.com/office/drawing/2014/chart" uri="{C3380CC4-5D6E-409C-BE32-E72D297353CC}">
              <c16:uniqueId val="{00000000-9BD3-4788-94B4-CB9473C80E16}"/>
            </c:ext>
          </c:extLst>
        </c:ser>
        <c:ser>
          <c:idx val="1"/>
          <c:order val="1"/>
          <c:tx>
            <c:strRef>
              <c:f>'TU863+_1x2116_Preg'!$M$24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'TU863+_1x2116_Preg'!$M$25:$M$27</c:f>
              <c:numCache>
                <c:formatCode>0.00</c:formatCode>
                <c:ptCount val="3"/>
                <c:pt idx="0">
                  <c:v>3.4403597643059016</c:v>
                </c:pt>
                <c:pt idx="1">
                  <c:v>3.3893164767722106</c:v>
                </c:pt>
                <c:pt idx="2">
                  <c:v>3.3155296301206385</c:v>
                </c:pt>
              </c:numCache>
            </c:numRef>
          </c:yVal>
          <c:smooth val="0"/>
          <c:extLst>
            <c:ext xmlns:c16="http://schemas.microsoft.com/office/drawing/2014/chart" uri="{C3380CC4-5D6E-409C-BE32-E72D297353CC}">
              <c16:uniqueId val="{00000001-9BD3-4788-94B4-CB9473C80E16}"/>
            </c:ext>
          </c:extLst>
        </c:ser>
        <c:ser>
          <c:idx val="2"/>
          <c:order val="2"/>
          <c:tx>
            <c:strRef>
              <c:f>'TU863+_1x2116_Preg'!$N$24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'TU863+_1x2116_Preg'!$N$25:$N$27</c:f>
              <c:numCache>
                <c:formatCode>0.00</c:formatCode>
                <c:ptCount val="3"/>
                <c:pt idx="0">
                  <c:v>3.4060922001022615</c:v>
                </c:pt>
                <c:pt idx="1">
                  <c:v>3.3552016455288993</c:v>
                </c:pt>
                <c:pt idx="2">
                  <c:v>3.2816546529366897</c:v>
                </c:pt>
              </c:numCache>
            </c:numRef>
          </c:yVal>
          <c:smooth val="0"/>
          <c:extLst>
            <c:ext xmlns:c16="http://schemas.microsoft.com/office/drawing/2014/chart" uri="{C3380CC4-5D6E-409C-BE32-E72D297353CC}">
              <c16:uniqueId val="{00000002-9BD3-4788-94B4-CB9473C80E16}"/>
            </c:ext>
          </c:extLst>
        </c:ser>
        <c:ser>
          <c:idx val="3"/>
          <c:order val="3"/>
          <c:tx>
            <c:strRef>
              <c:f>'TU863+_1x2116_Preg'!$O$24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'TU863+_1x2116_Preg'!$O$25:$O$27</c:f>
              <c:numCache>
                <c:formatCode>0.00</c:formatCode>
                <c:ptCount val="3"/>
                <c:pt idx="0">
                  <c:v>3.4184782608695645</c:v>
                </c:pt>
                <c:pt idx="1">
                  <c:v>3.3696428571428569</c:v>
                </c:pt>
                <c:pt idx="2">
                  <c:v>3.2989510489510487</c:v>
                </c:pt>
              </c:numCache>
            </c:numRef>
          </c:yVal>
          <c:smooth val="0"/>
          <c:extLst>
            <c:ext xmlns:c16="http://schemas.microsoft.com/office/drawing/2014/chart" uri="{C3380CC4-5D6E-409C-BE32-E72D297353CC}">
              <c16:uniqueId val="{00000003-9BD3-4788-94B4-CB9473C80E16}"/>
            </c:ext>
          </c:extLst>
        </c:ser>
        <c:ser>
          <c:idx val="4"/>
          <c:order val="4"/>
          <c:tx>
            <c:strRef>
              <c:f>'TU863+_1x2116_Preg'!$Q$24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'TU863+_1x2116_Preg'!$Q$25:$Q$27</c:f>
              <c:numCache>
                <c:formatCode>0.00</c:formatCode>
                <c:ptCount val="3"/>
                <c:pt idx="0">
                  <c:v>3.3505147058823526</c:v>
                </c:pt>
                <c:pt idx="1">
                  <c:v>3.3019565217391298</c:v>
                </c:pt>
                <c:pt idx="2">
                  <c:v>3.2317021276595734</c:v>
                </c:pt>
              </c:numCache>
            </c:numRef>
          </c:yVal>
          <c:smooth val="0"/>
          <c:extLst>
            <c:ext xmlns:c16="http://schemas.microsoft.com/office/drawing/2014/chart" uri="{C3380CC4-5D6E-409C-BE32-E72D297353CC}">
              <c16:uniqueId val="{00000004-9BD3-4788-94B4-CB9473C80E1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SpeedWave300P_1x1035_Preg!$AB$6:$AH$6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SpeedWave300P_1x1035_Preg!$AB$7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SpeedWave300P_1x1035_Preg!$AD$2:$AI$2</c:f>
              <c:numCache>
                <c:formatCode>0.00</c:formatCode>
                <c:ptCount val="6"/>
                <c:pt idx="0">
                  <c:v>1</c:v>
                </c:pt>
                <c:pt idx="1">
                  <c:v>3</c:v>
                </c:pt>
                <c:pt idx="2">
                  <c:v>5</c:v>
                </c:pt>
                <c:pt idx="3">
                  <c:v>10</c:v>
                </c:pt>
                <c:pt idx="4">
                  <c:v>15</c:v>
                </c:pt>
                <c:pt idx="5">
                  <c:v>20</c:v>
                </c:pt>
              </c:numCache>
            </c:numRef>
          </c:xVal>
          <c:yVal>
            <c:numRef>
              <c:f>SpeedWave300P_1x1035_Preg!$AD$7:$AI$7</c:f>
              <c:numCache>
                <c:formatCode>0.00</c:formatCode>
                <c:ptCount val="6"/>
                <c:pt idx="0">
                  <c:v>0.18956807769406017</c:v>
                </c:pt>
                <c:pt idx="1">
                  <c:v>0.70990304722058406</c:v>
                </c:pt>
                <c:pt idx="2">
                  <c:v>1.4204276198217831</c:v>
                </c:pt>
                <c:pt idx="3">
                  <c:v>3.101239622950311</c:v>
                </c:pt>
                <c:pt idx="4">
                  <c:v>5.1165870033898626</c:v>
                </c:pt>
                <c:pt idx="5">
                  <c:v>7.1377268640669094</c:v>
                </c:pt>
              </c:numCache>
            </c:numRef>
          </c:yVal>
          <c:smooth val="0"/>
          <c:extLst>
            <c:ext xmlns:c16="http://schemas.microsoft.com/office/drawing/2014/chart" uri="{C3380CC4-5D6E-409C-BE32-E72D297353CC}">
              <c16:uniqueId val="{00000000-44CC-4C15-B2A2-B40D42462EB3}"/>
            </c:ext>
          </c:extLst>
        </c:ser>
        <c:ser>
          <c:idx val="1"/>
          <c:order val="1"/>
          <c:tx>
            <c:strRef>
              <c:f>SpeedWave300P_1x1035_Preg!$AB$8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SpeedWave300P_1x1035_Preg!$AD$2:$AI$2</c:f>
              <c:numCache>
                <c:formatCode>0.00</c:formatCode>
                <c:ptCount val="6"/>
                <c:pt idx="0">
                  <c:v>1</c:v>
                </c:pt>
                <c:pt idx="1">
                  <c:v>3</c:v>
                </c:pt>
                <c:pt idx="2">
                  <c:v>5</c:v>
                </c:pt>
                <c:pt idx="3">
                  <c:v>10</c:v>
                </c:pt>
                <c:pt idx="4">
                  <c:v>15</c:v>
                </c:pt>
                <c:pt idx="5">
                  <c:v>20</c:v>
                </c:pt>
              </c:numCache>
            </c:numRef>
          </c:xVal>
          <c:yVal>
            <c:numRef>
              <c:f>SpeedWave300P_1x1035_Preg!$AD$8:$AI$8</c:f>
              <c:numCache>
                <c:formatCode>0.00</c:formatCode>
                <c:ptCount val="6"/>
                <c:pt idx="0">
                  <c:v>9.7668742944285185</c:v>
                </c:pt>
                <c:pt idx="1">
                  <c:v>16.885969352536897</c:v>
                </c:pt>
                <c:pt idx="2">
                  <c:v>21.802784454130069</c:v>
                </c:pt>
                <c:pt idx="3">
                  <c:v>30.781927653082981</c:v>
                </c:pt>
                <c:pt idx="4">
                  <c:v>37.636373695294608</c:v>
                </c:pt>
                <c:pt idx="5">
                  <c:v>43.462137805994296</c:v>
                </c:pt>
              </c:numCache>
            </c:numRef>
          </c:yVal>
          <c:smooth val="0"/>
          <c:extLst>
            <c:ext xmlns:c16="http://schemas.microsoft.com/office/drawing/2014/chart" uri="{C3380CC4-5D6E-409C-BE32-E72D297353CC}">
              <c16:uniqueId val="{00000001-44CC-4C15-B2A2-B40D42462EB3}"/>
            </c:ext>
          </c:extLst>
        </c:ser>
        <c:ser>
          <c:idx val="2"/>
          <c:order val="2"/>
          <c:tx>
            <c:strRef>
              <c:f>SpeedWave300P_1x1035_Preg!$AB$9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SpeedWave300P_1x1035_Preg!$AD$2:$AI$2</c:f>
              <c:numCache>
                <c:formatCode>0.00</c:formatCode>
                <c:ptCount val="6"/>
                <c:pt idx="0">
                  <c:v>1</c:v>
                </c:pt>
                <c:pt idx="1">
                  <c:v>3</c:v>
                </c:pt>
                <c:pt idx="2">
                  <c:v>5</c:v>
                </c:pt>
                <c:pt idx="3">
                  <c:v>10</c:v>
                </c:pt>
                <c:pt idx="4">
                  <c:v>15</c:v>
                </c:pt>
                <c:pt idx="5">
                  <c:v>20</c:v>
                </c:pt>
              </c:numCache>
            </c:numRef>
          </c:xVal>
          <c:yVal>
            <c:numRef>
              <c:f>SpeedWave300P_1x1035_Preg!$AD$9:$AI$9</c:f>
              <c:numCache>
                <c:formatCode>0.00</c:formatCode>
                <c:ptCount val="6"/>
                <c:pt idx="0">
                  <c:v>9.9384570989395016</c:v>
                </c:pt>
                <c:pt idx="1">
                  <c:v>17.774118592423502</c:v>
                </c:pt>
                <c:pt idx="2">
                  <c:v>23.706383537100937</c:v>
                </c:pt>
                <c:pt idx="3">
                  <c:v>36.059602717739494</c:v>
                </c:pt>
                <c:pt idx="4">
                  <c:v>47.041863908915047</c:v>
                </c:pt>
                <c:pt idx="5">
                  <c:v>57.418741369767652</c:v>
                </c:pt>
              </c:numCache>
            </c:numRef>
          </c:yVal>
          <c:smooth val="0"/>
          <c:extLst>
            <c:ext xmlns:c16="http://schemas.microsoft.com/office/drawing/2014/chart" uri="{C3380CC4-5D6E-409C-BE32-E72D297353CC}">
              <c16:uniqueId val="{00000002-44CC-4C15-B2A2-B40D42462EB3}"/>
            </c:ext>
          </c:extLst>
        </c:ser>
        <c:ser>
          <c:idx val="3"/>
          <c:order val="3"/>
          <c:tx>
            <c:strRef>
              <c:f>SpeedWave300P_1x1035_Preg!$AB$10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SpeedWave300P_1x1035_Preg!$AD$2:$AI$2</c:f>
              <c:numCache>
                <c:formatCode>0.00</c:formatCode>
                <c:ptCount val="6"/>
                <c:pt idx="0">
                  <c:v>1</c:v>
                </c:pt>
                <c:pt idx="1">
                  <c:v>3</c:v>
                </c:pt>
                <c:pt idx="2">
                  <c:v>5</c:v>
                </c:pt>
                <c:pt idx="3">
                  <c:v>10</c:v>
                </c:pt>
                <c:pt idx="4">
                  <c:v>15</c:v>
                </c:pt>
                <c:pt idx="5">
                  <c:v>20</c:v>
                </c:pt>
              </c:numCache>
            </c:numRef>
          </c:xVal>
          <c:yVal>
            <c:numRef>
              <c:f>SpeedWave300P_1x1035_Preg!$AD$10:$AI$10</c:f>
              <c:numCache>
                <c:formatCode>0.00</c:formatCode>
                <c:ptCount val="6"/>
                <c:pt idx="0">
                  <c:v>10.128025176633562</c:v>
                </c:pt>
                <c:pt idx="1">
                  <c:v>18.484021639644087</c:v>
                </c:pt>
                <c:pt idx="2">
                  <c:v>25.12681115692272</c:v>
                </c:pt>
                <c:pt idx="3">
                  <c:v>39.160842340689804</c:v>
                </c:pt>
                <c:pt idx="4">
                  <c:v>52.158450912304907</c:v>
                </c:pt>
                <c:pt idx="5">
                  <c:v>64.556468233834565</c:v>
                </c:pt>
              </c:numCache>
            </c:numRef>
          </c:yVal>
          <c:smooth val="0"/>
          <c:extLst>
            <c:ext xmlns:c16="http://schemas.microsoft.com/office/drawing/2014/chart" uri="{C3380CC4-5D6E-409C-BE32-E72D297353CC}">
              <c16:uniqueId val="{00000003-44CC-4C15-B2A2-B40D42462EB3}"/>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SpeedWave300P_1x1035_Preg!$AB$25:$AH$25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SpeedWave300P_1x1035_Preg!$AD$26</c:f>
              <c:strCache>
                <c:ptCount val="1"/>
                <c:pt idx="0">
                  <c:v>1.00</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SpeedWave300P_1x1035_Preg!$AC$27:$AC$30</c:f>
              <c:numCache>
                <c:formatCode>General</c:formatCode>
                <c:ptCount val="4"/>
                <c:pt idx="0">
                  <c:v>-40</c:v>
                </c:pt>
                <c:pt idx="1">
                  <c:v>0</c:v>
                </c:pt>
                <c:pt idx="2">
                  <c:v>25</c:v>
                </c:pt>
                <c:pt idx="3">
                  <c:v>90</c:v>
                </c:pt>
              </c:numCache>
            </c:numRef>
          </c:xVal>
          <c:yVal>
            <c:numRef>
              <c:f>SpeedWave300P_1x1035_Preg!$AD$27:$AD$30</c:f>
              <c:numCache>
                <c:formatCode>0.00</c:formatCode>
                <c:ptCount val="4"/>
                <c:pt idx="0">
                  <c:v>8.776347908967681</c:v>
                </c:pt>
                <c:pt idx="1">
                  <c:v>9.6310433915924936</c:v>
                </c:pt>
                <c:pt idx="2">
                  <c:v>10.128025176633562</c:v>
                </c:pt>
                <c:pt idx="3">
                  <c:v>11.316877874675511</c:v>
                </c:pt>
              </c:numCache>
            </c:numRef>
          </c:yVal>
          <c:smooth val="0"/>
          <c:extLst>
            <c:ext xmlns:c16="http://schemas.microsoft.com/office/drawing/2014/chart" uri="{C3380CC4-5D6E-409C-BE32-E72D297353CC}">
              <c16:uniqueId val="{00000001-C59C-4A66-B9A8-412A82B6AE5B}"/>
            </c:ext>
          </c:extLst>
        </c:ser>
        <c:ser>
          <c:idx val="1"/>
          <c:order val="1"/>
          <c:tx>
            <c:strRef>
              <c:f>SpeedWave300P_1x1035_Preg!$AE$26</c:f>
              <c:strCache>
                <c:ptCount val="1"/>
                <c:pt idx="0">
                  <c:v>3.00</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SpeedWave300P_1x1035_Preg!$AC$27:$AC$30</c:f>
              <c:numCache>
                <c:formatCode>General</c:formatCode>
                <c:ptCount val="4"/>
                <c:pt idx="0">
                  <c:v>-40</c:v>
                </c:pt>
                <c:pt idx="1">
                  <c:v>0</c:v>
                </c:pt>
                <c:pt idx="2">
                  <c:v>25</c:v>
                </c:pt>
                <c:pt idx="3">
                  <c:v>90</c:v>
                </c:pt>
              </c:numCache>
            </c:numRef>
          </c:xVal>
          <c:yVal>
            <c:numRef>
              <c:f>SpeedWave300P_1x1035_Preg!$AE$27:$AE$30</c:f>
              <c:numCache>
                <c:formatCode>0.00</c:formatCode>
                <c:ptCount val="4"/>
                <c:pt idx="0">
                  <c:v>16.242528265126417</c:v>
                </c:pt>
                <c:pt idx="1">
                  <c:v>17.656645410916333</c:v>
                </c:pt>
                <c:pt idx="2">
                  <c:v>18.484021639644087</c:v>
                </c:pt>
                <c:pt idx="3">
                  <c:v>20.474984282516669</c:v>
                </c:pt>
              </c:numCache>
            </c:numRef>
          </c:yVal>
          <c:smooth val="0"/>
          <c:extLst>
            <c:ext xmlns:c16="http://schemas.microsoft.com/office/drawing/2014/chart" uri="{C3380CC4-5D6E-409C-BE32-E72D297353CC}">
              <c16:uniqueId val="{00000003-C59C-4A66-B9A8-412A82B6AE5B}"/>
            </c:ext>
          </c:extLst>
        </c:ser>
        <c:ser>
          <c:idx val="2"/>
          <c:order val="2"/>
          <c:tx>
            <c:strRef>
              <c:f>SpeedWave300P_1x1035_Preg!$AF$26</c:f>
              <c:strCache>
                <c:ptCount val="1"/>
                <c:pt idx="0">
                  <c:v>5.00</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SpeedWave300P_1x1035_Preg!$AC$27:$AC$30</c:f>
              <c:numCache>
                <c:formatCode>General</c:formatCode>
                <c:ptCount val="4"/>
                <c:pt idx="0">
                  <c:v>-40</c:v>
                </c:pt>
                <c:pt idx="1">
                  <c:v>0</c:v>
                </c:pt>
                <c:pt idx="2">
                  <c:v>25</c:v>
                </c:pt>
                <c:pt idx="3">
                  <c:v>90</c:v>
                </c:pt>
              </c:numCache>
            </c:numRef>
          </c:xVal>
          <c:yVal>
            <c:numRef>
              <c:f>SpeedWave300P_1x1035_Preg!$AF$27:$AF$30</c:f>
              <c:numCache>
                <c:formatCode>0.00</c:formatCode>
                <c:ptCount val="4"/>
                <c:pt idx="0">
                  <c:v>22.348191394140716</c:v>
                </c:pt>
                <c:pt idx="1">
                  <c:v>24.097588015913463</c:v>
                </c:pt>
                <c:pt idx="2">
                  <c:v>25.12681115692272</c:v>
                </c:pt>
                <c:pt idx="3">
                  <c:v>27.617304296815863</c:v>
                </c:pt>
              </c:numCache>
            </c:numRef>
          </c:yVal>
          <c:smooth val="0"/>
          <c:extLst>
            <c:ext xmlns:c16="http://schemas.microsoft.com/office/drawing/2014/chart" uri="{C3380CC4-5D6E-409C-BE32-E72D297353CC}">
              <c16:uniqueId val="{00000005-C59C-4A66-B9A8-412A82B6AE5B}"/>
            </c:ext>
          </c:extLst>
        </c:ser>
        <c:ser>
          <c:idx val="3"/>
          <c:order val="3"/>
          <c:tx>
            <c:strRef>
              <c:f>SpeedWave300P_1x1035_Preg!$AG$26</c:f>
              <c:strCache>
                <c:ptCount val="1"/>
                <c:pt idx="0">
                  <c:v>10.00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SpeedWave300P_1x1035_Preg!$AC$27:$AC$30</c:f>
              <c:numCache>
                <c:formatCode>General</c:formatCode>
                <c:ptCount val="4"/>
                <c:pt idx="0">
                  <c:v>-40</c:v>
                </c:pt>
                <c:pt idx="1">
                  <c:v>0</c:v>
                </c:pt>
                <c:pt idx="2">
                  <c:v>25</c:v>
                </c:pt>
                <c:pt idx="3">
                  <c:v>90</c:v>
                </c:pt>
              </c:numCache>
            </c:numRef>
          </c:xVal>
          <c:yVal>
            <c:numRef>
              <c:f>SpeedWave300P_1x1035_Preg!$AG$27:$AG$30</c:f>
              <c:numCache>
                <c:formatCode>0.00</c:formatCode>
                <c:ptCount val="4"/>
                <c:pt idx="0">
                  <c:v>35.56161195275866</c:v>
                </c:pt>
                <c:pt idx="1">
                  <c:v>37.822400869759697</c:v>
                </c:pt>
                <c:pt idx="2">
                  <c:v>39.160842340689804</c:v>
                </c:pt>
                <c:pt idx="3">
                  <c:v>42.428772861350055</c:v>
                </c:pt>
              </c:numCache>
            </c:numRef>
          </c:yVal>
          <c:smooth val="0"/>
          <c:extLst>
            <c:ext xmlns:c16="http://schemas.microsoft.com/office/drawing/2014/chart" uri="{C3380CC4-5D6E-409C-BE32-E72D297353CC}">
              <c16:uniqueId val="{00000007-C59C-4A66-B9A8-412A82B6AE5B}"/>
            </c:ext>
          </c:extLst>
        </c:ser>
        <c:ser>
          <c:idx val="4"/>
          <c:order val="4"/>
          <c:tx>
            <c:strRef>
              <c:f>SpeedWave300P_1x1035_Preg!$AH$26</c:f>
              <c:strCache>
                <c:ptCount val="1"/>
                <c:pt idx="0">
                  <c:v>15.00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SpeedWave300P_1x1035_Preg!$AC$27:$AC$30</c:f>
              <c:numCache>
                <c:formatCode>General</c:formatCode>
                <c:ptCount val="4"/>
                <c:pt idx="0">
                  <c:v>-40</c:v>
                </c:pt>
                <c:pt idx="1">
                  <c:v>0</c:v>
                </c:pt>
                <c:pt idx="2">
                  <c:v>25</c:v>
                </c:pt>
                <c:pt idx="3">
                  <c:v>90</c:v>
                </c:pt>
              </c:numCache>
            </c:numRef>
          </c:xVal>
          <c:yVal>
            <c:numRef>
              <c:f>SpeedWave300P_1x1035_Preg!$AH$27:$AH$30</c:f>
              <c:numCache>
                <c:formatCode>0.00</c:formatCode>
                <c:ptCount val="4"/>
                <c:pt idx="0">
                  <c:v>47.962190828568822</c:v>
                </c:pt>
                <c:pt idx="1">
                  <c:v>50.606673076946784</c:v>
                </c:pt>
                <c:pt idx="2">
                  <c:v>52.158450912304907</c:v>
                </c:pt>
                <c:pt idx="3">
                  <c:v>55.938041529662286</c:v>
                </c:pt>
              </c:numCache>
            </c:numRef>
          </c:yVal>
          <c:smooth val="0"/>
          <c:extLst>
            <c:ext xmlns:c16="http://schemas.microsoft.com/office/drawing/2014/chart" uri="{C3380CC4-5D6E-409C-BE32-E72D297353CC}">
              <c16:uniqueId val="{00000009-C59C-4A66-B9A8-412A82B6AE5B}"/>
            </c:ext>
          </c:extLst>
        </c:ser>
        <c:ser>
          <c:idx val="5"/>
          <c:order val="5"/>
          <c:tx>
            <c:strRef>
              <c:f>SpeedWave300P_1x1035_Preg!$AI$26</c:f>
              <c:strCache>
                <c:ptCount val="1"/>
                <c:pt idx="0">
                  <c:v>20.00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SpeedWave300P_1x1035_Preg!$AC$27:$AC$30</c:f>
              <c:numCache>
                <c:formatCode>General</c:formatCode>
                <c:ptCount val="4"/>
                <c:pt idx="0">
                  <c:v>-40</c:v>
                </c:pt>
                <c:pt idx="1">
                  <c:v>0</c:v>
                </c:pt>
                <c:pt idx="2">
                  <c:v>25</c:v>
                </c:pt>
                <c:pt idx="3">
                  <c:v>90</c:v>
                </c:pt>
              </c:numCache>
            </c:numRef>
          </c:xVal>
          <c:yVal>
            <c:numRef>
              <c:f>SpeedWave300P_1x1035_Preg!$AI$27:$AI$30</c:f>
              <c:numCache>
                <c:formatCode>0.00</c:formatCode>
                <c:ptCount val="4"/>
                <c:pt idx="0">
                  <c:v>59.728352290473836</c:v>
                </c:pt>
                <c:pt idx="1">
                  <c:v>62.793942706104303</c:v>
                </c:pt>
                <c:pt idx="2">
                  <c:v>64.556468233834565</c:v>
                </c:pt>
                <c:pt idx="3">
                  <c:v>68.789125630959973</c:v>
                </c:pt>
              </c:numCache>
            </c:numRef>
          </c:yVal>
          <c:smooth val="0"/>
          <c:extLst>
            <c:ext xmlns:c16="http://schemas.microsoft.com/office/drawing/2014/chart" uri="{C3380CC4-5D6E-409C-BE32-E72D297353CC}">
              <c16:uniqueId val="{0000000B-C59C-4A66-B9A8-412A82B6AE5B}"/>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SpeedWave300P_1x1035_Preg!$AB$25:$AH$25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2083941979397422"/>
          <c:w val="0.6233309689179638"/>
          <c:h val="0.53861374918664418"/>
        </c:manualLayout>
      </c:layout>
      <c:scatterChart>
        <c:scatterStyle val="smoothMarker"/>
        <c:varyColors val="0"/>
        <c:ser>
          <c:idx val="0"/>
          <c:order val="0"/>
          <c:tx>
            <c:strRef>
              <c:f>SpeedWave300P_1x1035_Preg!$AC$27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SpeedWave300P_1x1035_Preg!$AD$26:$AI$26</c:f>
              <c:numCache>
                <c:formatCode>0.00</c:formatCode>
                <c:ptCount val="6"/>
                <c:pt idx="0">
                  <c:v>1</c:v>
                </c:pt>
                <c:pt idx="1">
                  <c:v>3</c:v>
                </c:pt>
                <c:pt idx="2">
                  <c:v>5</c:v>
                </c:pt>
                <c:pt idx="3">
                  <c:v>10</c:v>
                </c:pt>
                <c:pt idx="4">
                  <c:v>15</c:v>
                </c:pt>
                <c:pt idx="5">
                  <c:v>20</c:v>
                </c:pt>
              </c:numCache>
            </c:numRef>
          </c:xVal>
          <c:yVal>
            <c:numRef>
              <c:f>SpeedWave300P_1x1035_Preg!$AD$27:$AI$27</c:f>
              <c:numCache>
                <c:formatCode>0.00</c:formatCode>
                <c:ptCount val="6"/>
                <c:pt idx="0">
                  <c:v>8.776347908967681</c:v>
                </c:pt>
                <c:pt idx="1">
                  <c:v>16.242528265126417</c:v>
                </c:pt>
                <c:pt idx="2">
                  <c:v>22.348191394140716</c:v>
                </c:pt>
                <c:pt idx="3">
                  <c:v>35.56161195275866</c:v>
                </c:pt>
                <c:pt idx="4">
                  <c:v>47.962190828568822</c:v>
                </c:pt>
                <c:pt idx="5">
                  <c:v>59.728352290473836</c:v>
                </c:pt>
              </c:numCache>
            </c:numRef>
          </c:yVal>
          <c:smooth val="1"/>
          <c:extLst>
            <c:ext xmlns:c16="http://schemas.microsoft.com/office/drawing/2014/chart" uri="{C3380CC4-5D6E-409C-BE32-E72D297353CC}">
              <c16:uniqueId val="{00000000-841F-4245-9CBB-75FD19E988AB}"/>
            </c:ext>
          </c:extLst>
        </c:ser>
        <c:ser>
          <c:idx val="1"/>
          <c:order val="1"/>
          <c:tx>
            <c:strRef>
              <c:f>SpeedWave300P_1x1035_Preg!$AC$28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SpeedWave300P_1x1035_Preg!$AD$26:$AI$26</c:f>
              <c:numCache>
                <c:formatCode>0.00</c:formatCode>
                <c:ptCount val="6"/>
                <c:pt idx="0">
                  <c:v>1</c:v>
                </c:pt>
                <c:pt idx="1">
                  <c:v>3</c:v>
                </c:pt>
                <c:pt idx="2">
                  <c:v>5</c:v>
                </c:pt>
                <c:pt idx="3">
                  <c:v>10</c:v>
                </c:pt>
                <c:pt idx="4">
                  <c:v>15</c:v>
                </c:pt>
                <c:pt idx="5">
                  <c:v>20</c:v>
                </c:pt>
              </c:numCache>
            </c:numRef>
          </c:xVal>
          <c:yVal>
            <c:numRef>
              <c:f>SpeedWave300P_1x1035_Preg!$AD$28:$AI$28</c:f>
              <c:numCache>
                <c:formatCode>0.00</c:formatCode>
                <c:ptCount val="6"/>
                <c:pt idx="0">
                  <c:v>9.6310433915924936</c:v>
                </c:pt>
                <c:pt idx="1">
                  <c:v>17.656645410916333</c:v>
                </c:pt>
                <c:pt idx="2">
                  <c:v>24.097588015913463</c:v>
                </c:pt>
                <c:pt idx="3">
                  <c:v>37.822400869759697</c:v>
                </c:pt>
                <c:pt idx="4">
                  <c:v>50.606673076946784</c:v>
                </c:pt>
                <c:pt idx="5">
                  <c:v>62.793942706104303</c:v>
                </c:pt>
              </c:numCache>
            </c:numRef>
          </c:yVal>
          <c:smooth val="1"/>
          <c:extLst>
            <c:ext xmlns:c16="http://schemas.microsoft.com/office/drawing/2014/chart" uri="{C3380CC4-5D6E-409C-BE32-E72D297353CC}">
              <c16:uniqueId val="{00000001-841F-4245-9CBB-75FD19E988AB}"/>
            </c:ext>
          </c:extLst>
        </c:ser>
        <c:ser>
          <c:idx val="2"/>
          <c:order val="2"/>
          <c:tx>
            <c:strRef>
              <c:f>SpeedWave300P_1x1035_Preg!$AC$29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SpeedWave300P_1x1035_Preg!$AD$26:$AI$26</c:f>
              <c:numCache>
                <c:formatCode>0.00</c:formatCode>
                <c:ptCount val="6"/>
                <c:pt idx="0">
                  <c:v>1</c:v>
                </c:pt>
                <c:pt idx="1">
                  <c:v>3</c:v>
                </c:pt>
                <c:pt idx="2">
                  <c:v>5</c:v>
                </c:pt>
                <c:pt idx="3">
                  <c:v>10</c:v>
                </c:pt>
                <c:pt idx="4">
                  <c:v>15</c:v>
                </c:pt>
                <c:pt idx="5">
                  <c:v>20</c:v>
                </c:pt>
              </c:numCache>
            </c:numRef>
          </c:xVal>
          <c:yVal>
            <c:numRef>
              <c:f>SpeedWave300P_1x1035_Preg!$AD$29:$AI$29</c:f>
              <c:numCache>
                <c:formatCode>0.00</c:formatCode>
                <c:ptCount val="6"/>
                <c:pt idx="0">
                  <c:v>10.128025176633562</c:v>
                </c:pt>
                <c:pt idx="1">
                  <c:v>18.484021639644087</c:v>
                </c:pt>
                <c:pt idx="2">
                  <c:v>25.12681115692272</c:v>
                </c:pt>
                <c:pt idx="3">
                  <c:v>39.160842340689804</c:v>
                </c:pt>
                <c:pt idx="4">
                  <c:v>52.158450912304907</c:v>
                </c:pt>
                <c:pt idx="5">
                  <c:v>64.556468233834565</c:v>
                </c:pt>
              </c:numCache>
            </c:numRef>
          </c:yVal>
          <c:smooth val="1"/>
          <c:extLst>
            <c:ext xmlns:c16="http://schemas.microsoft.com/office/drawing/2014/chart" uri="{C3380CC4-5D6E-409C-BE32-E72D297353CC}">
              <c16:uniqueId val="{00000002-841F-4245-9CBB-75FD19E988AB}"/>
            </c:ext>
          </c:extLst>
        </c:ser>
        <c:ser>
          <c:idx val="3"/>
          <c:order val="3"/>
          <c:tx>
            <c:strRef>
              <c:f>SpeedWave300P_1x1035_Preg!$AC$30</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SpeedWave300P_1x1035_Preg!$AD$26:$AI$26</c:f>
              <c:numCache>
                <c:formatCode>0.00</c:formatCode>
                <c:ptCount val="6"/>
                <c:pt idx="0">
                  <c:v>1</c:v>
                </c:pt>
                <c:pt idx="1">
                  <c:v>3</c:v>
                </c:pt>
                <c:pt idx="2">
                  <c:v>5</c:v>
                </c:pt>
                <c:pt idx="3">
                  <c:v>10</c:v>
                </c:pt>
                <c:pt idx="4">
                  <c:v>15</c:v>
                </c:pt>
                <c:pt idx="5">
                  <c:v>20</c:v>
                </c:pt>
              </c:numCache>
            </c:numRef>
          </c:xVal>
          <c:yVal>
            <c:numRef>
              <c:f>SpeedWave300P_1x1035_Preg!$AD$30:$AI$30</c:f>
              <c:numCache>
                <c:formatCode>0.00</c:formatCode>
                <c:ptCount val="6"/>
                <c:pt idx="0">
                  <c:v>11.316877874675511</c:v>
                </c:pt>
                <c:pt idx="1">
                  <c:v>20.474984282516669</c:v>
                </c:pt>
                <c:pt idx="2">
                  <c:v>27.617304296815863</c:v>
                </c:pt>
                <c:pt idx="3">
                  <c:v>42.428772861350055</c:v>
                </c:pt>
                <c:pt idx="4">
                  <c:v>55.938041529662286</c:v>
                </c:pt>
                <c:pt idx="5">
                  <c:v>68.789125630959973</c:v>
                </c:pt>
              </c:numCache>
            </c:numRef>
          </c:yVal>
          <c:smooth val="1"/>
          <c:extLst>
            <c:ext xmlns:c16="http://schemas.microsoft.com/office/drawing/2014/chart" uri="{C3380CC4-5D6E-409C-BE32-E72D297353CC}">
              <c16:uniqueId val="{00000003-841F-4245-9CBB-75FD19E988AB}"/>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77176437521454444"/>
          <c:y val="0.21686140485168856"/>
          <c:w val="0.20744404309396594"/>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SpeedWave300P_1x1035_Preg!$S$23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SpeedWave300P_1x1035_Preg!$U$24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SpeedWave300P_1x1035_Preg!$U$25:$U$27</c:f>
              <c:numCache>
                <c:formatCode>0.0000</c:formatCode>
                <c:ptCount val="3"/>
                <c:pt idx="0">
                  <c:v>1.3032786885245902E-3</c:v>
                </c:pt>
                <c:pt idx="1">
                  <c:v>1.1926229508196723E-3</c:v>
                </c:pt>
                <c:pt idx="2">
                  <c:v>1.1040983606557379E-3</c:v>
                </c:pt>
              </c:numCache>
            </c:numRef>
          </c:yVal>
          <c:smooth val="0"/>
          <c:extLst>
            <c:ext xmlns:c16="http://schemas.microsoft.com/office/drawing/2014/chart" uri="{C3380CC4-5D6E-409C-BE32-E72D297353CC}">
              <c16:uniqueId val="{00000000-271F-4664-8562-651EFA745D54}"/>
            </c:ext>
          </c:extLst>
        </c:ser>
        <c:ser>
          <c:idx val="1"/>
          <c:order val="1"/>
          <c:tx>
            <c:strRef>
              <c:f>SpeedWave300P_1x1035_Preg!$V$24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SpeedWave300P_1x1035_Preg!$V$25:$V$27</c:f>
              <c:numCache>
                <c:formatCode>0.0000</c:formatCode>
                <c:ptCount val="3"/>
                <c:pt idx="0">
                  <c:v>1.6032786885245905E-3</c:v>
                </c:pt>
                <c:pt idx="1">
                  <c:v>1.4926229508196724E-3</c:v>
                </c:pt>
                <c:pt idx="2">
                  <c:v>1.4040983606557378E-3</c:v>
                </c:pt>
              </c:numCache>
            </c:numRef>
          </c:yVal>
          <c:smooth val="0"/>
          <c:extLst>
            <c:ext xmlns:c16="http://schemas.microsoft.com/office/drawing/2014/chart" uri="{C3380CC4-5D6E-409C-BE32-E72D297353CC}">
              <c16:uniqueId val="{00000001-271F-4664-8562-651EFA745D54}"/>
            </c:ext>
          </c:extLst>
        </c:ser>
        <c:ser>
          <c:idx val="2"/>
          <c:order val="2"/>
          <c:tx>
            <c:strRef>
              <c:f>SpeedWave300P_1x1035_Preg!$W$24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SpeedWave300P_1x1035_Preg!$W$25:$W$27</c:f>
              <c:numCache>
                <c:formatCode>0.0000</c:formatCode>
                <c:ptCount val="3"/>
                <c:pt idx="0">
                  <c:v>1.9032786885245904E-3</c:v>
                </c:pt>
                <c:pt idx="1">
                  <c:v>1.7926229508196724E-3</c:v>
                </c:pt>
                <c:pt idx="2">
                  <c:v>1.7040983606557377E-3</c:v>
                </c:pt>
              </c:numCache>
            </c:numRef>
          </c:yVal>
          <c:smooth val="0"/>
          <c:extLst>
            <c:ext xmlns:c16="http://schemas.microsoft.com/office/drawing/2014/chart" uri="{C3380CC4-5D6E-409C-BE32-E72D297353CC}">
              <c16:uniqueId val="{00000002-271F-4664-8562-651EFA745D54}"/>
            </c:ext>
          </c:extLst>
        </c:ser>
        <c:ser>
          <c:idx val="3"/>
          <c:order val="3"/>
          <c:tx>
            <c:strRef>
              <c:f>SpeedWave300P_1x1035_Preg!$X$24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SpeedWave300P_1x1035_Preg!$X$25:$X$27</c:f>
              <c:numCache>
                <c:formatCode>0.0000</c:formatCode>
                <c:ptCount val="3"/>
                <c:pt idx="0">
                  <c:v>2.0163934426229509E-3</c:v>
                </c:pt>
                <c:pt idx="1">
                  <c:v>1.9631147540983608E-3</c:v>
                </c:pt>
                <c:pt idx="2">
                  <c:v>1.9204918032786887E-3</c:v>
                </c:pt>
              </c:numCache>
            </c:numRef>
          </c:yVal>
          <c:smooth val="0"/>
          <c:extLst>
            <c:ext xmlns:c16="http://schemas.microsoft.com/office/drawing/2014/chart" uri="{C3380CC4-5D6E-409C-BE32-E72D297353CC}">
              <c16:uniqueId val="{00000003-271F-4664-8562-651EFA745D54}"/>
            </c:ext>
          </c:extLst>
        </c:ser>
        <c:ser>
          <c:idx val="4"/>
          <c:order val="4"/>
          <c:tx>
            <c:strRef>
              <c:f>SpeedWave300P_1x1035_Preg!$Z$24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SpeedWave300P_1x1035_Preg!$B$25:$B$27</c:f>
              <c:numCache>
                <c:formatCode>0.0%</c:formatCode>
                <c:ptCount val="3"/>
                <c:pt idx="0">
                  <c:v>0.67</c:v>
                </c:pt>
                <c:pt idx="1">
                  <c:v>0.72</c:v>
                </c:pt>
                <c:pt idx="2">
                  <c:v>0.76</c:v>
                </c:pt>
              </c:numCache>
            </c:numRef>
          </c:xVal>
          <c:yVal>
            <c:numRef>
              <c:f>SpeedWave300P_1x1035_Preg!$Z$25:$Z$27</c:f>
              <c:numCache>
                <c:formatCode>0.0000</c:formatCode>
                <c:ptCount val="3"/>
                <c:pt idx="0">
                  <c:v>2.3163934426229512E-3</c:v>
                </c:pt>
                <c:pt idx="1">
                  <c:v>2.2631147540983611E-3</c:v>
                </c:pt>
                <c:pt idx="2">
                  <c:v>2.220491803278689E-3</c:v>
                </c:pt>
              </c:numCache>
            </c:numRef>
          </c:yVal>
          <c:smooth val="0"/>
          <c:extLst>
            <c:ext xmlns:c16="http://schemas.microsoft.com/office/drawing/2014/chart" uri="{C3380CC4-5D6E-409C-BE32-E72D297353CC}">
              <c16:uniqueId val="{00000004-271F-4664-8562-651EFA745D54}"/>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DF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SpeedWave300P_1x1035_Preg!$S$44:$Z$44</c:f>
              <c:strCache>
                <c:ptCount val="8"/>
                <c:pt idx="0">
                  <c:v>DF (Thickness = 64µm)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SpeedWave300P_1x1035_Preg!$U$45:$Z$45</c:f>
              <c:numCache>
                <c:formatCode>0.00</c:formatCode>
                <c:ptCount val="6"/>
                <c:pt idx="0">
                  <c:v>1</c:v>
                </c:pt>
                <c:pt idx="1">
                  <c:v>3</c:v>
                </c:pt>
                <c:pt idx="2">
                  <c:v>5</c:v>
                </c:pt>
                <c:pt idx="3">
                  <c:v>10</c:v>
                </c:pt>
                <c:pt idx="4">
                  <c:v>15</c:v>
                </c:pt>
                <c:pt idx="5">
                  <c:v>20</c:v>
                </c:pt>
              </c:numCache>
            </c:numRef>
          </c:xVal>
          <c:yVal>
            <c:numRef>
              <c:f>SpeedWave300P_1x1035_Preg!$U$46:$Z$46</c:f>
              <c:numCache>
                <c:formatCode>0.0000</c:formatCode>
                <c:ptCount val="6"/>
                <c:pt idx="0">
                  <c:v>1.1973417456045297E-3</c:v>
                </c:pt>
                <c:pt idx="1">
                  <c:v>1.4973417456045301E-3</c:v>
                </c:pt>
                <c:pt idx="2">
                  <c:v>1.79734174560453E-3</c:v>
                </c:pt>
                <c:pt idx="3">
                  <c:v>1.9653867664021808E-3</c:v>
                </c:pt>
                <c:pt idx="4">
                  <c:v>2.1653867664021813E-3</c:v>
                </c:pt>
                <c:pt idx="5">
                  <c:v>2.2653867664021812E-3</c:v>
                </c:pt>
              </c:numCache>
            </c:numRef>
          </c:yVal>
          <c:smooth val="0"/>
          <c:extLst>
            <c:ext xmlns:c16="http://schemas.microsoft.com/office/drawing/2014/chart" uri="{C3380CC4-5D6E-409C-BE32-E72D297353CC}">
              <c16:uniqueId val="{00000000-FEAE-4A5C-92AE-360623C61F4D}"/>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DK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'TU863+_1x2116_Preg'!$A$44:$H$44</c:f>
              <c:strCache>
                <c:ptCount val="8"/>
                <c:pt idx="0">
                  <c:v>DK_InPlane (Thickness = 120µm)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'TU863+_1x2116_Preg'!$C$45:$H$45</c:f>
              <c:numCache>
                <c:formatCode>0.00</c:formatCode>
                <c:ptCount val="6"/>
                <c:pt idx="0">
                  <c:v>1</c:v>
                </c:pt>
                <c:pt idx="1">
                  <c:v>3</c:v>
                </c:pt>
                <c:pt idx="2">
                  <c:v>5</c:v>
                </c:pt>
                <c:pt idx="3">
                  <c:v>10</c:v>
                </c:pt>
                <c:pt idx="4">
                  <c:v>15</c:v>
                </c:pt>
                <c:pt idx="5">
                  <c:v>20</c:v>
                </c:pt>
              </c:numCache>
            </c:numRef>
          </c:xVal>
          <c:yVal>
            <c:numRef>
              <c:f>'TU863+_1x2116_Preg'!$C$46:$H$46</c:f>
              <c:numCache>
                <c:formatCode>0.00</c:formatCode>
                <c:ptCount val="6"/>
                <c:pt idx="0">
                  <c:v>4.0559301971144066</c:v>
                </c:pt>
                <c:pt idx="1">
                  <c:v>4.0459301971144068</c:v>
                </c:pt>
                <c:pt idx="2">
                  <c:v>4.0159301971144075</c:v>
                </c:pt>
                <c:pt idx="3">
                  <c:v>3.9678185328185331</c:v>
                </c:pt>
                <c:pt idx="4">
                  <c:v>3.9378185328185324</c:v>
                </c:pt>
                <c:pt idx="5">
                  <c:v>3.9078185328185322</c:v>
                </c:pt>
              </c:numCache>
            </c:numRef>
          </c:yVal>
          <c:smooth val="0"/>
          <c:extLst>
            <c:ext xmlns:c16="http://schemas.microsoft.com/office/drawing/2014/chart" uri="{C3380CC4-5D6E-409C-BE32-E72D297353CC}">
              <c16:uniqueId val="{00000000-9AD6-4814-AD7E-436C75524CB9}"/>
            </c:ext>
          </c:extLst>
        </c:ser>
        <c:ser>
          <c:idx val="1"/>
          <c:order val="1"/>
          <c:tx>
            <c:strRef>
              <c:f>'TU863+_1x2116_Preg'!$J$44:$Q$44</c:f>
              <c:strCache>
                <c:ptCount val="8"/>
                <c:pt idx="0">
                  <c:v>DK_OutofPlane (Thickness = 120µm)</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'TU863+_1x2116_Preg'!$L$45:$Q$45</c:f>
              <c:numCache>
                <c:formatCode>0.00</c:formatCode>
                <c:ptCount val="6"/>
                <c:pt idx="0">
                  <c:v>1</c:v>
                </c:pt>
                <c:pt idx="1">
                  <c:v>3</c:v>
                </c:pt>
                <c:pt idx="2">
                  <c:v>5</c:v>
                </c:pt>
                <c:pt idx="3">
                  <c:v>10</c:v>
                </c:pt>
                <c:pt idx="4">
                  <c:v>15</c:v>
                </c:pt>
                <c:pt idx="5">
                  <c:v>20</c:v>
                </c:pt>
              </c:numCache>
            </c:numRef>
          </c:xVal>
          <c:yVal>
            <c:numRef>
              <c:f>'TU863+_1x2116_Preg'!$L$46:$Q$46</c:f>
              <c:numCache>
                <c:formatCode>0.00</c:formatCode>
                <c:ptCount val="6"/>
                <c:pt idx="0">
                  <c:v>3.4585400910429773</c:v>
                </c:pt>
                <c:pt idx="1">
                  <c:v>3.4471246040146015</c:v>
                </c:pt>
                <c:pt idx="2">
                  <c:v>3.4128376076518481</c:v>
                </c:pt>
                <c:pt idx="3">
                  <c:v>3.4249463902787705</c:v>
                </c:pt>
                <c:pt idx="4">
                  <c:v>3.390976267453512</c:v>
                </c:pt>
                <c:pt idx="5">
                  <c:v>3.3569476483722775</c:v>
                </c:pt>
              </c:numCache>
            </c:numRef>
          </c:yVal>
          <c:smooth val="0"/>
          <c:extLst>
            <c:ext xmlns:c16="http://schemas.microsoft.com/office/drawing/2014/chart" uri="{C3380CC4-5D6E-409C-BE32-E72D297353CC}">
              <c16:uniqueId val="{00000001-9AD6-4814-AD7E-436C75524CB9}"/>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min val="3.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'TU863+_1x2116_Preg'!$AB$6:$AH$6</c:f>
          <c:strCache>
            <c:ptCount val="7"/>
            <c:pt idx="0">
              <c:v>Stripline Loss Decomposition at Temp = 25°C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5571626031953106"/>
          <c:y val="0.18470153084420821"/>
          <c:w val="0.73397630029974059"/>
          <c:h val="0.49575668741286782"/>
        </c:manualLayout>
      </c:layout>
      <c:scatterChart>
        <c:scatterStyle val="lineMarker"/>
        <c:varyColors val="0"/>
        <c:ser>
          <c:idx val="0"/>
          <c:order val="0"/>
          <c:tx>
            <c:strRef>
              <c:f>'TU863+_1x2116_Preg'!$AB$7</c:f>
              <c:strCache>
                <c:ptCount val="1"/>
                <c:pt idx="0">
                  <c:v>α_Dielectric (Verified)</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'TU863+_1x2116_Preg'!$AD$2:$AI$2</c:f>
              <c:numCache>
                <c:formatCode>0.00</c:formatCode>
                <c:ptCount val="6"/>
                <c:pt idx="0">
                  <c:v>1</c:v>
                </c:pt>
                <c:pt idx="1">
                  <c:v>3</c:v>
                </c:pt>
                <c:pt idx="2">
                  <c:v>5</c:v>
                </c:pt>
                <c:pt idx="3">
                  <c:v>10</c:v>
                </c:pt>
                <c:pt idx="4">
                  <c:v>15</c:v>
                </c:pt>
                <c:pt idx="5">
                  <c:v>20</c:v>
                </c:pt>
              </c:numCache>
            </c:numRef>
          </c:xVal>
          <c:yVal>
            <c:numRef>
              <c:f>'TU863+_1x2116_Preg'!$AD$7:$AI$7</c:f>
              <c:numCache>
                <c:formatCode>0.00</c:formatCode>
                <c:ptCount val="6"/>
                <c:pt idx="0">
                  <c:v>0.95272336963681148</c:v>
                </c:pt>
                <c:pt idx="1">
                  <c:v>2.9598016558868414</c:v>
                </c:pt>
                <c:pt idx="2">
                  <c:v>5.3503489060531626</c:v>
                </c:pt>
                <c:pt idx="3">
                  <c:v>12.037469367047326</c:v>
                </c:pt>
                <c:pt idx="4">
                  <c:v>19.546045672950971</c:v>
                </c:pt>
                <c:pt idx="5">
                  <c:v>28.102807443751743</c:v>
                </c:pt>
              </c:numCache>
            </c:numRef>
          </c:yVal>
          <c:smooth val="0"/>
          <c:extLst>
            <c:ext xmlns:c16="http://schemas.microsoft.com/office/drawing/2014/chart" uri="{C3380CC4-5D6E-409C-BE32-E72D297353CC}">
              <c16:uniqueId val="{00000000-6C31-47D8-A5C6-867BFE3E671E}"/>
            </c:ext>
          </c:extLst>
        </c:ser>
        <c:ser>
          <c:idx val="1"/>
          <c:order val="1"/>
          <c:tx>
            <c:strRef>
              <c:f>'TU863+_1x2116_Preg'!$AB$8</c:f>
              <c:strCache>
                <c:ptCount val="1"/>
                <c:pt idx="0">
                  <c:v>α_SmoothMetal (Verified)</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'TU863+_1x2116_Preg'!$AD$2:$AI$2</c:f>
              <c:numCache>
                <c:formatCode>0.00</c:formatCode>
                <c:ptCount val="6"/>
                <c:pt idx="0">
                  <c:v>1</c:v>
                </c:pt>
                <c:pt idx="1">
                  <c:v>3</c:v>
                </c:pt>
                <c:pt idx="2">
                  <c:v>5</c:v>
                </c:pt>
                <c:pt idx="3">
                  <c:v>10</c:v>
                </c:pt>
                <c:pt idx="4">
                  <c:v>15</c:v>
                </c:pt>
                <c:pt idx="5">
                  <c:v>20</c:v>
                </c:pt>
              </c:numCache>
            </c:numRef>
          </c:xVal>
          <c:yVal>
            <c:numRef>
              <c:f>'TU863+_1x2116_Preg'!$AD$8:$AI$8</c:f>
              <c:numCache>
                <c:formatCode>0.00</c:formatCode>
                <c:ptCount val="6"/>
                <c:pt idx="0">
                  <c:v>5.897910886776331</c:v>
                </c:pt>
                <c:pt idx="1">
                  <c:v>10.20091437958488</c:v>
                </c:pt>
                <c:pt idx="2">
                  <c:v>13.11270874227341</c:v>
                </c:pt>
                <c:pt idx="3">
                  <c:v>18.49917960479609</c:v>
                </c:pt>
                <c:pt idx="4">
                  <c:v>22.558537020849037</c:v>
                </c:pt>
                <c:pt idx="5">
                  <c:v>25.934318426290481</c:v>
                </c:pt>
              </c:numCache>
            </c:numRef>
          </c:yVal>
          <c:smooth val="0"/>
          <c:extLst>
            <c:ext xmlns:c16="http://schemas.microsoft.com/office/drawing/2014/chart" uri="{C3380CC4-5D6E-409C-BE32-E72D297353CC}">
              <c16:uniqueId val="{00000001-6C31-47D8-A5C6-867BFE3E671E}"/>
            </c:ext>
          </c:extLst>
        </c:ser>
        <c:ser>
          <c:idx val="2"/>
          <c:order val="2"/>
          <c:tx>
            <c:strRef>
              <c:f>'TU863+_1x2116_Preg'!$AB$9</c:f>
              <c:strCache>
                <c:ptCount val="1"/>
                <c:pt idx="0">
                  <c:v>α_RoughMetal</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'TU863+_1x2116_Preg'!$AD$2:$AI$2</c:f>
              <c:numCache>
                <c:formatCode>0.00</c:formatCode>
                <c:ptCount val="6"/>
                <c:pt idx="0">
                  <c:v>1</c:v>
                </c:pt>
                <c:pt idx="1">
                  <c:v>3</c:v>
                </c:pt>
                <c:pt idx="2">
                  <c:v>5</c:v>
                </c:pt>
                <c:pt idx="3">
                  <c:v>10</c:v>
                </c:pt>
                <c:pt idx="4">
                  <c:v>15</c:v>
                </c:pt>
                <c:pt idx="5">
                  <c:v>20</c:v>
                </c:pt>
              </c:numCache>
            </c:numRef>
          </c:xVal>
          <c:yVal>
            <c:numRef>
              <c:f>'TU863+_1x2116_Preg'!$AD$9:$AI$9</c:f>
              <c:numCache>
                <c:formatCode>0.00</c:formatCode>
                <c:ptCount val="6"/>
                <c:pt idx="0">
                  <c:v>6.310797819974681</c:v>
                </c:pt>
                <c:pt idx="1">
                  <c:v>12.278094261979815</c:v>
                </c:pt>
                <c:pt idx="2">
                  <c:v>17.323474406402674</c:v>
                </c:pt>
                <c:pt idx="3">
                  <c:v>28.330955441424532</c:v>
                </c:pt>
                <c:pt idx="4">
                  <c:v>37.315828676264196</c:v>
                </c:pt>
                <c:pt idx="5">
                  <c:v>44.847998177475624</c:v>
                </c:pt>
              </c:numCache>
            </c:numRef>
          </c:yVal>
          <c:smooth val="0"/>
          <c:extLst>
            <c:ext xmlns:c16="http://schemas.microsoft.com/office/drawing/2014/chart" uri="{C3380CC4-5D6E-409C-BE32-E72D297353CC}">
              <c16:uniqueId val="{00000002-6C31-47D8-A5C6-867BFE3E671E}"/>
            </c:ext>
          </c:extLst>
        </c:ser>
        <c:ser>
          <c:idx val="3"/>
          <c:order val="3"/>
          <c:tx>
            <c:strRef>
              <c:f>'TU863+_1x2116_Preg'!$AB$10</c:f>
              <c:strCache>
                <c:ptCount val="1"/>
                <c:pt idx="0">
                  <c:v>α_Total</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'TU863+_1x2116_Preg'!$AD$2:$AI$2</c:f>
              <c:numCache>
                <c:formatCode>0.00</c:formatCode>
                <c:ptCount val="6"/>
                <c:pt idx="0">
                  <c:v>1</c:v>
                </c:pt>
                <c:pt idx="1">
                  <c:v>3</c:v>
                </c:pt>
                <c:pt idx="2">
                  <c:v>5</c:v>
                </c:pt>
                <c:pt idx="3">
                  <c:v>10</c:v>
                </c:pt>
                <c:pt idx="4">
                  <c:v>15</c:v>
                </c:pt>
                <c:pt idx="5">
                  <c:v>20</c:v>
                </c:pt>
              </c:numCache>
            </c:numRef>
          </c:xVal>
          <c:yVal>
            <c:numRef>
              <c:f>'TU863+_1x2116_Preg'!$AD$10:$AI$10</c:f>
              <c:numCache>
                <c:formatCode>0.00</c:formatCode>
                <c:ptCount val="6"/>
                <c:pt idx="0">
                  <c:v>7.2635211896114926</c:v>
                </c:pt>
                <c:pt idx="1">
                  <c:v>15.237895917866656</c:v>
                </c:pt>
                <c:pt idx="2">
                  <c:v>22.673823312455838</c:v>
                </c:pt>
                <c:pt idx="3">
                  <c:v>40.368424808471858</c:v>
                </c:pt>
                <c:pt idx="4">
                  <c:v>56.861874349215171</c:v>
                </c:pt>
                <c:pt idx="5">
                  <c:v>72.950805621227374</c:v>
                </c:pt>
              </c:numCache>
            </c:numRef>
          </c:yVal>
          <c:smooth val="0"/>
          <c:extLst>
            <c:ext xmlns:c16="http://schemas.microsoft.com/office/drawing/2014/chart" uri="{C3380CC4-5D6E-409C-BE32-E72D297353CC}">
              <c16:uniqueId val="{00000003-6C31-47D8-A5C6-867BFE3E671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6.6865549221882342E-2"/>
          <c:y val="0.8258194875172904"/>
          <c:w val="0.87470576173332526"/>
          <c:h val="0.17162568338640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'TU863+_1x2116_Preg'!$AB$25:$AH$25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44967807167815"/>
          <c:y val="0.20029705892107996"/>
          <c:w val="0.55600688387005515"/>
          <c:h val="0.55991184332161714"/>
        </c:manualLayout>
      </c:layout>
      <c:scatterChart>
        <c:scatterStyle val="lineMarker"/>
        <c:varyColors val="0"/>
        <c:ser>
          <c:idx val="0"/>
          <c:order val="0"/>
          <c:tx>
            <c:strRef>
              <c:f>'TU863+_1x2116_Preg'!$AD$26</c:f>
              <c:strCache>
                <c:ptCount val="1"/>
                <c:pt idx="0">
                  <c:v>1.00</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'TU863+_1x2116_Preg'!$AC$27:$AC$30</c:f>
              <c:numCache>
                <c:formatCode>General</c:formatCode>
                <c:ptCount val="4"/>
                <c:pt idx="0">
                  <c:v>-40</c:v>
                </c:pt>
                <c:pt idx="1">
                  <c:v>0</c:v>
                </c:pt>
                <c:pt idx="2">
                  <c:v>25</c:v>
                </c:pt>
                <c:pt idx="3">
                  <c:v>90</c:v>
                </c:pt>
              </c:numCache>
            </c:numRef>
          </c:xVal>
          <c:yVal>
            <c:numRef>
              <c:f>'TU863+_1x2116_Preg'!$AD$27:$AD$30</c:f>
              <c:numCache>
                <c:formatCode>0.00</c:formatCode>
                <c:ptCount val="4"/>
                <c:pt idx="0">
                  <c:v>6.1179026443342615</c:v>
                </c:pt>
                <c:pt idx="1">
                  <c:v>6.8375883946247287</c:v>
                </c:pt>
                <c:pt idx="2">
                  <c:v>7.2635211896114926</c:v>
                </c:pt>
                <c:pt idx="3">
                  <c:v>8.2996589221596171</c:v>
                </c:pt>
              </c:numCache>
            </c:numRef>
          </c:yVal>
          <c:smooth val="0"/>
          <c:extLst>
            <c:ext xmlns:c16="http://schemas.microsoft.com/office/drawing/2014/chart" uri="{C3380CC4-5D6E-409C-BE32-E72D297353CC}">
              <c16:uniqueId val="{00000001-9664-4F7D-8F07-85F00470F499}"/>
            </c:ext>
          </c:extLst>
        </c:ser>
        <c:ser>
          <c:idx val="1"/>
          <c:order val="1"/>
          <c:tx>
            <c:strRef>
              <c:f>'TU863+_1x2116_Preg'!$AE$26</c:f>
              <c:strCache>
                <c:ptCount val="1"/>
                <c:pt idx="0">
                  <c:v>3.00</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'TU863+_1x2116_Preg'!$AC$27:$AC$30</c:f>
              <c:numCache>
                <c:formatCode>General</c:formatCode>
                <c:ptCount val="4"/>
                <c:pt idx="0">
                  <c:v>-40</c:v>
                </c:pt>
                <c:pt idx="1">
                  <c:v>0</c:v>
                </c:pt>
                <c:pt idx="2">
                  <c:v>25</c:v>
                </c:pt>
                <c:pt idx="3">
                  <c:v>90</c:v>
                </c:pt>
              </c:numCache>
            </c:numRef>
          </c:xVal>
          <c:yVal>
            <c:numRef>
              <c:f>'TU863+_1x2116_Preg'!$AE$27:$AE$30</c:f>
              <c:numCache>
                <c:formatCode>0.00</c:formatCode>
                <c:ptCount val="4"/>
                <c:pt idx="0">
                  <c:v>12.829820479550945</c:v>
                </c:pt>
                <c:pt idx="1">
                  <c:v>14.333962112239725</c:v>
                </c:pt>
                <c:pt idx="2">
                  <c:v>15.237895917866656</c:v>
                </c:pt>
                <c:pt idx="3">
                  <c:v>17.480878835522471</c:v>
                </c:pt>
              </c:numCache>
            </c:numRef>
          </c:yVal>
          <c:smooth val="0"/>
          <c:extLst>
            <c:ext xmlns:c16="http://schemas.microsoft.com/office/drawing/2014/chart" uri="{C3380CC4-5D6E-409C-BE32-E72D297353CC}">
              <c16:uniqueId val="{00000003-9664-4F7D-8F07-85F00470F499}"/>
            </c:ext>
          </c:extLst>
        </c:ser>
        <c:ser>
          <c:idx val="2"/>
          <c:order val="2"/>
          <c:tx>
            <c:strRef>
              <c:f>'TU863+_1x2116_Preg'!$AF$26</c:f>
              <c:strCache>
                <c:ptCount val="1"/>
                <c:pt idx="0">
                  <c:v>5.00</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trendline>
            <c:spPr>
              <a:ln w="25400" cap="rnd">
                <a:solidFill>
                  <a:schemeClr val="accent3">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'TU863+_1x2116_Preg'!$AC$27:$AC$30</c:f>
              <c:numCache>
                <c:formatCode>General</c:formatCode>
                <c:ptCount val="4"/>
                <c:pt idx="0">
                  <c:v>-40</c:v>
                </c:pt>
                <c:pt idx="1">
                  <c:v>0</c:v>
                </c:pt>
                <c:pt idx="2">
                  <c:v>25</c:v>
                </c:pt>
                <c:pt idx="3">
                  <c:v>90</c:v>
                </c:pt>
              </c:numCache>
            </c:numRef>
          </c:xVal>
          <c:yVal>
            <c:numRef>
              <c:f>'TU863+_1x2116_Preg'!$AF$27:$AF$30</c:f>
              <c:numCache>
                <c:formatCode>0.00</c:formatCode>
                <c:ptCount val="4"/>
                <c:pt idx="0">
                  <c:v>18.921627490308317</c:v>
                </c:pt>
                <c:pt idx="1">
                  <c:v>21.269960882557452</c:v>
                </c:pt>
                <c:pt idx="2">
                  <c:v>22.673823312455838</c:v>
                </c:pt>
                <c:pt idx="3">
                  <c:v>26.157458141970395</c:v>
                </c:pt>
              </c:numCache>
            </c:numRef>
          </c:yVal>
          <c:smooth val="0"/>
          <c:extLst>
            <c:ext xmlns:c16="http://schemas.microsoft.com/office/drawing/2014/chart" uri="{C3380CC4-5D6E-409C-BE32-E72D297353CC}">
              <c16:uniqueId val="{00000005-9664-4F7D-8F07-85F00470F499}"/>
            </c:ext>
          </c:extLst>
        </c:ser>
        <c:ser>
          <c:idx val="3"/>
          <c:order val="3"/>
          <c:tx>
            <c:strRef>
              <c:f>'TU863+_1x2116_Preg'!$AG$26</c:f>
              <c:strCache>
                <c:ptCount val="1"/>
                <c:pt idx="0">
                  <c:v>10.00</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trendline>
            <c:spPr>
              <a:ln w="25400" cap="rnd">
                <a:solidFill>
                  <a:schemeClr val="accent4">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'TU863+_1x2116_Preg'!$AC$27:$AC$30</c:f>
              <c:numCache>
                <c:formatCode>General</c:formatCode>
                <c:ptCount val="4"/>
                <c:pt idx="0">
                  <c:v>-40</c:v>
                </c:pt>
                <c:pt idx="1">
                  <c:v>0</c:v>
                </c:pt>
                <c:pt idx="2">
                  <c:v>25</c:v>
                </c:pt>
                <c:pt idx="3">
                  <c:v>90</c:v>
                </c:pt>
              </c:numCache>
            </c:numRef>
          </c:xVal>
          <c:yVal>
            <c:numRef>
              <c:f>'TU863+_1x2116_Preg'!$AG$27:$AG$30</c:f>
              <c:numCache>
                <c:formatCode>0.00</c:formatCode>
                <c:ptCount val="4"/>
                <c:pt idx="0">
                  <c:v>32.579778009194058</c:v>
                </c:pt>
                <c:pt idx="1">
                  <c:v>37.480798864507612</c:v>
                </c:pt>
                <c:pt idx="2">
                  <c:v>40.368424808471858</c:v>
                </c:pt>
                <c:pt idx="3">
                  <c:v>47.426423026671529</c:v>
                </c:pt>
              </c:numCache>
            </c:numRef>
          </c:yVal>
          <c:smooth val="0"/>
          <c:extLst>
            <c:ext xmlns:c16="http://schemas.microsoft.com/office/drawing/2014/chart" uri="{C3380CC4-5D6E-409C-BE32-E72D297353CC}">
              <c16:uniqueId val="{00000007-9664-4F7D-8F07-85F00470F499}"/>
            </c:ext>
          </c:extLst>
        </c:ser>
        <c:ser>
          <c:idx val="4"/>
          <c:order val="4"/>
          <c:tx>
            <c:strRef>
              <c:f>'TU863+_1x2116_Preg'!$AH$26</c:f>
              <c:strCache>
                <c:ptCount val="1"/>
                <c:pt idx="0">
                  <c:v>15.00</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trendline>
            <c:spPr>
              <a:ln w="25400" cap="rnd">
                <a:solidFill>
                  <a:schemeClr val="accent5">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'TU863+_1x2116_Preg'!$AC$27:$AC$30</c:f>
              <c:numCache>
                <c:formatCode>General</c:formatCode>
                <c:ptCount val="4"/>
                <c:pt idx="0">
                  <c:v>-40</c:v>
                </c:pt>
                <c:pt idx="1">
                  <c:v>0</c:v>
                </c:pt>
                <c:pt idx="2">
                  <c:v>25</c:v>
                </c:pt>
                <c:pt idx="3">
                  <c:v>90</c:v>
                </c:pt>
              </c:numCache>
            </c:numRef>
          </c:xVal>
          <c:yVal>
            <c:numRef>
              <c:f>'TU863+_1x2116_Preg'!$AH$27:$AH$30</c:f>
              <c:numCache>
                <c:formatCode>0.00</c:formatCode>
                <c:ptCount val="4"/>
                <c:pt idx="0">
                  <c:v>44.46707085819093</c:v>
                </c:pt>
                <c:pt idx="1">
                  <c:v>52.258073108513827</c:v>
                </c:pt>
                <c:pt idx="2">
                  <c:v>56.861874349215171</c:v>
                </c:pt>
                <c:pt idx="3">
                  <c:v>68.102841311940153</c:v>
                </c:pt>
              </c:numCache>
            </c:numRef>
          </c:yVal>
          <c:smooth val="0"/>
          <c:extLst>
            <c:ext xmlns:c16="http://schemas.microsoft.com/office/drawing/2014/chart" uri="{C3380CC4-5D6E-409C-BE32-E72D297353CC}">
              <c16:uniqueId val="{00000009-9664-4F7D-8F07-85F00470F499}"/>
            </c:ext>
          </c:extLst>
        </c:ser>
        <c:ser>
          <c:idx val="5"/>
          <c:order val="5"/>
          <c:tx>
            <c:strRef>
              <c:f>'TU863+_1x2116_Preg'!$AI$26</c:f>
              <c:strCache>
                <c:ptCount val="1"/>
                <c:pt idx="0">
                  <c:v>20.00</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trendline>
            <c:spPr>
              <a:ln w="25400" cap="rnd">
                <a:solidFill>
                  <a:schemeClr val="accent6">
                    <a:alpha val="50000"/>
                  </a:schemeClr>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'TU863+_1x2116_Preg'!$AC$27:$AC$30</c:f>
              <c:numCache>
                <c:formatCode>General</c:formatCode>
                <c:ptCount val="4"/>
                <c:pt idx="0">
                  <c:v>-40</c:v>
                </c:pt>
                <c:pt idx="1">
                  <c:v>0</c:v>
                </c:pt>
                <c:pt idx="2">
                  <c:v>25</c:v>
                </c:pt>
                <c:pt idx="3">
                  <c:v>90</c:v>
                </c:pt>
              </c:numCache>
            </c:numRef>
          </c:xVal>
          <c:yVal>
            <c:numRef>
              <c:f>'TU863+_1x2116_Preg'!$AI$27:$AI$30</c:f>
              <c:numCache>
                <c:formatCode>0.00</c:formatCode>
                <c:ptCount val="4"/>
                <c:pt idx="0">
                  <c:v>55.53682086721809</c:v>
                </c:pt>
                <c:pt idx="1">
                  <c:v>66.456762383777701</c:v>
                </c:pt>
                <c:pt idx="2">
                  <c:v>72.950805621227374</c:v>
                </c:pt>
                <c:pt idx="3">
                  <c:v>88.888420723855148</c:v>
                </c:pt>
              </c:numCache>
            </c:numRef>
          </c:yVal>
          <c:smooth val="0"/>
          <c:extLst>
            <c:ext xmlns:c16="http://schemas.microsoft.com/office/drawing/2014/chart" uri="{C3380CC4-5D6E-409C-BE32-E72D297353CC}">
              <c16:uniqueId val="{0000000B-9664-4F7D-8F07-85F00470F499}"/>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t"/>
      <c:layout>
        <c:manualLayout>
          <c:xMode val="edge"/>
          <c:yMode val="edge"/>
          <c:x val="0.73800131136947611"/>
          <c:y val="0.16639264111771396"/>
          <c:w val="0.24992932243777008"/>
          <c:h val="0.591113733191523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'TU863+_1x2116_Preg'!$AB$25:$AH$25</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6503790684700997"/>
          <c:y val="0.19910914687196135"/>
          <c:w val="0.6233309689179638"/>
          <c:h val="0.56182637685609627"/>
        </c:manualLayout>
      </c:layout>
      <c:scatterChart>
        <c:scatterStyle val="smoothMarker"/>
        <c:varyColors val="0"/>
        <c:ser>
          <c:idx val="0"/>
          <c:order val="0"/>
          <c:tx>
            <c:strRef>
              <c:f>'TU863+_1x2116_Preg'!$AC$27</c:f>
              <c:strCache>
                <c:ptCount val="1"/>
                <c:pt idx="0">
                  <c:v>-40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'TU863+_1x2116_Preg'!$AD$26:$AI$26</c:f>
              <c:numCache>
                <c:formatCode>0.00</c:formatCode>
                <c:ptCount val="6"/>
                <c:pt idx="0">
                  <c:v>1</c:v>
                </c:pt>
                <c:pt idx="1">
                  <c:v>3</c:v>
                </c:pt>
                <c:pt idx="2">
                  <c:v>5</c:v>
                </c:pt>
                <c:pt idx="3">
                  <c:v>10</c:v>
                </c:pt>
                <c:pt idx="4">
                  <c:v>15</c:v>
                </c:pt>
                <c:pt idx="5">
                  <c:v>20</c:v>
                </c:pt>
              </c:numCache>
            </c:numRef>
          </c:xVal>
          <c:yVal>
            <c:numRef>
              <c:f>'TU863+_1x2116_Preg'!$AD$27:$AI$27</c:f>
              <c:numCache>
                <c:formatCode>0.00</c:formatCode>
                <c:ptCount val="6"/>
                <c:pt idx="0">
                  <c:v>6.1179026443342615</c:v>
                </c:pt>
                <c:pt idx="1">
                  <c:v>12.829820479550945</c:v>
                </c:pt>
                <c:pt idx="2">
                  <c:v>18.921627490308317</c:v>
                </c:pt>
                <c:pt idx="3">
                  <c:v>32.579778009194058</c:v>
                </c:pt>
                <c:pt idx="4">
                  <c:v>44.46707085819093</c:v>
                </c:pt>
                <c:pt idx="5">
                  <c:v>55.53682086721809</c:v>
                </c:pt>
              </c:numCache>
            </c:numRef>
          </c:yVal>
          <c:smooth val="1"/>
          <c:extLst>
            <c:ext xmlns:c16="http://schemas.microsoft.com/office/drawing/2014/chart" uri="{C3380CC4-5D6E-409C-BE32-E72D297353CC}">
              <c16:uniqueId val="{00000000-F870-43D1-A3E7-CD3F9C0C363C}"/>
            </c:ext>
          </c:extLst>
        </c:ser>
        <c:ser>
          <c:idx val="1"/>
          <c:order val="1"/>
          <c:tx>
            <c:strRef>
              <c:f>'TU863+_1x2116_Preg'!$AC$28</c:f>
              <c:strCache>
                <c:ptCount val="1"/>
                <c:pt idx="0">
                  <c:v>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'TU863+_1x2116_Preg'!$AD$26:$AI$26</c:f>
              <c:numCache>
                <c:formatCode>0.00</c:formatCode>
                <c:ptCount val="6"/>
                <c:pt idx="0">
                  <c:v>1</c:v>
                </c:pt>
                <c:pt idx="1">
                  <c:v>3</c:v>
                </c:pt>
                <c:pt idx="2">
                  <c:v>5</c:v>
                </c:pt>
                <c:pt idx="3">
                  <c:v>10</c:v>
                </c:pt>
                <c:pt idx="4">
                  <c:v>15</c:v>
                </c:pt>
                <c:pt idx="5">
                  <c:v>20</c:v>
                </c:pt>
              </c:numCache>
            </c:numRef>
          </c:xVal>
          <c:yVal>
            <c:numRef>
              <c:f>'TU863+_1x2116_Preg'!$AD$28:$AI$28</c:f>
              <c:numCache>
                <c:formatCode>0.00</c:formatCode>
                <c:ptCount val="6"/>
                <c:pt idx="0">
                  <c:v>6.8375883946247287</c:v>
                </c:pt>
                <c:pt idx="1">
                  <c:v>14.333962112239725</c:v>
                </c:pt>
                <c:pt idx="2">
                  <c:v>21.269960882557452</c:v>
                </c:pt>
                <c:pt idx="3">
                  <c:v>37.480798864507612</c:v>
                </c:pt>
                <c:pt idx="4">
                  <c:v>52.258073108513827</c:v>
                </c:pt>
                <c:pt idx="5">
                  <c:v>66.456762383777701</c:v>
                </c:pt>
              </c:numCache>
            </c:numRef>
          </c:yVal>
          <c:smooth val="1"/>
          <c:extLst>
            <c:ext xmlns:c16="http://schemas.microsoft.com/office/drawing/2014/chart" uri="{C3380CC4-5D6E-409C-BE32-E72D297353CC}">
              <c16:uniqueId val="{00000001-F870-43D1-A3E7-CD3F9C0C363C}"/>
            </c:ext>
          </c:extLst>
        </c:ser>
        <c:ser>
          <c:idx val="2"/>
          <c:order val="2"/>
          <c:tx>
            <c:strRef>
              <c:f>'TU863+_1x2116_Preg'!$AC$29</c:f>
              <c:strCache>
                <c:ptCount val="1"/>
                <c:pt idx="0">
                  <c:v>25</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'TU863+_1x2116_Preg'!$AD$26:$AI$26</c:f>
              <c:numCache>
                <c:formatCode>0.00</c:formatCode>
                <c:ptCount val="6"/>
                <c:pt idx="0">
                  <c:v>1</c:v>
                </c:pt>
                <c:pt idx="1">
                  <c:v>3</c:v>
                </c:pt>
                <c:pt idx="2">
                  <c:v>5</c:v>
                </c:pt>
                <c:pt idx="3">
                  <c:v>10</c:v>
                </c:pt>
                <c:pt idx="4">
                  <c:v>15</c:v>
                </c:pt>
                <c:pt idx="5">
                  <c:v>20</c:v>
                </c:pt>
              </c:numCache>
            </c:numRef>
          </c:xVal>
          <c:yVal>
            <c:numRef>
              <c:f>'TU863+_1x2116_Preg'!$AD$29:$AI$29</c:f>
              <c:numCache>
                <c:formatCode>0.00</c:formatCode>
                <c:ptCount val="6"/>
                <c:pt idx="0">
                  <c:v>7.2635211896114926</c:v>
                </c:pt>
                <c:pt idx="1">
                  <c:v>15.237895917866656</c:v>
                </c:pt>
                <c:pt idx="2">
                  <c:v>22.673823312455838</c:v>
                </c:pt>
                <c:pt idx="3">
                  <c:v>40.368424808471858</c:v>
                </c:pt>
                <c:pt idx="4">
                  <c:v>56.861874349215171</c:v>
                </c:pt>
                <c:pt idx="5">
                  <c:v>72.950805621227374</c:v>
                </c:pt>
              </c:numCache>
            </c:numRef>
          </c:yVal>
          <c:smooth val="1"/>
          <c:extLst>
            <c:ext xmlns:c16="http://schemas.microsoft.com/office/drawing/2014/chart" uri="{C3380CC4-5D6E-409C-BE32-E72D297353CC}">
              <c16:uniqueId val="{00000002-F870-43D1-A3E7-CD3F9C0C363C}"/>
            </c:ext>
          </c:extLst>
        </c:ser>
        <c:ser>
          <c:idx val="3"/>
          <c:order val="3"/>
          <c:tx>
            <c:strRef>
              <c:f>'TU863+_1x2116_Preg'!$AC$30</c:f>
              <c:strCache>
                <c:ptCount val="1"/>
                <c:pt idx="0">
                  <c:v>90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'TU863+_1x2116_Preg'!$AD$26:$AI$26</c:f>
              <c:numCache>
                <c:formatCode>0.00</c:formatCode>
                <c:ptCount val="6"/>
                <c:pt idx="0">
                  <c:v>1</c:v>
                </c:pt>
                <c:pt idx="1">
                  <c:v>3</c:v>
                </c:pt>
                <c:pt idx="2">
                  <c:v>5</c:v>
                </c:pt>
                <c:pt idx="3">
                  <c:v>10</c:v>
                </c:pt>
                <c:pt idx="4">
                  <c:v>15</c:v>
                </c:pt>
                <c:pt idx="5">
                  <c:v>20</c:v>
                </c:pt>
              </c:numCache>
            </c:numRef>
          </c:xVal>
          <c:yVal>
            <c:numRef>
              <c:f>'TU863+_1x2116_Preg'!$AD$30:$AI$30</c:f>
              <c:numCache>
                <c:formatCode>0.00</c:formatCode>
                <c:ptCount val="6"/>
                <c:pt idx="0">
                  <c:v>8.2996589221596171</c:v>
                </c:pt>
                <c:pt idx="1">
                  <c:v>17.480878835522471</c:v>
                </c:pt>
                <c:pt idx="2">
                  <c:v>26.157458141970395</c:v>
                </c:pt>
                <c:pt idx="3">
                  <c:v>47.426423026671529</c:v>
                </c:pt>
                <c:pt idx="4">
                  <c:v>68.102841311940153</c:v>
                </c:pt>
                <c:pt idx="5">
                  <c:v>88.888420723855148</c:v>
                </c:pt>
              </c:numCache>
            </c:numRef>
          </c:yVal>
          <c:smooth val="1"/>
          <c:extLst>
            <c:ext xmlns:c16="http://schemas.microsoft.com/office/drawing/2014/chart" uri="{C3380CC4-5D6E-409C-BE32-E72D297353CC}">
              <c16:uniqueId val="{00000003-F870-43D1-A3E7-CD3F9C0C363C}"/>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t"/>
      <c:layout>
        <c:manualLayout>
          <c:xMode val="edge"/>
          <c:yMode val="edge"/>
          <c:x val="0.77176437521454444"/>
          <c:y val="0.21686140485168856"/>
          <c:w val="0.20744404309396594"/>
          <c:h val="0.49975038479750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'TU863+_1x2116_Preg'!$S$23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'TU863+_1x2116_Preg'!$U$24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'TU863+_1x2116_Preg'!$U$25:$U$27</c:f>
              <c:numCache>
                <c:formatCode>0.0000</c:formatCode>
                <c:ptCount val="3"/>
                <c:pt idx="0">
                  <c:v>5.3999999999999994E-3</c:v>
                </c:pt>
                <c:pt idx="1">
                  <c:v>5.3999999999999994E-3</c:v>
                </c:pt>
                <c:pt idx="2">
                  <c:v>5.3999999999999994E-3</c:v>
                </c:pt>
              </c:numCache>
            </c:numRef>
          </c:yVal>
          <c:smooth val="0"/>
          <c:extLst>
            <c:ext xmlns:c16="http://schemas.microsoft.com/office/drawing/2014/chart" uri="{C3380CC4-5D6E-409C-BE32-E72D297353CC}">
              <c16:uniqueId val="{00000000-53B5-4C78-A872-2D3F9E71F7D3}"/>
            </c:ext>
          </c:extLst>
        </c:ser>
        <c:ser>
          <c:idx val="1"/>
          <c:order val="1"/>
          <c:tx>
            <c:strRef>
              <c:f>'TU863+_1x2116_Preg'!$V$24</c:f>
              <c:strCache>
                <c:ptCount val="1"/>
                <c:pt idx="0">
                  <c:v>3.00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'TU863+_1x2116_Preg'!$V$25:$V$27</c:f>
              <c:numCache>
                <c:formatCode>0.0000</c:formatCode>
                <c:ptCount val="3"/>
                <c:pt idx="0">
                  <c:v>5.5999999999999999E-3</c:v>
                </c:pt>
                <c:pt idx="1">
                  <c:v>5.5999999999999999E-3</c:v>
                </c:pt>
                <c:pt idx="2">
                  <c:v>5.5999999999999999E-3</c:v>
                </c:pt>
              </c:numCache>
            </c:numRef>
          </c:yVal>
          <c:smooth val="0"/>
          <c:extLst>
            <c:ext xmlns:c16="http://schemas.microsoft.com/office/drawing/2014/chart" uri="{C3380CC4-5D6E-409C-BE32-E72D297353CC}">
              <c16:uniqueId val="{00000001-53B5-4C78-A872-2D3F9E71F7D3}"/>
            </c:ext>
          </c:extLst>
        </c:ser>
        <c:ser>
          <c:idx val="2"/>
          <c:order val="2"/>
          <c:tx>
            <c:strRef>
              <c:f>'TU863+_1x2116_Preg'!$W$24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'TU863+_1x2116_Preg'!$W$25:$W$27</c:f>
              <c:numCache>
                <c:formatCode>0.0000</c:formatCode>
                <c:ptCount val="3"/>
                <c:pt idx="0">
                  <c:v>6.1000000000000004E-3</c:v>
                </c:pt>
                <c:pt idx="1">
                  <c:v>6.1000000000000004E-3</c:v>
                </c:pt>
                <c:pt idx="2">
                  <c:v>6.1000000000000004E-3</c:v>
                </c:pt>
              </c:numCache>
            </c:numRef>
          </c:yVal>
          <c:smooth val="0"/>
          <c:extLst>
            <c:ext xmlns:c16="http://schemas.microsoft.com/office/drawing/2014/chart" uri="{C3380CC4-5D6E-409C-BE32-E72D297353CC}">
              <c16:uniqueId val="{00000002-53B5-4C78-A872-2D3F9E71F7D3}"/>
            </c:ext>
          </c:extLst>
        </c:ser>
        <c:ser>
          <c:idx val="3"/>
          <c:order val="3"/>
          <c:tx>
            <c:strRef>
              <c:f>'TU863+_1x2116_Preg'!$X$24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'TU863+_1x2116_Preg'!$X$25:$X$27</c:f>
              <c:numCache>
                <c:formatCode>0.0000</c:formatCode>
                <c:ptCount val="3"/>
                <c:pt idx="0">
                  <c:v>6.8842105263157895E-3</c:v>
                </c:pt>
                <c:pt idx="1">
                  <c:v>6.9263157894736841E-3</c:v>
                </c:pt>
                <c:pt idx="2">
                  <c:v>6.9894736842105263E-3</c:v>
                </c:pt>
              </c:numCache>
            </c:numRef>
          </c:yVal>
          <c:smooth val="0"/>
          <c:extLst>
            <c:ext xmlns:c16="http://schemas.microsoft.com/office/drawing/2014/chart" uri="{C3380CC4-5D6E-409C-BE32-E72D297353CC}">
              <c16:uniqueId val="{00000003-53B5-4C78-A872-2D3F9E71F7D3}"/>
            </c:ext>
          </c:extLst>
        </c:ser>
        <c:ser>
          <c:idx val="4"/>
          <c:order val="4"/>
          <c:tx>
            <c:strRef>
              <c:f>'TU863+_1x2116_Preg'!$Z$24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'TU863+_1x2116_Preg'!$B$25:$B$27</c:f>
              <c:numCache>
                <c:formatCode>0.0%</c:formatCode>
                <c:ptCount val="3"/>
                <c:pt idx="0">
                  <c:v>0.53</c:v>
                </c:pt>
                <c:pt idx="1">
                  <c:v>0.55000000000000004</c:v>
                </c:pt>
                <c:pt idx="2">
                  <c:v>0.57999999999999996</c:v>
                </c:pt>
              </c:numCache>
            </c:numRef>
          </c:xVal>
          <c:yVal>
            <c:numRef>
              <c:f>'TU863+_1x2116_Preg'!$Z$25:$Z$27</c:f>
              <c:numCache>
                <c:formatCode>0.0000</c:formatCode>
                <c:ptCount val="3"/>
                <c:pt idx="0">
                  <c:v>8.0999999999999996E-3</c:v>
                </c:pt>
                <c:pt idx="1">
                  <c:v>8.0999999999999996E-3</c:v>
                </c:pt>
                <c:pt idx="2">
                  <c:v>8.0999999999999996E-3</c:v>
                </c:pt>
              </c:numCache>
            </c:numRef>
          </c:yVal>
          <c:smooth val="0"/>
          <c:extLst>
            <c:ext xmlns:c16="http://schemas.microsoft.com/office/drawing/2014/chart" uri="{C3380CC4-5D6E-409C-BE32-E72D297353CC}">
              <c16:uniqueId val="{00000004-53B5-4C78-A872-2D3F9E71F7D3}"/>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Final DF Values</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190382847713656"/>
          <c:y val="0.13148475909537857"/>
          <c:w val="0.75651775068200866"/>
          <c:h val="0.56569096014430276"/>
        </c:manualLayout>
      </c:layout>
      <c:scatterChart>
        <c:scatterStyle val="lineMarker"/>
        <c:varyColors val="0"/>
        <c:ser>
          <c:idx val="0"/>
          <c:order val="0"/>
          <c:tx>
            <c:strRef>
              <c:f>'TU863+_1x2116_Preg'!$S$44:$Z$44</c:f>
              <c:strCache>
                <c:ptCount val="8"/>
                <c:pt idx="0">
                  <c:v>DF (Thickness = 120µm)</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'TU863+_1x2116_Preg'!$U$45:$Z$45</c:f>
              <c:numCache>
                <c:formatCode>0.00</c:formatCode>
                <c:ptCount val="6"/>
                <c:pt idx="0">
                  <c:v>1</c:v>
                </c:pt>
                <c:pt idx="1">
                  <c:v>3</c:v>
                </c:pt>
                <c:pt idx="2">
                  <c:v>5</c:v>
                </c:pt>
                <c:pt idx="3">
                  <c:v>10</c:v>
                </c:pt>
                <c:pt idx="4">
                  <c:v>15</c:v>
                </c:pt>
                <c:pt idx="5">
                  <c:v>20</c:v>
                </c:pt>
              </c:numCache>
            </c:numRef>
          </c:xVal>
          <c:yVal>
            <c:numRef>
              <c:f>'TU863+_1x2116_Preg'!$U$46:$Z$46</c:f>
              <c:numCache>
                <c:formatCode>0.0000</c:formatCode>
                <c:ptCount val="6"/>
                <c:pt idx="0">
                  <c:v>5.3999999999999994E-3</c:v>
                </c:pt>
                <c:pt idx="1">
                  <c:v>5.5999999999999999E-3</c:v>
                </c:pt>
                <c:pt idx="2">
                  <c:v>6.1000000000000004E-3</c:v>
                </c:pt>
                <c:pt idx="3">
                  <c:v>6.8787238366185728E-3</c:v>
                </c:pt>
                <c:pt idx="4">
                  <c:v>7.4787238366185727E-3</c:v>
                </c:pt>
                <c:pt idx="5">
                  <c:v>8.0999999999999996E-3</c:v>
                </c:pt>
              </c:numCache>
            </c:numRef>
          </c:yVal>
          <c:smooth val="0"/>
          <c:extLst>
            <c:ext xmlns:c16="http://schemas.microsoft.com/office/drawing/2014/chart" uri="{C3380CC4-5D6E-409C-BE32-E72D297353CC}">
              <c16:uniqueId val="{00000000-487F-42EB-98ED-8139E5937D9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layout>
        <c:manualLayout>
          <c:xMode val="edge"/>
          <c:yMode val="edge"/>
          <c:x val="4.1459706235924466E-2"/>
          <c:y val="0.88379440540287924"/>
          <c:w val="0.9"/>
          <c:h val="7.91758564509515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Tachyon100G_2x1078_Core!$A$23:$H$23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Tachyon100G_2x1078_Core!$C$24</c:f>
              <c:strCache>
                <c:ptCount val="1"/>
                <c:pt idx="0">
                  <c:v>1.00</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Tachyon100G_2x1078_Core!$C$25:$C$27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0-BB60-47E1-97CE-F1FE3AF43EF9}"/>
            </c:ext>
          </c:extLst>
        </c:ser>
        <c:ser>
          <c:idx val="1"/>
          <c:order val="1"/>
          <c:tx>
            <c:strRef>
              <c:f>Tachyon100G_2x1078_Core!$D$24</c:f>
              <c:strCache>
                <c:ptCount val="1"/>
                <c:pt idx="0">
                  <c:v>2.00</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Tachyon100G_2x1078_Core!$D$25:$D$27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1-BB60-47E1-97CE-F1FE3AF43EF9}"/>
            </c:ext>
          </c:extLst>
        </c:ser>
        <c:ser>
          <c:idx val="2"/>
          <c:order val="2"/>
          <c:tx>
            <c:strRef>
              <c:f>Tachyon100G_2x1078_Core!$E$24</c:f>
              <c:strCache>
                <c:ptCount val="1"/>
                <c:pt idx="0">
                  <c:v>5.00</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Tachyon100G_2x1078_Core!$E$25:$E$27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2-BB60-47E1-97CE-F1FE3AF43EF9}"/>
            </c:ext>
          </c:extLst>
        </c:ser>
        <c:ser>
          <c:idx val="3"/>
          <c:order val="3"/>
          <c:tx>
            <c:strRef>
              <c:f>Tachyon100G_2x1078_Core!$F$24</c:f>
              <c:strCache>
                <c:ptCount val="1"/>
                <c:pt idx="0">
                  <c:v>10.00</c:v>
                </c:pt>
              </c:strCache>
            </c:strRef>
          </c:tx>
          <c:spPr>
            <a:ln w="22225" cap="rnd">
              <a:solidFill>
                <a:schemeClr val="accent4"/>
              </a:solid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Tachyon100G_2x1078_Core!$F$25:$F$27</c:f>
              <c:numCache>
                <c:formatCode>0.00</c:formatCode>
                <c:ptCount val="3"/>
                <c:pt idx="0">
                  <c:v>3.1938461538461538</c:v>
                </c:pt>
                <c:pt idx="1">
                  <c:v>3.1446153846153848</c:v>
                </c:pt>
                <c:pt idx="2">
                  <c:v>3.0215384615384613</c:v>
                </c:pt>
              </c:numCache>
            </c:numRef>
          </c:yVal>
          <c:smooth val="0"/>
          <c:extLst>
            <c:ext xmlns:c16="http://schemas.microsoft.com/office/drawing/2014/chart" uri="{C3380CC4-5D6E-409C-BE32-E72D297353CC}">
              <c16:uniqueId val="{00000003-BB60-47E1-97CE-F1FE3AF43EF9}"/>
            </c:ext>
          </c:extLst>
        </c:ser>
        <c:ser>
          <c:idx val="4"/>
          <c:order val="4"/>
          <c:tx>
            <c:strRef>
              <c:f>Tachyon100G_2x1078_Core!$H$24</c:f>
              <c:strCache>
                <c:ptCount val="1"/>
                <c:pt idx="0">
                  <c:v>20.00</c:v>
                </c:pt>
              </c:strCache>
            </c:strRef>
          </c:tx>
          <c:spPr>
            <a:ln w="22225" cap="rnd">
              <a:solidFill>
                <a:schemeClr val="accent5"/>
              </a:solid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Tachyon100G_2x1078_Core!$B$25:$B$27</c:f>
              <c:numCache>
                <c:formatCode>0.0%</c:formatCode>
                <c:ptCount val="3"/>
                <c:pt idx="0">
                  <c:v>0.6</c:v>
                </c:pt>
                <c:pt idx="1">
                  <c:v>0.63</c:v>
                </c:pt>
                <c:pt idx="2">
                  <c:v>0.70499999999999996</c:v>
                </c:pt>
              </c:numCache>
            </c:numRef>
          </c:xVal>
          <c:yVal>
            <c:numRef>
              <c:f>Tachyon100G_2x1078_Core!$H$25:$H$27</c:f>
              <c:numCache>
                <c:formatCode>0.00</c:formatCode>
                <c:ptCount val="3"/>
                <c:pt idx="0">
                  <c:v>3.1951282051282055</c:v>
                </c:pt>
                <c:pt idx="1">
                  <c:v>3.1428205128205127</c:v>
                </c:pt>
                <c:pt idx="2">
                  <c:v>3.0120512820512819</c:v>
                </c:pt>
              </c:numCache>
            </c:numRef>
          </c:yVal>
          <c:smooth val="0"/>
          <c:extLst>
            <c:ext xmlns:c16="http://schemas.microsoft.com/office/drawing/2014/chart" uri="{C3380CC4-5D6E-409C-BE32-E72D297353CC}">
              <c16:uniqueId val="{00000004-BB60-47E1-97CE-F1FE3AF43EF9}"/>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09800" cy="524914"/>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xdr:rowOff>
    </xdr:from>
    <xdr:to>
      <xdr:col>2</xdr:col>
      <xdr:colOff>636270</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 y="1"/>
          <a:ext cx="2030289" cy="520212"/>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77080</xdr:colOff>
      <xdr:row>10</xdr:row>
      <xdr:rowOff>47477</xdr:rowOff>
    </xdr:from>
    <xdr:to>
      <xdr:col>11</xdr:col>
      <xdr:colOff>657518</xdr:colOff>
      <xdr:row>14</xdr:row>
      <xdr:rowOff>131885</xdr:rowOff>
    </xdr:to>
    <xdr:grpSp>
      <xdr:nvGrpSpPr>
        <xdr:cNvPr id="11" name="Group 10">
          <a:extLst>
            <a:ext uri="{FF2B5EF4-FFF2-40B4-BE49-F238E27FC236}">
              <a16:creationId xmlns:a16="http://schemas.microsoft.com/office/drawing/2014/main" id="{10F5A1C7-87AD-32D9-D1CE-143067D688F9}"/>
            </a:ext>
          </a:extLst>
        </xdr:cNvPr>
        <xdr:cNvGrpSpPr/>
      </xdr:nvGrpSpPr>
      <xdr:grpSpPr>
        <a:xfrm>
          <a:off x="77080" y="2012997"/>
          <a:ext cx="8044668" cy="888465"/>
          <a:chOff x="77080" y="2196170"/>
          <a:chExt cx="8102188" cy="794827"/>
        </a:xfrm>
      </xdr:grpSpPr>
      <xdr:pic>
        <xdr:nvPicPr>
          <xdr:cNvPr id="10" name="Picture 9">
            <a:extLst>
              <a:ext uri="{FF2B5EF4-FFF2-40B4-BE49-F238E27FC236}">
                <a16:creationId xmlns:a16="http://schemas.microsoft.com/office/drawing/2014/main" id="{8E1B3059-4A96-FB40-8A98-68D3458A1482}"/>
              </a:ext>
            </a:extLst>
          </xdr:cNvPr>
          <xdr:cNvPicPr>
            <a:picLocks noChangeAspect="1"/>
          </xdr:cNvPicPr>
        </xdr:nvPicPr>
        <xdr:blipFill rotWithShape="1">
          <a:blip xmlns:r="http://schemas.openxmlformats.org/officeDocument/2006/relationships" r:embed="rId2"/>
          <a:srcRect l="448" t="5437" b="3497"/>
          <a:stretch/>
        </xdr:blipFill>
        <xdr:spPr>
          <a:xfrm>
            <a:off x="143022" y="2319117"/>
            <a:ext cx="8036246" cy="613557"/>
          </a:xfrm>
          <a:prstGeom prst="rect">
            <a:avLst/>
          </a:prstGeom>
        </xdr:spPr>
      </xdr:pic>
      <xdr:grpSp>
        <xdr:nvGrpSpPr>
          <xdr:cNvPr id="9" name="Group 8">
            <a:extLst>
              <a:ext uri="{FF2B5EF4-FFF2-40B4-BE49-F238E27FC236}">
                <a16:creationId xmlns:a16="http://schemas.microsoft.com/office/drawing/2014/main" id="{33CD00F1-BFA0-5629-9150-D67CD60E9206}"/>
              </a:ext>
            </a:extLst>
          </xdr:cNvPr>
          <xdr:cNvGrpSpPr/>
        </xdr:nvGrpSpPr>
        <xdr:grpSpPr>
          <a:xfrm>
            <a:off x="77080" y="2194265"/>
            <a:ext cx="6644659" cy="796732"/>
            <a:chOff x="58616" y="1934306"/>
            <a:chExt cx="6645520" cy="794827"/>
          </a:xfrm>
        </xdr:grpSpPr>
        <xdr:sp macro="" textlink="">
          <xdr:nvSpPr>
            <xdr:cNvPr id="6" name="Rectangle: Rounded Corners 5">
              <a:extLst>
                <a:ext uri="{FF2B5EF4-FFF2-40B4-BE49-F238E27FC236}">
                  <a16:creationId xmlns:a16="http://schemas.microsoft.com/office/drawing/2014/main" id="{BAD30B5D-F14D-A768-8805-18124994BBE8}"/>
                </a:ext>
              </a:extLst>
            </xdr:cNvPr>
            <xdr:cNvSpPr/>
          </xdr:nvSpPr>
          <xdr:spPr>
            <a:xfrm>
              <a:off x="58616" y="1952479"/>
              <a:ext cx="1905000" cy="776654"/>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 name="Rectangle: Rounded Corners 6">
              <a:extLst>
                <a:ext uri="{FF2B5EF4-FFF2-40B4-BE49-F238E27FC236}">
                  <a16:creationId xmlns:a16="http://schemas.microsoft.com/office/drawing/2014/main" id="{161F61F4-0BE8-45CB-9D3A-38F86A9FF958}"/>
                </a:ext>
              </a:extLst>
            </xdr:cNvPr>
            <xdr:cNvSpPr/>
          </xdr:nvSpPr>
          <xdr:spPr>
            <a:xfrm>
              <a:off x="2210827" y="1952478"/>
              <a:ext cx="2137849" cy="651088"/>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F80D4BA4-AC74-46AE-A1CD-219D6DFC8E2D}"/>
                </a:ext>
              </a:extLst>
            </xdr:cNvPr>
            <xdr:cNvSpPr/>
          </xdr:nvSpPr>
          <xdr:spPr>
            <a:xfrm>
              <a:off x="4488169" y="1934306"/>
              <a:ext cx="2215967" cy="65433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grpSp>
    <xdr:clientData/>
  </xdr:twoCellAnchor>
  <xdr:twoCellAnchor editAs="oneCell">
    <xdr:from>
      <xdr:col>0</xdr:col>
      <xdr:colOff>57446</xdr:colOff>
      <xdr:row>20</xdr:row>
      <xdr:rowOff>10845</xdr:rowOff>
    </xdr:from>
    <xdr:to>
      <xdr:col>5</xdr:col>
      <xdr:colOff>611104</xdr:colOff>
      <xdr:row>27</xdr:row>
      <xdr:rowOff>152400</xdr:rowOff>
    </xdr:to>
    <xdr:pic>
      <xdr:nvPicPr>
        <xdr:cNvPr id="12" name="Picture 11">
          <a:extLst>
            <a:ext uri="{FF2B5EF4-FFF2-40B4-BE49-F238E27FC236}">
              <a16:creationId xmlns:a16="http://schemas.microsoft.com/office/drawing/2014/main" id="{B5D0CDF3-B080-4138-CE30-671A158548A0}"/>
            </a:ext>
          </a:extLst>
        </xdr:cNvPr>
        <xdr:cNvPicPr>
          <a:picLocks noChangeAspect="1"/>
        </xdr:cNvPicPr>
      </xdr:nvPicPr>
      <xdr:blipFill rotWithShape="1">
        <a:blip xmlns:r="http://schemas.openxmlformats.org/officeDocument/2006/relationships" r:embed="rId3"/>
        <a:srcRect t="17358"/>
        <a:stretch/>
      </xdr:blipFill>
      <xdr:spPr>
        <a:xfrm>
          <a:off x="57446" y="3925620"/>
          <a:ext cx="4030283" cy="1484580"/>
        </a:xfrm>
        <a:prstGeom prst="rect">
          <a:avLst/>
        </a:prstGeom>
      </xdr:spPr>
    </xdr:pic>
    <xdr:clientData/>
  </xdr:twoCellAnchor>
  <xdr:twoCellAnchor editAs="oneCell">
    <xdr:from>
      <xdr:col>7</xdr:col>
      <xdr:colOff>18462</xdr:colOff>
      <xdr:row>19</xdr:row>
      <xdr:rowOff>115472</xdr:rowOff>
    </xdr:from>
    <xdr:to>
      <xdr:col>15</xdr:col>
      <xdr:colOff>74448</xdr:colOff>
      <xdr:row>33</xdr:row>
      <xdr:rowOff>104775</xdr:rowOff>
    </xdr:to>
    <xdr:pic>
      <xdr:nvPicPr>
        <xdr:cNvPr id="15" name="Picture 14">
          <a:extLst>
            <a:ext uri="{FF2B5EF4-FFF2-40B4-BE49-F238E27FC236}">
              <a16:creationId xmlns:a16="http://schemas.microsoft.com/office/drawing/2014/main" id="{7BF3EF30-567F-01D0-FD7B-793CC5B99699}"/>
            </a:ext>
          </a:extLst>
        </xdr:cNvPr>
        <xdr:cNvPicPr>
          <a:picLocks noChangeAspect="1"/>
        </xdr:cNvPicPr>
      </xdr:nvPicPr>
      <xdr:blipFill rotWithShape="1">
        <a:blip xmlns:r="http://schemas.openxmlformats.org/officeDocument/2006/relationships" r:embed="rId4"/>
        <a:srcRect t="937"/>
        <a:stretch/>
      </xdr:blipFill>
      <xdr:spPr>
        <a:xfrm>
          <a:off x="4885737" y="3773072"/>
          <a:ext cx="5618586" cy="2675353"/>
        </a:xfrm>
        <a:prstGeom prst="rect">
          <a:avLst/>
        </a:prstGeom>
      </xdr:spPr>
    </xdr:pic>
    <xdr:clientData/>
  </xdr:twoCellAnchor>
  <xdr:twoCellAnchor editAs="oneCell">
    <xdr:from>
      <xdr:col>16</xdr:col>
      <xdr:colOff>55685</xdr:colOff>
      <xdr:row>18</xdr:row>
      <xdr:rowOff>9524</xdr:rowOff>
    </xdr:from>
    <xdr:to>
      <xdr:col>20</xdr:col>
      <xdr:colOff>398145</xdr:colOff>
      <xdr:row>33</xdr:row>
      <xdr:rowOff>125435</xdr:rowOff>
    </xdr:to>
    <xdr:pic>
      <xdr:nvPicPr>
        <xdr:cNvPr id="16" name="Picture 15">
          <a:extLst>
            <a:ext uri="{FF2B5EF4-FFF2-40B4-BE49-F238E27FC236}">
              <a16:creationId xmlns:a16="http://schemas.microsoft.com/office/drawing/2014/main" id="{6FEC90B2-AAAB-1EBD-114E-D67EE19A5806}"/>
            </a:ext>
          </a:extLst>
        </xdr:cNvPr>
        <xdr:cNvPicPr>
          <a:picLocks noChangeAspect="1"/>
        </xdr:cNvPicPr>
      </xdr:nvPicPr>
      <xdr:blipFill>
        <a:blip xmlns:r="http://schemas.openxmlformats.org/officeDocument/2006/relationships" r:embed="rId5"/>
        <a:stretch>
          <a:fillRect/>
        </a:stretch>
      </xdr:blipFill>
      <xdr:spPr>
        <a:xfrm>
          <a:off x="10571285" y="3486149"/>
          <a:ext cx="3123760" cy="2981031"/>
        </a:xfrm>
        <a:prstGeom prst="rect">
          <a:avLst/>
        </a:prstGeom>
      </xdr:spPr>
    </xdr:pic>
    <xdr:clientData/>
  </xdr:twoCellAnchor>
  <xdr:twoCellAnchor editAs="oneCell">
    <xdr:from>
      <xdr:col>21</xdr:col>
      <xdr:colOff>218869</xdr:colOff>
      <xdr:row>17</xdr:row>
      <xdr:rowOff>179070</xdr:rowOff>
    </xdr:from>
    <xdr:to>
      <xdr:col>31</xdr:col>
      <xdr:colOff>600057</xdr:colOff>
      <xdr:row>33</xdr:row>
      <xdr:rowOff>93345</xdr:rowOff>
    </xdr:to>
    <xdr:pic>
      <xdr:nvPicPr>
        <xdr:cNvPr id="17" name="Picture 16">
          <a:extLst>
            <a:ext uri="{FF2B5EF4-FFF2-40B4-BE49-F238E27FC236}">
              <a16:creationId xmlns:a16="http://schemas.microsoft.com/office/drawing/2014/main" id="{550FBF69-0D64-EF34-40AA-12F0F49BA371}"/>
            </a:ext>
          </a:extLst>
        </xdr:cNvPr>
        <xdr:cNvPicPr>
          <a:picLocks noChangeAspect="1"/>
        </xdr:cNvPicPr>
      </xdr:nvPicPr>
      <xdr:blipFill>
        <a:blip xmlns:r="http://schemas.openxmlformats.org/officeDocument/2006/relationships" r:embed="rId6"/>
        <a:stretch>
          <a:fillRect/>
        </a:stretch>
      </xdr:blipFill>
      <xdr:spPr>
        <a:xfrm>
          <a:off x="14211094" y="3474720"/>
          <a:ext cx="6905813" cy="2962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180974</xdr:rowOff>
    </xdr:from>
    <xdr:to>
      <xdr:col>8</xdr:col>
      <xdr:colOff>9524</xdr:colOff>
      <xdr:row>41</xdr:row>
      <xdr:rowOff>171449</xdr:rowOff>
    </xdr:to>
    <xdr:graphicFrame macro="">
      <xdr:nvGraphicFramePr>
        <xdr:cNvPr id="2" name="Chart 1">
          <a:extLst>
            <a:ext uri="{FF2B5EF4-FFF2-40B4-BE49-F238E27FC236}">
              <a16:creationId xmlns:a16="http://schemas.microsoft.com/office/drawing/2014/main" id="{13095016-0737-496B-B622-05CBF17EC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28</xdr:row>
      <xdr:rowOff>0</xdr:rowOff>
    </xdr:from>
    <xdr:to>
      <xdr:col>16</xdr:col>
      <xdr:colOff>561975</xdr:colOff>
      <xdr:row>41</xdr:row>
      <xdr:rowOff>169545</xdr:rowOff>
    </xdr:to>
    <xdr:graphicFrame macro="">
      <xdr:nvGraphicFramePr>
        <xdr:cNvPr id="3" name="Chart 2">
          <a:extLst>
            <a:ext uri="{FF2B5EF4-FFF2-40B4-BE49-F238E27FC236}">
              <a16:creationId xmlns:a16="http://schemas.microsoft.com/office/drawing/2014/main" id="{E52CF2B7-312B-4DA6-9C8A-C26182C5D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3</xdr:row>
      <xdr:rowOff>160020</xdr:rowOff>
    </xdr:from>
    <xdr:to>
      <xdr:col>17</xdr:col>
      <xdr:colOff>1</xdr:colOff>
      <xdr:row>18</xdr:row>
      <xdr:rowOff>36195</xdr:rowOff>
    </xdr:to>
    <xdr:graphicFrame macro="">
      <xdr:nvGraphicFramePr>
        <xdr:cNvPr id="4" name="Chart 3">
          <a:extLst>
            <a:ext uri="{FF2B5EF4-FFF2-40B4-BE49-F238E27FC236}">
              <a16:creationId xmlns:a16="http://schemas.microsoft.com/office/drawing/2014/main" id="{D9548481-4640-48BF-B725-7F0E2154D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1712</xdr:colOff>
      <xdr:row>10</xdr:row>
      <xdr:rowOff>122811</xdr:rowOff>
    </xdr:from>
    <xdr:to>
      <xdr:col>34</xdr:col>
      <xdr:colOff>485969</xdr:colOff>
      <xdr:row>23</xdr:row>
      <xdr:rowOff>116087</xdr:rowOff>
    </xdr:to>
    <xdr:graphicFrame macro="">
      <xdr:nvGraphicFramePr>
        <xdr:cNvPr id="5" name="Chart 4">
          <a:extLst>
            <a:ext uri="{FF2B5EF4-FFF2-40B4-BE49-F238E27FC236}">
              <a16:creationId xmlns:a16="http://schemas.microsoft.com/office/drawing/2014/main" id="{122C817C-B576-446F-81C9-5CB502B01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7814</xdr:colOff>
      <xdr:row>30</xdr:row>
      <xdr:rowOff>132256</xdr:rowOff>
    </xdr:from>
    <xdr:to>
      <xdr:col>35</xdr:col>
      <xdr:colOff>9720</xdr:colOff>
      <xdr:row>46</xdr:row>
      <xdr:rowOff>0</xdr:rowOff>
    </xdr:to>
    <xdr:graphicFrame macro="">
      <xdr:nvGraphicFramePr>
        <xdr:cNvPr id="6" name="Chart 5">
          <a:extLst>
            <a:ext uri="{FF2B5EF4-FFF2-40B4-BE49-F238E27FC236}">
              <a16:creationId xmlns:a16="http://schemas.microsoft.com/office/drawing/2014/main" id="{A0FE886B-F703-4205-AD10-E87D61954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661</xdr:colOff>
      <xdr:row>30</xdr:row>
      <xdr:rowOff>152399</xdr:rowOff>
    </xdr:from>
    <xdr:to>
      <xdr:col>44</xdr:col>
      <xdr:colOff>0</xdr:colOff>
      <xdr:row>45</xdr:row>
      <xdr:rowOff>161924</xdr:rowOff>
    </xdr:to>
    <xdr:graphicFrame macro="">
      <xdr:nvGraphicFramePr>
        <xdr:cNvPr id="7" name="Chart 6">
          <a:extLst>
            <a:ext uri="{FF2B5EF4-FFF2-40B4-BE49-F238E27FC236}">
              <a16:creationId xmlns:a16="http://schemas.microsoft.com/office/drawing/2014/main" id="{889058EC-F4B4-4FEE-B0AF-99C8078D2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171450</xdr:colOff>
      <xdr:row>27</xdr:row>
      <xdr:rowOff>171450</xdr:rowOff>
    </xdr:from>
    <xdr:to>
      <xdr:col>25</xdr:col>
      <xdr:colOff>504825</xdr:colOff>
      <xdr:row>41</xdr:row>
      <xdr:rowOff>161925</xdr:rowOff>
    </xdr:to>
    <xdr:graphicFrame macro="">
      <xdr:nvGraphicFramePr>
        <xdr:cNvPr id="8" name="Chart 7">
          <a:extLst>
            <a:ext uri="{FF2B5EF4-FFF2-40B4-BE49-F238E27FC236}">
              <a16:creationId xmlns:a16="http://schemas.microsoft.com/office/drawing/2014/main" id="{61D8F1D5-F8C6-4603-B192-92D7AE97D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171450</xdr:colOff>
      <xdr:row>3</xdr:row>
      <xdr:rowOff>161925</xdr:rowOff>
    </xdr:from>
    <xdr:to>
      <xdr:col>25</xdr:col>
      <xdr:colOff>483870</xdr:colOff>
      <xdr:row>18</xdr:row>
      <xdr:rowOff>36195</xdr:rowOff>
    </xdr:to>
    <xdr:graphicFrame macro="">
      <xdr:nvGraphicFramePr>
        <xdr:cNvPr id="9" name="Chart 8">
          <a:extLst>
            <a:ext uri="{FF2B5EF4-FFF2-40B4-BE49-F238E27FC236}">
              <a16:creationId xmlns:a16="http://schemas.microsoft.com/office/drawing/2014/main" id="{7EB09E6D-2E0D-4D28-AFDF-2FA3242E2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180974</xdr:rowOff>
    </xdr:from>
    <xdr:to>
      <xdr:col>8</xdr:col>
      <xdr:colOff>9524</xdr:colOff>
      <xdr:row>41</xdr:row>
      <xdr:rowOff>171449</xdr:rowOff>
    </xdr:to>
    <xdr:graphicFrame macro="">
      <xdr:nvGraphicFramePr>
        <xdr:cNvPr id="2" name="Chart 1">
          <a:extLst>
            <a:ext uri="{FF2B5EF4-FFF2-40B4-BE49-F238E27FC236}">
              <a16:creationId xmlns:a16="http://schemas.microsoft.com/office/drawing/2014/main" id="{CE200D7B-2A64-493E-9A9A-1FF975077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28</xdr:row>
      <xdr:rowOff>0</xdr:rowOff>
    </xdr:from>
    <xdr:to>
      <xdr:col>16</xdr:col>
      <xdr:colOff>561975</xdr:colOff>
      <xdr:row>41</xdr:row>
      <xdr:rowOff>169545</xdr:rowOff>
    </xdr:to>
    <xdr:graphicFrame macro="">
      <xdr:nvGraphicFramePr>
        <xdr:cNvPr id="3" name="Chart 2">
          <a:extLst>
            <a:ext uri="{FF2B5EF4-FFF2-40B4-BE49-F238E27FC236}">
              <a16:creationId xmlns:a16="http://schemas.microsoft.com/office/drawing/2014/main" id="{54574369-0929-403A-90B1-57813C5E8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3</xdr:row>
      <xdr:rowOff>160020</xdr:rowOff>
    </xdr:from>
    <xdr:to>
      <xdr:col>17</xdr:col>
      <xdr:colOff>1</xdr:colOff>
      <xdr:row>18</xdr:row>
      <xdr:rowOff>36195</xdr:rowOff>
    </xdr:to>
    <xdr:graphicFrame macro="">
      <xdr:nvGraphicFramePr>
        <xdr:cNvPr id="4" name="Chart 3">
          <a:extLst>
            <a:ext uri="{FF2B5EF4-FFF2-40B4-BE49-F238E27FC236}">
              <a16:creationId xmlns:a16="http://schemas.microsoft.com/office/drawing/2014/main" id="{4755A4FD-7798-4399-B638-0EC2024D2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1712</xdr:colOff>
      <xdr:row>10</xdr:row>
      <xdr:rowOff>122811</xdr:rowOff>
    </xdr:from>
    <xdr:to>
      <xdr:col>34</xdr:col>
      <xdr:colOff>485969</xdr:colOff>
      <xdr:row>23</xdr:row>
      <xdr:rowOff>116087</xdr:rowOff>
    </xdr:to>
    <xdr:graphicFrame macro="">
      <xdr:nvGraphicFramePr>
        <xdr:cNvPr id="5" name="Chart 4">
          <a:extLst>
            <a:ext uri="{FF2B5EF4-FFF2-40B4-BE49-F238E27FC236}">
              <a16:creationId xmlns:a16="http://schemas.microsoft.com/office/drawing/2014/main" id="{0677C2D1-3398-4354-9002-0D71DC69E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7814</xdr:colOff>
      <xdr:row>30</xdr:row>
      <xdr:rowOff>132256</xdr:rowOff>
    </xdr:from>
    <xdr:to>
      <xdr:col>35</xdr:col>
      <xdr:colOff>9720</xdr:colOff>
      <xdr:row>46</xdr:row>
      <xdr:rowOff>0</xdr:rowOff>
    </xdr:to>
    <xdr:graphicFrame macro="">
      <xdr:nvGraphicFramePr>
        <xdr:cNvPr id="6" name="Chart 5">
          <a:extLst>
            <a:ext uri="{FF2B5EF4-FFF2-40B4-BE49-F238E27FC236}">
              <a16:creationId xmlns:a16="http://schemas.microsoft.com/office/drawing/2014/main" id="{20CE12DD-3C8F-4F02-8F73-89F1B4CE1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661</xdr:colOff>
      <xdr:row>30</xdr:row>
      <xdr:rowOff>152399</xdr:rowOff>
    </xdr:from>
    <xdr:to>
      <xdr:col>44</xdr:col>
      <xdr:colOff>0</xdr:colOff>
      <xdr:row>45</xdr:row>
      <xdr:rowOff>161924</xdr:rowOff>
    </xdr:to>
    <xdr:graphicFrame macro="">
      <xdr:nvGraphicFramePr>
        <xdr:cNvPr id="7" name="Chart 6">
          <a:extLst>
            <a:ext uri="{FF2B5EF4-FFF2-40B4-BE49-F238E27FC236}">
              <a16:creationId xmlns:a16="http://schemas.microsoft.com/office/drawing/2014/main" id="{C6450AA5-0413-4A79-8E89-3CA015720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171450</xdr:colOff>
      <xdr:row>27</xdr:row>
      <xdr:rowOff>171450</xdr:rowOff>
    </xdr:from>
    <xdr:to>
      <xdr:col>25</xdr:col>
      <xdr:colOff>504825</xdr:colOff>
      <xdr:row>41</xdr:row>
      <xdr:rowOff>161925</xdr:rowOff>
    </xdr:to>
    <xdr:graphicFrame macro="">
      <xdr:nvGraphicFramePr>
        <xdr:cNvPr id="8" name="Chart 7">
          <a:extLst>
            <a:ext uri="{FF2B5EF4-FFF2-40B4-BE49-F238E27FC236}">
              <a16:creationId xmlns:a16="http://schemas.microsoft.com/office/drawing/2014/main" id="{61B8D3D1-0BA1-4757-9463-6F7096D06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171450</xdr:colOff>
      <xdr:row>3</xdr:row>
      <xdr:rowOff>161925</xdr:rowOff>
    </xdr:from>
    <xdr:to>
      <xdr:col>25</xdr:col>
      <xdr:colOff>483870</xdr:colOff>
      <xdr:row>18</xdr:row>
      <xdr:rowOff>36195</xdr:rowOff>
    </xdr:to>
    <xdr:graphicFrame macro="">
      <xdr:nvGraphicFramePr>
        <xdr:cNvPr id="9" name="Chart 8">
          <a:extLst>
            <a:ext uri="{FF2B5EF4-FFF2-40B4-BE49-F238E27FC236}">
              <a16:creationId xmlns:a16="http://schemas.microsoft.com/office/drawing/2014/main" id="{47E50747-09F1-4CEF-979A-CD883DF41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180974</xdr:rowOff>
    </xdr:from>
    <xdr:to>
      <xdr:col>8</xdr:col>
      <xdr:colOff>9524</xdr:colOff>
      <xdr:row>41</xdr:row>
      <xdr:rowOff>171449</xdr:rowOff>
    </xdr:to>
    <xdr:graphicFrame macro="">
      <xdr:nvGraphicFramePr>
        <xdr:cNvPr id="2" name="Chart 1">
          <a:extLst>
            <a:ext uri="{FF2B5EF4-FFF2-40B4-BE49-F238E27FC236}">
              <a16:creationId xmlns:a16="http://schemas.microsoft.com/office/drawing/2014/main" id="{CD5B8232-70B1-47C5-BCA0-3205E85A4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28</xdr:row>
      <xdr:rowOff>0</xdr:rowOff>
    </xdr:from>
    <xdr:to>
      <xdr:col>16</xdr:col>
      <xdr:colOff>561975</xdr:colOff>
      <xdr:row>41</xdr:row>
      <xdr:rowOff>169545</xdr:rowOff>
    </xdr:to>
    <xdr:graphicFrame macro="">
      <xdr:nvGraphicFramePr>
        <xdr:cNvPr id="3" name="Chart 2">
          <a:extLst>
            <a:ext uri="{FF2B5EF4-FFF2-40B4-BE49-F238E27FC236}">
              <a16:creationId xmlns:a16="http://schemas.microsoft.com/office/drawing/2014/main" id="{FAF5565D-02B4-45CF-94AE-02DB36796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3</xdr:row>
      <xdr:rowOff>160020</xdr:rowOff>
    </xdr:from>
    <xdr:to>
      <xdr:col>17</xdr:col>
      <xdr:colOff>1</xdr:colOff>
      <xdr:row>18</xdr:row>
      <xdr:rowOff>36195</xdr:rowOff>
    </xdr:to>
    <xdr:graphicFrame macro="">
      <xdr:nvGraphicFramePr>
        <xdr:cNvPr id="4" name="Chart 3">
          <a:extLst>
            <a:ext uri="{FF2B5EF4-FFF2-40B4-BE49-F238E27FC236}">
              <a16:creationId xmlns:a16="http://schemas.microsoft.com/office/drawing/2014/main" id="{1E81FA7D-36DC-4F12-8415-4A9646C37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1712</xdr:colOff>
      <xdr:row>10</xdr:row>
      <xdr:rowOff>122811</xdr:rowOff>
    </xdr:from>
    <xdr:to>
      <xdr:col>34</xdr:col>
      <xdr:colOff>485969</xdr:colOff>
      <xdr:row>23</xdr:row>
      <xdr:rowOff>116087</xdr:rowOff>
    </xdr:to>
    <xdr:graphicFrame macro="">
      <xdr:nvGraphicFramePr>
        <xdr:cNvPr id="5" name="Chart 4">
          <a:extLst>
            <a:ext uri="{FF2B5EF4-FFF2-40B4-BE49-F238E27FC236}">
              <a16:creationId xmlns:a16="http://schemas.microsoft.com/office/drawing/2014/main" id="{E895BF88-D467-430C-9D70-1DADF2327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7814</xdr:colOff>
      <xdr:row>30</xdr:row>
      <xdr:rowOff>132256</xdr:rowOff>
    </xdr:from>
    <xdr:to>
      <xdr:col>35</xdr:col>
      <xdr:colOff>9720</xdr:colOff>
      <xdr:row>46</xdr:row>
      <xdr:rowOff>0</xdr:rowOff>
    </xdr:to>
    <xdr:graphicFrame macro="">
      <xdr:nvGraphicFramePr>
        <xdr:cNvPr id="6" name="Chart 5">
          <a:extLst>
            <a:ext uri="{FF2B5EF4-FFF2-40B4-BE49-F238E27FC236}">
              <a16:creationId xmlns:a16="http://schemas.microsoft.com/office/drawing/2014/main" id="{CB965272-0F4F-4B27-B8BA-E0195F4F0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661</xdr:colOff>
      <xdr:row>30</xdr:row>
      <xdr:rowOff>152399</xdr:rowOff>
    </xdr:from>
    <xdr:to>
      <xdr:col>44</xdr:col>
      <xdr:colOff>0</xdr:colOff>
      <xdr:row>45</xdr:row>
      <xdr:rowOff>161924</xdr:rowOff>
    </xdr:to>
    <xdr:graphicFrame macro="">
      <xdr:nvGraphicFramePr>
        <xdr:cNvPr id="7" name="Chart 6">
          <a:extLst>
            <a:ext uri="{FF2B5EF4-FFF2-40B4-BE49-F238E27FC236}">
              <a16:creationId xmlns:a16="http://schemas.microsoft.com/office/drawing/2014/main" id="{7B39C321-E12F-47B0-AB79-70A99C3FB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171450</xdr:colOff>
      <xdr:row>27</xdr:row>
      <xdr:rowOff>171450</xdr:rowOff>
    </xdr:from>
    <xdr:to>
      <xdr:col>25</xdr:col>
      <xdr:colOff>504825</xdr:colOff>
      <xdr:row>41</xdr:row>
      <xdr:rowOff>161925</xdr:rowOff>
    </xdr:to>
    <xdr:graphicFrame macro="">
      <xdr:nvGraphicFramePr>
        <xdr:cNvPr id="8" name="Chart 7">
          <a:extLst>
            <a:ext uri="{FF2B5EF4-FFF2-40B4-BE49-F238E27FC236}">
              <a16:creationId xmlns:a16="http://schemas.microsoft.com/office/drawing/2014/main" id="{662D1894-5255-4038-A67A-D4698A767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171450</xdr:colOff>
      <xdr:row>3</xdr:row>
      <xdr:rowOff>161925</xdr:rowOff>
    </xdr:from>
    <xdr:to>
      <xdr:col>25</xdr:col>
      <xdr:colOff>483870</xdr:colOff>
      <xdr:row>18</xdr:row>
      <xdr:rowOff>36195</xdr:rowOff>
    </xdr:to>
    <xdr:graphicFrame macro="">
      <xdr:nvGraphicFramePr>
        <xdr:cNvPr id="9" name="Chart 8">
          <a:extLst>
            <a:ext uri="{FF2B5EF4-FFF2-40B4-BE49-F238E27FC236}">
              <a16:creationId xmlns:a16="http://schemas.microsoft.com/office/drawing/2014/main" id="{674CCB88-EDBB-4F77-BB23-21521BE91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12-05T15:13:02.78" personId="{685DAF9C-7E69-437C-B66A-60F972D4A0E6}" id="{DF62E9F4-AFDC-4B42-A8D2-2B4ED3BFE857}">
    <text>Dielectric thickness between two layers. 
The total stripline thickness will be 2x Dielectric thickness + Metal thickness</text>
  </threadedComment>
  <threadedComment ref="H1" dT="2024-12-05T15:13:59.91" personId="{685DAF9C-7E69-437C-B66A-60F972D4A0E6}" id="{A1FBBCB6-679E-4972-83FA-ECE666BDED2B}">
    <text>Conductivity of Copper</text>
  </threadedComment>
  <threadedComment ref="M1" dT="2024-12-06T10:10:08.81" personId="{685DAF9C-7E69-437C-B66A-60F972D4A0E6}" id="{3C674711-0ED7-4488-B8AF-1F111DA1598F}">
    <text>TC_DK = [ (DK|T2 - DK|T1)/DK|25C ] / (T2-T1)</text>
  </threadedComment>
  <threadedComment ref="C2" dT="2024-12-05T15:13:13.84" personId="{685DAF9C-7E69-437C-B66A-60F972D4A0E6}" id="{B884777D-1C18-487F-A50A-E196849FFCDD}">
    <text>Copper layer thickness</text>
  </threadedComment>
  <threadedComment ref="H2" dT="2024-12-05T15:14:39.76" personId="{685DAF9C-7E69-437C-B66A-60F972D4A0E6}" id="{0E923B7E-0A78-4365-BEBC-5AEC466015DA}">
    <text>Temperature</text>
  </threadedComment>
  <threadedComment ref="M2" dT="2024-12-06T10:10:38.31" personId="{685DAF9C-7E69-437C-B66A-60F972D4A0E6}" id="{69CA0851-CA36-464F-A1F4-6F9055A88673}">
    <text>TC_DF = [ (DF|T2 - DF|T1)/DF|25C ] / (T2-T1)</text>
  </threadedComment>
  <threadedComment ref="C3" dT="2024-12-05T15:13:31.26" personId="{685DAF9C-7E69-437C-B66A-60F972D4A0E6}" id="{E8A89E9F-B00C-4E49-AC28-3B16F0FEFE0F}">
    <text>Stripline width</text>
  </threadedComment>
  <threadedComment ref="H3" dT="2024-09-28T06:20:07.69" personId="{685DAF9C-7E69-437C-B66A-60F972D4A0E6}" id="{C09CA5EB-440F-4487-B317-E3C47EA15CDA}">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8633A123-E188-469C-B88B-7CDA48320DFB}">
    <text>Temperature coefficient of metal conductivity</text>
  </threadedComment>
  <threadedComment ref="AB3" dT="2024-10-03T21:19:16.88" personId="{685DAF9C-7E69-437C-B66A-60F972D4A0E6}" id="{7DB2183D-D932-4B54-A6B8-5D9CA11186E3}" done="1">
    <text>δs = sqrt(2/(σωµ))</text>
  </threadedComment>
  <threadedComment ref="C4" dT="2024-12-05T15:13:42.82" personId="{685DAF9C-7E69-437C-B66A-60F972D4A0E6}" id="{8489FAEC-0C4A-48D1-AC26-7FEF4342E262}">
    <text>Stripline spacing</text>
  </threadedComment>
  <threadedComment ref="AB4" dT="2024-10-03T21:19:31.59" personId="{685DAF9C-7E69-437C-B66A-60F972D4A0E6}" id="{A0765877-A29A-48F8-BBE0-28483C809B93}" done="1">
    <text>R' = Rstrip + Rgnd = 1/(σ δs W) + 0.15/(σ δs W)1`</text>
  </threadedComment>
  <threadedComment ref="AB5" dT="2024-10-03T21:20:00.73" personId="{685DAF9C-7E69-437C-B66A-60F972D4A0E6}" id="{6DBAC9F4-4EEA-4DC9-82F6-F8E81EB5A4AA}" done="1">
    <text>Zdiff=2*Zo*(1-.347*(EXP(-2.9*(S/H)))), where Zo=60/SQRT(Er)*LN(1.9*(2*H+T)/(0.8*W+T))</text>
  </threadedComment>
  <threadedComment ref="AK5" dT="2024-10-03T21:19:16.88" personId="{685DAF9C-7E69-437C-B66A-60F972D4A0E6}" id="{B949FD10-A422-4ED5-8F09-FB9EFC54AD51}" done="1">
    <text>δs = sqrt(2/(σωµ))</text>
  </threadedComment>
  <threadedComment ref="AK6" dT="2024-10-03T21:19:31.59" personId="{685DAF9C-7E69-437C-B66A-60F972D4A0E6}" id="{456A7150-59A4-47E5-9AE2-78C87F05F6F7}" done="1">
    <text>R' = Rstrip + Rgnd = 1/(σ δs W) + 0.15/(σ δs W)</text>
  </threadedComment>
  <threadedComment ref="AB7" dT="2024-10-03T21:14:12.65" personId="{685DAF9C-7E69-437C-B66A-60F972D4A0E6}" id="{8429A2B1-FFE7-4942-9C88-281CBDACEE90}" done="1">
    <text>α_Dielectric = 91.02 x sqrt(ɛr) x FGHz x DF</text>
  </threadedComment>
  <threadedComment ref="AK7" dT="2024-10-03T21:20:00.73" personId="{685DAF9C-7E69-437C-B66A-60F972D4A0E6}" id="{1DABB439-6BCF-42D8-B7EE-49ED733C78C2}" done="1">
    <text>Zdiff=2*Zo*(1-.347*(EXP(-2.9*(S/H)))), where Zo=60/SQRT(Er)*LN(1.9*(2*H+T)/(0.8*W+T))</text>
  </threadedComment>
  <threadedComment ref="AB8" dT="2024-10-03T21:15:07.76" personId="{685DAF9C-7E69-437C-B66A-60F972D4A0E6}" id="{B4FF7209-770D-41BF-93CF-11CD16CBF688}" done="1">
    <text>α_SmoothCopper = 8.686 x R' / 2 Zo , where R' is TL resistance per unit length</text>
  </threadedComment>
  <threadedComment ref="C9" dT="2024-12-05T15:12:38.43" personId="{685DAF9C-7E69-437C-B66A-60F972D4A0E6}" id="{02BDA7F6-3FD0-47BD-8D03-AFD0BE72FFDD}">
    <text>Frequency in GHz</text>
  </threadedComment>
  <threadedComment ref="AB9" dT="2024-10-03T21:15:26.41" personId="{685DAF9C-7E69-437C-B66A-60F972D4A0E6}" id="{DA575216-C3B5-4E37-9CC3-EAEF19D704D7}" done="1">
    <text>α_RoughCopper = α_SmoothCopper * ( 1 + (2/π)* tan-1{1.4*(Δ/δs)^2}]</text>
  </threadedComment>
  <threadedComment ref="AB10" dT="2024-10-03T21:15:37.11" personId="{685DAF9C-7E69-437C-B66A-60F972D4A0E6}" id="{D6EFCAC0-FA30-42A1-B52F-BAF3BBB517F5}" done="1">
    <text>α_Total = α_Dielectric + α_RoughCopper</text>
  </threadedComment>
  <threadedComment ref="AK10" dT="2024-10-03T21:19:16.88" personId="{685DAF9C-7E69-437C-B66A-60F972D4A0E6}" id="{361D8AD6-EAF4-4D1F-97AF-6CECC70B92DF}" done="1">
    <text>δs = sqrt(2/(σωµ))</text>
  </threadedComment>
  <threadedComment ref="AK11" dT="2024-10-03T21:19:31.59" personId="{685DAF9C-7E69-437C-B66A-60F972D4A0E6}" id="{E3A3FBF7-864B-43FD-BAFE-FD23DA18FE0E}" done="1">
    <text>R' = Rstrip + Rgnd = 1/(σ δs W) + 0.15/(σ δs W)</text>
  </threadedComment>
  <threadedComment ref="AK12" dT="2024-10-03T21:20:00.73" personId="{685DAF9C-7E69-437C-B66A-60F972D4A0E6}" id="{1A570404-3881-4A3D-9867-386BBF9D0CB8}" done="1">
    <text>Zdiff=2*Zo*(1-.347*(EXP(-2.9*(S/H)))), where Zo=60/SQRT(Er)*LN(1.9*(2*H+T)/(0.8*W+T))</text>
  </threadedComment>
  <threadedComment ref="AK15" dT="2024-10-03T21:19:16.88" personId="{685DAF9C-7E69-437C-B66A-60F972D4A0E6}" id="{EB3443C8-CF59-4C4D-B0B4-D0D26AA6C3BB}" done="1">
    <text>δs = sqrt(2/(σωµ))</text>
  </threadedComment>
  <threadedComment ref="AK16" dT="2024-10-03T21:19:31.59" personId="{685DAF9C-7E69-437C-B66A-60F972D4A0E6}" id="{89A1662B-76EF-498C-9261-84ACDD54FC8C}" done="1">
    <text>R' = Rstrip + Rgnd = 1/(σ δs W) + 0.15/(σ δs W)</text>
  </threadedComment>
  <threadedComment ref="AK17" dT="2024-10-03T21:20:00.73" personId="{685DAF9C-7E69-437C-B66A-60F972D4A0E6}" id="{81791440-E5FE-4A29-B2A4-53117F02BEE4}" done="1">
    <text>Zdiff=2*Zo*(1-.347*(EXP(-2.9*(S/H)))), where Zo=60/SQRT(Er)*LN(1.9*(2*H+T)/(0.8*W+T))</text>
  </threadedComment>
  <threadedComment ref="AK20" dT="2024-10-03T21:19:16.88" personId="{685DAF9C-7E69-437C-B66A-60F972D4A0E6}" id="{1F46D7E2-0748-41F9-B328-CBB07B8FF220}" done="1">
    <text>δs = sqrt(2/(σωµ))</text>
  </threadedComment>
  <threadedComment ref="AK21" dT="2024-10-03T21:19:31.59" personId="{685DAF9C-7E69-437C-B66A-60F972D4A0E6}" id="{A87D2FCD-0B69-435F-A1D5-A0811D733AA5}" done="1">
    <text>R' = Rstrip + Rgnd = 1/(σ δs W) + 0.15/(σ δs W)</text>
  </threadedComment>
  <threadedComment ref="AK22" dT="2024-10-03T21:20:00.73" personId="{685DAF9C-7E69-437C-B66A-60F972D4A0E6}" id="{C466ACAA-236A-46D6-9EA8-4A608E6FE9B2}" done="1">
    <text>Zdiff=2*Zo*(1-.347*(EXP(-2.9*(S/H)))), where Zo=60/SQRT(Er)*LN(1.9*(2*H+T)/(0.8*W+T))</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2-05T15:13:02.78" personId="{685DAF9C-7E69-437C-B66A-60F972D4A0E6}" id="{98173FA5-BF42-41D9-AA0A-C2372CC74847}">
    <text>Dielectric thickness between two layers. 
The total stripline thickness will be 2x Dielectric thickness + Metal thickness</text>
  </threadedComment>
  <threadedComment ref="H1" dT="2024-12-05T15:13:59.91" personId="{685DAF9C-7E69-437C-B66A-60F972D4A0E6}" id="{04BEB639-BAB5-4378-9879-054068F07E53}">
    <text>Conductivity of Copper</text>
  </threadedComment>
  <threadedComment ref="M1" dT="2024-12-06T10:10:08.81" personId="{685DAF9C-7E69-437C-B66A-60F972D4A0E6}" id="{A84F9508-A3F3-4FFF-AB44-85098435E78E}">
    <text>TC_DK = [ (DK|T2 - DK|T1)/DK|25C ] / (T2-T1)</text>
  </threadedComment>
  <threadedComment ref="C2" dT="2024-12-05T15:13:13.84" personId="{685DAF9C-7E69-437C-B66A-60F972D4A0E6}" id="{2BB238EF-40C5-4319-9286-0227841FCA11}">
    <text>Copper layer thickness</text>
  </threadedComment>
  <threadedComment ref="H2" dT="2024-12-05T15:14:39.76" personId="{685DAF9C-7E69-437C-B66A-60F972D4A0E6}" id="{E5EBF007-918B-47B2-B7C8-6A43EEEFBD4B}">
    <text>Temperature</text>
  </threadedComment>
  <threadedComment ref="M2" dT="2024-12-06T10:10:38.31" personId="{685DAF9C-7E69-437C-B66A-60F972D4A0E6}" id="{E947D48E-5B0B-42E1-8595-5C1FA8970924}">
    <text>TC_DF = [ (DF|T2 - DF|T1)/DF|25C ] / (T2-T1)</text>
  </threadedComment>
  <threadedComment ref="C3" dT="2024-12-05T15:13:31.26" personId="{685DAF9C-7E69-437C-B66A-60F972D4A0E6}" id="{0FAAFA5D-1A10-40CD-9F31-1D7CD54CDD35}">
    <text>Stripline width</text>
  </threadedComment>
  <threadedComment ref="H3" dT="2024-09-28T06:20:07.69" personId="{685DAF9C-7E69-437C-B66A-60F972D4A0E6}" id="{FBA52DA1-5CD6-4569-9A5C-217D3A16D3BE}">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F927B9B3-E61D-4F63-BD8A-747AE9796189}">
    <text>Temperature coefficient of metal conductivity</text>
  </threadedComment>
  <threadedComment ref="AB3" dT="2024-10-03T21:19:16.88" personId="{685DAF9C-7E69-437C-B66A-60F972D4A0E6}" id="{6B1868DD-22D8-4EC7-B626-E37DD63E7558}" done="1">
    <text>δs = sqrt(2/(σωµ))</text>
  </threadedComment>
  <threadedComment ref="C4" dT="2024-12-05T15:13:42.82" personId="{685DAF9C-7E69-437C-B66A-60F972D4A0E6}" id="{E8086291-A8E6-4FA7-BA3A-4420813B1289}">
    <text>Stripline spacing</text>
  </threadedComment>
  <threadedComment ref="AB4" dT="2024-10-03T21:19:31.59" personId="{685DAF9C-7E69-437C-B66A-60F972D4A0E6}" id="{988BC4F4-8DEF-43DD-BF35-CE49F5D11E77}" done="1">
    <text>R' = Rstrip + Rgnd = 1/(σ δs W) + 0.15/(σ δs W)1`</text>
  </threadedComment>
  <threadedComment ref="AB5" dT="2024-10-03T21:20:00.73" personId="{685DAF9C-7E69-437C-B66A-60F972D4A0E6}" id="{EE67783C-64FC-461A-A7F5-04FFCE187C9B}" done="1">
    <text>Zdiff=2*Zo*(1-.347*(EXP(-2.9*(S/H)))), where Zo=60/SQRT(Er)*LN(1.9*(2*H+T)/(0.8*W+T))</text>
  </threadedComment>
  <threadedComment ref="AK5" dT="2024-10-03T21:19:16.88" personId="{685DAF9C-7E69-437C-B66A-60F972D4A0E6}" id="{C178B121-E34D-425F-AAF3-53DDF083905A}" done="1">
    <text>δs = sqrt(2/(σωµ))</text>
  </threadedComment>
  <threadedComment ref="AK6" dT="2024-10-03T21:19:31.59" personId="{685DAF9C-7E69-437C-B66A-60F972D4A0E6}" id="{427F8A4C-F930-47D0-8E1B-829BB95BA249}" done="1">
    <text>R' = Rstrip + Rgnd = 1/(σ δs W) + 0.15/(σ δs W)</text>
  </threadedComment>
  <threadedComment ref="AB7" dT="2024-10-03T21:14:12.65" personId="{685DAF9C-7E69-437C-B66A-60F972D4A0E6}" id="{B669FFD0-3959-459A-89E5-61421217AA6F}" done="1">
    <text>α_Dielectric = 91.02 x sqrt(ɛr) x FGHz x DF</text>
  </threadedComment>
  <threadedComment ref="AK7" dT="2024-10-03T21:20:00.73" personId="{685DAF9C-7E69-437C-B66A-60F972D4A0E6}" id="{E526FF34-93D5-4B9E-825C-EAAD14646762}" done="1">
    <text>Zdiff=2*Zo*(1-.347*(EXP(-2.9*(S/H)))), where Zo=60/SQRT(Er)*LN(1.9*(2*H+T)/(0.8*W+T))</text>
  </threadedComment>
  <threadedComment ref="AB8" dT="2024-10-03T21:15:07.76" personId="{685DAF9C-7E69-437C-B66A-60F972D4A0E6}" id="{B95576B2-2891-4401-96A3-FCC1CD929BD9}" done="1">
    <text>α_SmoothCopper = 8.686 x R' / 2 Zo , where R' is TL resistance per unit length</text>
  </threadedComment>
  <threadedComment ref="C9" dT="2024-12-05T15:12:38.43" personId="{685DAF9C-7E69-437C-B66A-60F972D4A0E6}" id="{FDBF842D-EDFF-48AC-A418-F4AF6F69A73A}">
    <text>Frequency in GHz</text>
  </threadedComment>
  <threadedComment ref="AB9" dT="2024-10-03T21:15:26.41" personId="{685DAF9C-7E69-437C-B66A-60F972D4A0E6}" id="{F3E2F6C2-44CD-46E1-9714-D714FAE60F77}" done="1">
    <text>α_RoughCopper = α_SmoothCopper * ( 1 + (2/π)* tan-1{1.4*(Δ/δs)^2}]</text>
  </threadedComment>
  <threadedComment ref="AB10" dT="2024-10-03T21:15:37.11" personId="{685DAF9C-7E69-437C-B66A-60F972D4A0E6}" id="{B0C60C54-6C53-4DBE-9BAF-8FDA0A5B39CB}" done="1">
    <text>α_Total = α_Dielectric + α_RoughCopper</text>
  </threadedComment>
  <threadedComment ref="AK10" dT="2024-10-03T21:19:16.88" personId="{685DAF9C-7E69-437C-B66A-60F972D4A0E6}" id="{B2125346-5E6A-4E35-A83E-0102AF5E9C9E}" done="1">
    <text>δs = sqrt(2/(σωµ))</text>
  </threadedComment>
  <threadedComment ref="AK11" dT="2024-10-03T21:19:31.59" personId="{685DAF9C-7E69-437C-B66A-60F972D4A0E6}" id="{BB1B87A1-84CB-4444-852C-E128CF6B2170}" done="1">
    <text>R' = Rstrip + Rgnd = 1/(σ δs W) + 0.15/(σ δs W)</text>
  </threadedComment>
  <threadedComment ref="AK12" dT="2024-10-03T21:20:00.73" personId="{685DAF9C-7E69-437C-B66A-60F972D4A0E6}" id="{8D684938-2E27-48C1-84EF-649AC2E81CF4}" done="1">
    <text>Zdiff=2*Zo*(1-.347*(EXP(-2.9*(S/H)))), where Zo=60/SQRT(Er)*LN(1.9*(2*H+T)/(0.8*W+T))</text>
  </threadedComment>
  <threadedComment ref="AK15" dT="2024-10-03T21:19:16.88" personId="{685DAF9C-7E69-437C-B66A-60F972D4A0E6}" id="{801C1697-C3DA-4C93-BAC0-F6DA18B9513C}" done="1">
    <text>δs = sqrt(2/(σωµ))</text>
  </threadedComment>
  <threadedComment ref="AK16" dT="2024-10-03T21:19:31.59" personId="{685DAF9C-7E69-437C-B66A-60F972D4A0E6}" id="{24D157CB-B84A-4A33-93F2-678F5AE915FE}" done="1">
    <text>R' = Rstrip + Rgnd = 1/(σ δs W) + 0.15/(σ δs W)</text>
  </threadedComment>
  <threadedComment ref="AK17" dT="2024-10-03T21:20:00.73" personId="{685DAF9C-7E69-437C-B66A-60F972D4A0E6}" id="{65B6F457-357D-45A2-8C00-46A8E7D0E660}" done="1">
    <text>Zdiff=2*Zo*(1-.347*(EXP(-2.9*(S/H)))), where Zo=60/SQRT(Er)*LN(1.9*(2*H+T)/(0.8*W+T))</text>
  </threadedComment>
  <threadedComment ref="AK20" dT="2024-10-03T21:19:16.88" personId="{685DAF9C-7E69-437C-B66A-60F972D4A0E6}" id="{89D1DBE0-E5C1-4D32-840F-BE6C6C278774}" done="1">
    <text>δs = sqrt(2/(σωµ))</text>
  </threadedComment>
  <threadedComment ref="AK21" dT="2024-10-03T21:19:31.59" personId="{685DAF9C-7E69-437C-B66A-60F972D4A0E6}" id="{0C094C91-2204-4D04-8389-87C0417B27F6}" done="1">
    <text>R' = Rstrip + Rgnd = 1/(σ δs W) + 0.15/(σ δs W)</text>
  </threadedComment>
  <threadedComment ref="AK22" dT="2024-10-03T21:20:00.73" personId="{685DAF9C-7E69-437C-B66A-60F972D4A0E6}" id="{64A75A31-E797-433E-8267-8126AF6E34F6}" done="1">
    <text>Zdiff=2*Zo*(1-.347*(EXP(-2.9*(S/H)))), where Zo=60/SQRT(Er)*LN(1.9*(2*H+T)/(0.8*W+T))</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12-05T15:13:02.78" personId="{685DAF9C-7E69-437C-B66A-60F972D4A0E6}" id="{1919DD29-3742-4C67-8235-2D8098F515AA}">
    <text>Dielectric thickness between two layers. 
The total stripline thickness will be 2x Dielectric thickness + Metal thickness</text>
  </threadedComment>
  <threadedComment ref="H1" dT="2024-12-05T15:13:59.91" personId="{685DAF9C-7E69-437C-B66A-60F972D4A0E6}" id="{6FF5187A-3AC4-4756-9885-6F76F8416448}">
    <text>Conductivity of Copper</text>
  </threadedComment>
  <threadedComment ref="M1" dT="2024-12-06T10:10:08.81" personId="{685DAF9C-7E69-437C-B66A-60F972D4A0E6}" id="{C1FDA261-C5E0-4F61-BEB0-4ADB61786AD9}">
    <text>TC_DK = [ (DK|T2 - DK|T1)/DK|25C ] / (T2-T1)</text>
  </threadedComment>
  <threadedComment ref="C2" dT="2024-12-05T15:13:13.84" personId="{685DAF9C-7E69-437C-B66A-60F972D4A0E6}" id="{2FBEB921-0AFD-4C3F-8DC5-040DFD7609AE}">
    <text>Copper layer thickness</text>
  </threadedComment>
  <threadedComment ref="H2" dT="2024-12-05T15:14:39.76" personId="{685DAF9C-7E69-437C-B66A-60F972D4A0E6}" id="{44F9AFA8-0B5A-44B4-B7CE-CFA1E38474BC}">
    <text>Temperature</text>
  </threadedComment>
  <threadedComment ref="M2" dT="2024-12-06T10:10:38.31" personId="{685DAF9C-7E69-437C-B66A-60F972D4A0E6}" id="{2E484653-139C-4A18-938B-8BD2946FA65B}">
    <text>TC_DF = [ (DF|T2 - DF|T1)/DF|25C ] / (T2-T1)</text>
  </threadedComment>
  <threadedComment ref="C3" dT="2024-12-05T15:13:31.26" personId="{685DAF9C-7E69-437C-B66A-60F972D4A0E6}" id="{D79A986B-500B-4344-ADBA-4F4246400C8D}">
    <text>Stripline width</text>
  </threadedComment>
  <threadedComment ref="H3" dT="2024-09-28T06:20:07.69" personId="{685DAF9C-7E69-437C-B66A-60F972D4A0E6}" id="{F831F9B7-E184-46D0-A5E3-4BCC7559B644}">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A184D3AF-1B9A-497F-B5A8-568C8C73602E}">
    <text>Temperature coefficient of metal conductivity</text>
  </threadedComment>
  <threadedComment ref="AB3" dT="2024-10-03T21:19:16.88" personId="{685DAF9C-7E69-437C-B66A-60F972D4A0E6}" id="{45184DF8-13F7-4FD6-8ED4-799247546CB7}" done="1">
    <text>δs = sqrt(2/(σωµ))</text>
  </threadedComment>
  <threadedComment ref="C4" dT="2024-12-05T15:13:42.82" personId="{685DAF9C-7E69-437C-B66A-60F972D4A0E6}" id="{8815E4A3-6DFB-47BD-BC24-B7C40FCFD3AC}">
    <text>Stripline spacing</text>
  </threadedComment>
  <threadedComment ref="AB4" dT="2024-10-03T21:19:31.59" personId="{685DAF9C-7E69-437C-B66A-60F972D4A0E6}" id="{0CE5DB17-4225-4D99-83D4-60E4289062D6}" done="1">
    <text>R' = Rstrip + Rgnd = 1/(σ δs W) + 0.15/(σ δs W)1`</text>
  </threadedComment>
  <threadedComment ref="AB5" dT="2024-10-03T21:20:00.73" personId="{685DAF9C-7E69-437C-B66A-60F972D4A0E6}" id="{BD4DFF94-78BE-41A9-A12D-DCB1CC29F65E}" done="1">
    <text>Zdiff=2*Zo*(1-.347*(EXP(-2.9*(S/H)))), where Zo=60/SQRT(Er)*LN(1.9*(2*H+T)/(0.8*W+T))</text>
  </threadedComment>
  <threadedComment ref="AK5" dT="2024-10-03T21:19:16.88" personId="{685DAF9C-7E69-437C-B66A-60F972D4A0E6}" id="{75F644F3-7DCA-434D-B7FE-9F0CB3BD6AD1}" done="1">
    <text>δs = sqrt(2/(σωµ))</text>
  </threadedComment>
  <threadedComment ref="AK6" dT="2024-10-03T21:19:31.59" personId="{685DAF9C-7E69-437C-B66A-60F972D4A0E6}" id="{E6886A9C-DD72-4F93-ADCB-F5916C61871E}" done="1">
    <text>R' = Rstrip + Rgnd = 1/(σ δs W) + 0.15/(σ δs W)</text>
  </threadedComment>
  <threadedComment ref="AB7" dT="2024-10-03T21:14:12.65" personId="{685DAF9C-7E69-437C-B66A-60F972D4A0E6}" id="{4D53587D-2217-46AC-99B7-2A266E77CAC2}" done="1">
    <text>α_Dielectric = 91.02 x sqrt(ɛr) x FGHz x DF</text>
  </threadedComment>
  <threadedComment ref="AK7" dT="2024-10-03T21:20:00.73" personId="{685DAF9C-7E69-437C-B66A-60F972D4A0E6}" id="{BEC15BF3-7AF2-4458-A836-33F5E446C7BB}" done="1">
    <text>Zdiff=2*Zo*(1-.347*(EXP(-2.9*(S/H)))), where Zo=60/SQRT(Er)*LN(1.9*(2*H+T)/(0.8*W+T))</text>
  </threadedComment>
  <threadedComment ref="AB8" dT="2024-10-03T21:15:07.76" personId="{685DAF9C-7E69-437C-B66A-60F972D4A0E6}" id="{D5643BAA-B279-4BCB-9BFE-113007801BBF}" done="1">
    <text>α_SmoothCopper = 8.686 x R' / 2 Zo , where R' is TL resistance per unit length</text>
  </threadedComment>
  <threadedComment ref="C9" dT="2024-12-05T15:12:38.43" personId="{685DAF9C-7E69-437C-B66A-60F972D4A0E6}" id="{11700102-2FDB-4ABC-A4B5-EC7626FDE0CE}">
    <text>Frequency in GHz</text>
  </threadedComment>
  <threadedComment ref="AB9" dT="2024-10-03T21:15:26.41" personId="{685DAF9C-7E69-437C-B66A-60F972D4A0E6}" id="{4F220167-8B1A-4D7F-8A4C-80DCA7A8F6BC}" done="1">
    <text>α_RoughCopper = α_SmoothCopper * ( 1 + (2/π)* tan-1{1.4*(Δ/δs)^2}]</text>
  </threadedComment>
  <threadedComment ref="AB10" dT="2024-10-03T21:15:37.11" personId="{685DAF9C-7E69-437C-B66A-60F972D4A0E6}" id="{44B73589-7399-4153-A2F8-210FC8A643DF}" done="1">
    <text>α_Total = α_Dielectric + α_RoughCopper</text>
  </threadedComment>
  <threadedComment ref="AK10" dT="2024-10-03T21:19:16.88" personId="{685DAF9C-7E69-437C-B66A-60F972D4A0E6}" id="{FD6F4DCC-C4C1-47E7-88F4-7E0CB3B0C9B3}" done="1">
    <text>δs = sqrt(2/(σωµ))</text>
  </threadedComment>
  <threadedComment ref="AK11" dT="2024-10-03T21:19:31.59" personId="{685DAF9C-7E69-437C-B66A-60F972D4A0E6}" id="{829AEACE-494A-4FCA-9D28-D39BA1C03E2B}" done="1">
    <text>R' = Rstrip + Rgnd = 1/(σ δs W) + 0.15/(σ δs W)</text>
  </threadedComment>
  <threadedComment ref="AK12" dT="2024-10-03T21:20:00.73" personId="{685DAF9C-7E69-437C-B66A-60F972D4A0E6}" id="{8B9BCF93-54C5-4D7E-9562-D62927B7D49B}" done="1">
    <text>Zdiff=2*Zo*(1-.347*(EXP(-2.9*(S/H)))), where Zo=60/SQRT(Er)*LN(1.9*(2*H+T)/(0.8*W+T))</text>
  </threadedComment>
  <threadedComment ref="AK15" dT="2024-10-03T21:19:16.88" personId="{685DAF9C-7E69-437C-B66A-60F972D4A0E6}" id="{1D6FBB37-4139-4EC4-9662-F5EAB1C4FA77}" done="1">
    <text>δs = sqrt(2/(σωµ))</text>
  </threadedComment>
  <threadedComment ref="AK16" dT="2024-10-03T21:19:31.59" personId="{685DAF9C-7E69-437C-B66A-60F972D4A0E6}" id="{E7A095A6-FF36-41DD-96F9-0F0FA4492358}" done="1">
    <text>R' = Rstrip + Rgnd = 1/(σ δs W) + 0.15/(σ δs W)</text>
  </threadedComment>
  <threadedComment ref="AK17" dT="2024-10-03T21:20:00.73" personId="{685DAF9C-7E69-437C-B66A-60F972D4A0E6}" id="{B434089F-822B-4350-BDA4-0BDCE1469638}" done="1">
    <text>Zdiff=2*Zo*(1-.347*(EXP(-2.9*(S/H)))), where Zo=60/SQRT(Er)*LN(1.9*(2*H+T)/(0.8*W+T))</text>
  </threadedComment>
  <threadedComment ref="AK20" dT="2024-10-03T21:19:16.88" personId="{685DAF9C-7E69-437C-B66A-60F972D4A0E6}" id="{D83D6968-7195-4308-BA22-4E8DFFF4686A}" done="1">
    <text>δs = sqrt(2/(σωµ))</text>
  </threadedComment>
  <threadedComment ref="AK21" dT="2024-10-03T21:19:31.59" personId="{685DAF9C-7E69-437C-B66A-60F972D4A0E6}" id="{8823DDCC-198D-4F03-A68B-34E2B870B40A}" done="1">
    <text>R' = Rstrip + Rgnd = 1/(σ δs W) + 0.15/(σ δs W)</text>
  </threadedComment>
  <threadedComment ref="AK22" dT="2024-10-03T21:20:00.73" personId="{685DAF9C-7E69-437C-B66A-60F972D4A0E6}" id="{9380860B-28B4-4A2A-B528-1050BE01D473}" done="1">
    <text>Zdiff=2*Zo*(1-.347*(EXP(-2.9*(S/H)))), where Zo=60/SQRT(Er)*LN(1.9*(2*H+T)/(0.8*W+T))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dimension ref="A1:L33"/>
  <sheetViews>
    <sheetView tabSelected="1" zoomScaleNormal="100" workbookViewId="0">
      <selection activeCell="A31" sqref="A31"/>
    </sheetView>
  </sheetViews>
  <sheetFormatPr defaultRowHeight="14.4" x14ac:dyDescent="0.55000000000000004"/>
  <cols>
    <col min="1" max="1" width="15.578125" style="13" customWidth="1"/>
    <col min="2" max="2" width="10.41796875" style="13" customWidth="1"/>
    <col min="3" max="11" width="8.83984375" style="13"/>
    <col min="12" max="12" width="17.83984375" style="13" bestFit="1" customWidth="1"/>
    <col min="13" max="16384" width="8.83984375" style="13"/>
  </cols>
  <sheetData>
    <row r="1" spans="1:12" x14ac:dyDescent="0.55000000000000004">
      <c r="A1" s="128" t="s">
        <v>33</v>
      </c>
      <c r="B1" s="129"/>
      <c r="C1" s="129"/>
      <c r="D1" s="129"/>
      <c r="E1" s="129"/>
      <c r="F1" s="129"/>
      <c r="G1" s="129"/>
      <c r="H1" s="129"/>
      <c r="I1" s="129"/>
      <c r="J1" s="129"/>
      <c r="K1" s="129"/>
      <c r="L1" s="130"/>
    </row>
    <row r="2" spans="1:12" x14ac:dyDescent="0.55000000000000004">
      <c r="A2" s="131"/>
      <c r="B2" s="132"/>
      <c r="C2" s="132"/>
      <c r="D2" s="132"/>
      <c r="E2" s="132"/>
      <c r="F2" s="132"/>
      <c r="G2" s="132"/>
      <c r="H2" s="132"/>
      <c r="I2" s="132"/>
      <c r="J2" s="132"/>
      <c r="K2" s="132"/>
      <c r="L2" s="133"/>
    </row>
    <row r="3" spans="1:12" x14ac:dyDescent="0.55000000000000004">
      <c r="A3" s="131"/>
      <c r="B3" s="132"/>
      <c r="C3" s="132"/>
      <c r="D3" s="132"/>
      <c r="E3" s="132"/>
      <c r="F3" s="132"/>
      <c r="G3" s="132"/>
      <c r="H3" s="132"/>
      <c r="I3" s="132"/>
      <c r="J3" s="132"/>
      <c r="K3" s="132"/>
      <c r="L3" s="133"/>
    </row>
    <row r="4" spans="1:12" x14ac:dyDescent="0.55000000000000004">
      <c r="A4" s="134"/>
      <c r="B4" s="135"/>
      <c r="C4" s="135"/>
      <c r="D4" s="135"/>
      <c r="E4" s="135"/>
      <c r="F4" s="135"/>
      <c r="G4" s="135"/>
      <c r="H4" s="135"/>
      <c r="I4" s="135"/>
      <c r="J4" s="135"/>
      <c r="K4" s="135"/>
      <c r="L4" s="136"/>
    </row>
    <row r="5" spans="1:12" ht="17.7" x14ac:dyDescent="0.6">
      <c r="A5" s="137" t="s">
        <v>50</v>
      </c>
      <c r="B5" s="137"/>
      <c r="C5" s="137"/>
      <c r="D5" s="137"/>
      <c r="E5" s="137"/>
      <c r="F5" s="137"/>
      <c r="G5" s="137"/>
      <c r="H5" s="137"/>
      <c r="I5" s="137"/>
      <c r="J5" s="137"/>
      <c r="K5" s="137"/>
      <c r="L5" s="138"/>
    </row>
    <row r="6" spans="1:12" ht="17.7" x14ac:dyDescent="0.6">
      <c r="A6" s="137" t="s">
        <v>34</v>
      </c>
      <c r="B6" s="137"/>
      <c r="C6" s="14" t="str">
        <f>A30</f>
        <v>1.0.2</v>
      </c>
      <c r="D6" s="15"/>
      <c r="E6" s="15"/>
      <c r="F6" s="15"/>
      <c r="G6" s="15"/>
      <c r="H6" s="15"/>
      <c r="I6" s="15"/>
      <c r="J6" s="15"/>
      <c r="K6" s="16"/>
      <c r="L6" s="17"/>
    </row>
    <row r="7" spans="1:12" ht="17.7" x14ac:dyDescent="0.6">
      <c r="A7" s="137" t="s">
        <v>35</v>
      </c>
      <c r="B7" s="137"/>
      <c r="C7" s="14" t="s">
        <v>36</v>
      </c>
      <c r="D7" s="15"/>
      <c r="E7" s="15"/>
      <c r="F7" s="15"/>
      <c r="G7" s="15"/>
      <c r="H7" s="15"/>
      <c r="I7" s="15"/>
      <c r="J7" s="18"/>
      <c r="K7" s="18"/>
      <c r="L7" s="17"/>
    </row>
    <row r="8" spans="1:12" x14ac:dyDescent="0.55000000000000004">
      <c r="A8" s="19"/>
      <c r="B8" s="20"/>
      <c r="C8" s="20"/>
      <c r="D8" s="20"/>
      <c r="E8" s="20"/>
      <c r="F8" s="20"/>
      <c r="G8" s="20"/>
      <c r="H8" s="20"/>
      <c r="I8" s="20"/>
      <c r="J8" s="20"/>
      <c r="K8" s="20"/>
      <c r="L8" s="21"/>
    </row>
    <row r="9" spans="1:12" ht="20.399999999999999" x14ac:dyDescent="0.75">
      <c r="A9" s="125" t="s">
        <v>37</v>
      </c>
      <c r="B9" s="126"/>
      <c r="C9" s="126"/>
      <c r="D9" s="126"/>
      <c r="E9" s="126"/>
      <c r="F9" s="126"/>
      <c r="G9" s="126"/>
      <c r="H9" s="126"/>
      <c r="I9" s="126"/>
      <c r="J9" s="126"/>
      <c r="K9" s="126"/>
      <c r="L9" s="127"/>
    </row>
    <row r="10" spans="1:12" x14ac:dyDescent="0.55000000000000004">
      <c r="A10" s="19" t="s">
        <v>38</v>
      </c>
      <c r="B10" s="20"/>
      <c r="C10" s="20"/>
      <c r="D10" s="20"/>
      <c r="E10" s="20"/>
      <c r="F10" s="20"/>
      <c r="G10" s="20"/>
      <c r="H10" s="20"/>
      <c r="I10" s="20"/>
      <c r="J10" s="20"/>
      <c r="K10" s="20"/>
      <c r="L10" s="21"/>
    </row>
    <row r="11" spans="1:12" x14ac:dyDescent="0.55000000000000004">
      <c r="A11" s="19"/>
      <c r="B11" s="20"/>
      <c r="C11" s="20"/>
      <c r="D11" s="20"/>
      <c r="E11" s="20"/>
      <c r="F11" s="20"/>
      <c r="G11" s="20"/>
      <c r="H11" s="20"/>
      <c r="I11" s="20"/>
      <c r="J11" s="20"/>
      <c r="K11" s="20"/>
      <c r="L11" s="21"/>
    </row>
    <row r="12" spans="1:12" x14ac:dyDescent="0.55000000000000004">
      <c r="A12" s="140" t="s">
        <v>39</v>
      </c>
      <c r="B12" s="141"/>
      <c r="C12" s="141"/>
      <c r="D12" s="141"/>
      <c r="E12" s="141"/>
      <c r="F12" s="141"/>
      <c r="G12" s="141"/>
      <c r="H12" s="141"/>
      <c r="I12" s="141"/>
      <c r="J12" s="141"/>
      <c r="K12" s="141"/>
      <c r="L12" s="142"/>
    </row>
    <row r="13" spans="1:12" x14ac:dyDescent="0.55000000000000004">
      <c r="A13" s="140"/>
      <c r="B13" s="141"/>
      <c r="C13" s="141"/>
      <c r="D13" s="141"/>
      <c r="E13" s="141"/>
      <c r="F13" s="141"/>
      <c r="G13" s="141"/>
      <c r="H13" s="141"/>
      <c r="I13" s="141"/>
      <c r="J13" s="141"/>
      <c r="K13" s="141"/>
      <c r="L13" s="142"/>
    </row>
    <row r="14" spans="1:12" x14ac:dyDescent="0.55000000000000004">
      <c r="A14" s="140"/>
      <c r="B14" s="141"/>
      <c r="C14" s="141"/>
      <c r="D14" s="141"/>
      <c r="E14" s="141"/>
      <c r="F14" s="141"/>
      <c r="G14" s="141"/>
      <c r="H14" s="141"/>
      <c r="I14" s="141"/>
      <c r="J14" s="141"/>
      <c r="K14" s="141"/>
      <c r="L14" s="142"/>
    </row>
    <row r="15" spans="1:12" x14ac:dyDescent="0.55000000000000004">
      <c r="A15" s="140"/>
      <c r="B15" s="141"/>
      <c r="C15" s="141"/>
      <c r="D15" s="141"/>
      <c r="E15" s="141"/>
      <c r="F15" s="141"/>
      <c r="G15" s="141"/>
      <c r="H15" s="141"/>
      <c r="I15" s="141"/>
      <c r="J15" s="141"/>
      <c r="K15" s="141"/>
      <c r="L15" s="142"/>
    </row>
    <row r="16" spans="1:12" x14ac:dyDescent="0.55000000000000004">
      <c r="A16" s="140"/>
      <c r="B16" s="141"/>
      <c r="C16" s="141"/>
      <c r="D16" s="141"/>
      <c r="E16" s="141"/>
      <c r="F16" s="141"/>
      <c r="G16" s="141"/>
      <c r="H16" s="141"/>
      <c r="I16" s="141"/>
      <c r="J16" s="141"/>
      <c r="K16" s="141"/>
      <c r="L16" s="142"/>
    </row>
    <row r="17" spans="1:12" x14ac:dyDescent="0.55000000000000004">
      <c r="A17" s="140"/>
      <c r="B17" s="141"/>
      <c r="C17" s="141"/>
      <c r="D17" s="141"/>
      <c r="E17" s="141"/>
      <c r="F17" s="141"/>
      <c r="G17" s="141"/>
      <c r="H17" s="141"/>
      <c r="I17" s="141"/>
      <c r="J17" s="141"/>
      <c r="K17" s="141"/>
      <c r="L17" s="142"/>
    </row>
    <row r="18" spans="1:12" ht="20.399999999999999" x14ac:dyDescent="0.75">
      <c r="A18" s="125" t="s">
        <v>40</v>
      </c>
      <c r="B18" s="126"/>
      <c r="C18" s="126"/>
      <c r="D18" s="126"/>
      <c r="E18" s="126"/>
      <c r="F18" s="126"/>
      <c r="G18" s="126"/>
      <c r="H18" s="126"/>
      <c r="I18" s="126"/>
      <c r="J18" s="126"/>
      <c r="K18" s="126"/>
      <c r="L18" s="127"/>
    </row>
    <row r="19" spans="1:12" x14ac:dyDescent="0.55000000000000004">
      <c r="A19" s="143" t="s">
        <v>41</v>
      </c>
      <c r="B19" s="144"/>
      <c r="C19" s="144"/>
      <c r="D19" s="144"/>
      <c r="E19" s="144"/>
      <c r="F19" s="144"/>
      <c r="G19" s="144"/>
      <c r="H19" s="144"/>
      <c r="I19" s="144"/>
      <c r="J19" s="144"/>
      <c r="K19" s="144"/>
      <c r="L19" s="145"/>
    </row>
    <row r="20" spans="1:12" x14ac:dyDescent="0.55000000000000004">
      <c r="A20" s="143" t="s">
        <v>42</v>
      </c>
      <c r="B20" s="146"/>
      <c r="C20" s="146"/>
      <c r="D20" s="146"/>
      <c r="E20" s="146"/>
      <c r="F20" s="146"/>
      <c r="G20" s="146"/>
      <c r="H20" s="146"/>
      <c r="I20" s="146"/>
      <c r="J20" s="146"/>
      <c r="K20" s="146"/>
      <c r="L20" s="145"/>
    </row>
    <row r="21" spans="1:12" x14ac:dyDescent="0.55000000000000004">
      <c r="A21" s="19"/>
      <c r="B21" s="20"/>
      <c r="C21" s="20"/>
      <c r="D21" s="20"/>
      <c r="E21" s="20"/>
      <c r="F21" s="20"/>
      <c r="G21" s="20"/>
      <c r="H21" s="20"/>
      <c r="I21" s="20"/>
      <c r="J21" s="20"/>
      <c r="K21" s="20"/>
      <c r="L21" s="21"/>
    </row>
    <row r="22" spans="1:12" ht="20.399999999999999" x14ac:dyDescent="0.75">
      <c r="A22" s="125" t="s">
        <v>43</v>
      </c>
      <c r="B22" s="126"/>
      <c r="C22" s="126"/>
      <c r="D22" s="126"/>
      <c r="E22" s="126"/>
      <c r="F22" s="126"/>
      <c r="G22" s="126"/>
      <c r="H22" s="126"/>
      <c r="I22" s="126"/>
      <c r="J22" s="126"/>
      <c r="K22" s="126"/>
      <c r="L22" s="127"/>
    </row>
    <row r="23" spans="1:12" ht="14.4" customHeight="1" x14ac:dyDescent="0.55000000000000004">
      <c r="A23" s="140" t="s">
        <v>44</v>
      </c>
      <c r="B23" s="141"/>
      <c r="C23" s="141"/>
      <c r="D23" s="141"/>
      <c r="E23" s="141"/>
      <c r="F23" s="141"/>
      <c r="G23" s="141"/>
      <c r="H23" s="141"/>
      <c r="I23" s="141"/>
      <c r="J23" s="141"/>
      <c r="K23" s="141"/>
      <c r="L23" s="142"/>
    </row>
    <row r="24" spans="1:12" x14ac:dyDescent="0.55000000000000004">
      <c r="A24" s="140"/>
      <c r="B24" s="141"/>
      <c r="C24" s="141"/>
      <c r="D24" s="141"/>
      <c r="E24" s="141"/>
      <c r="F24" s="141"/>
      <c r="G24" s="141"/>
      <c r="H24" s="141"/>
      <c r="I24" s="141"/>
      <c r="J24" s="141"/>
      <c r="K24" s="141"/>
      <c r="L24" s="142"/>
    </row>
    <row r="25" spans="1:12" x14ac:dyDescent="0.55000000000000004">
      <c r="A25" s="140"/>
      <c r="B25" s="141"/>
      <c r="C25" s="141"/>
      <c r="D25" s="141"/>
      <c r="E25" s="141"/>
      <c r="F25" s="141"/>
      <c r="G25" s="141"/>
      <c r="H25" s="141"/>
      <c r="I25" s="141"/>
      <c r="J25" s="141"/>
      <c r="K25" s="141"/>
      <c r="L25" s="142"/>
    </row>
    <row r="26" spans="1:12" x14ac:dyDescent="0.55000000000000004">
      <c r="A26" s="140"/>
      <c r="B26" s="141"/>
      <c r="C26" s="141"/>
      <c r="D26" s="141"/>
      <c r="E26" s="141"/>
      <c r="F26" s="141"/>
      <c r="G26" s="141"/>
      <c r="H26" s="141"/>
      <c r="I26" s="141"/>
      <c r="J26" s="141"/>
      <c r="K26" s="141"/>
      <c r="L26" s="142"/>
    </row>
    <row r="27" spans="1:12" x14ac:dyDescent="0.55000000000000004">
      <c r="A27" s="22"/>
      <c r="B27" s="23"/>
      <c r="C27" s="24"/>
      <c r="D27" s="24"/>
      <c r="E27" s="24"/>
      <c r="F27" s="24"/>
      <c r="G27" s="24"/>
      <c r="H27" s="24"/>
      <c r="I27" s="24"/>
      <c r="J27" s="24"/>
      <c r="K27" s="24"/>
      <c r="L27" s="25"/>
    </row>
    <row r="28" spans="1:12" x14ac:dyDescent="0.55000000000000004">
      <c r="A28" s="26" t="s">
        <v>45</v>
      </c>
      <c r="B28" s="27"/>
      <c r="C28" s="24"/>
      <c r="D28" s="24"/>
      <c r="E28" s="24"/>
      <c r="F28" s="24"/>
      <c r="G28" s="24"/>
      <c r="H28" s="24"/>
      <c r="I28" s="24"/>
      <c r="J28" s="24"/>
      <c r="K28" s="24"/>
      <c r="L28" s="28"/>
    </row>
    <row r="29" spans="1:12" x14ac:dyDescent="0.55000000000000004">
      <c r="A29" s="29" t="s">
        <v>46</v>
      </c>
      <c r="B29" s="139" t="s">
        <v>47</v>
      </c>
      <c r="C29" s="139"/>
      <c r="D29" s="139"/>
      <c r="E29" s="139"/>
      <c r="F29" s="139"/>
      <c r="G29" s="139"/>
      <c r="H29" s="139"/>
      <c r="I29" s="139"/>
      <c r="J29" s="139"/>
      <c r="K29" s="139"/>
      <c r="L29" s="30"/>
    </row>
    <row r="30" spans="1:12" x14ac:dyDescent="0.55000000000000004">
      <c r="A30" s="26" t="s">
        <v>69</v>
      </c>
      <c r="B30" s="49" t="s">
        <v>70</v>
      </c>
      <c r="C30" s="49"/>
      <c r="D30" s="49"/>
      <c r="E30" s="49"/>
      <c r="F30" s="49"/>
      <c r="G30" s="49"/>
      <c r="H30" s="49"/>
      <c r="I30" s="49"/>
      <c r="J30" s="49"/>
      <c r="K30" s="49"/>
      <c r="L30" s="28"/>
    </row>
    <row r="31" spans="1:12" ht="14.4" customHeight="1" x14ac:dyDescent="0.55000000000000004">
      <c r="A31" s="26" t="s">
        <v>67</v>
      </c>
      <c r="B31" s="49" t="s">
        <v>68</v>
      </c>
      <c r="C31" s="49"/>
      <c r="D31" s="23"/>
      <c r="E31" s="23"/>
      <c r="F31" s="23"/>
      <c r="G31" s="23"/>
      <c r="H31" s="23"/>
      <c r="I31" s="23"/>
      <c r="J31" s="23"/>
      <c r="K31" s="23"/>
      <c r="L31" s="28"/>
    </row>
    <row r="32" spans="1:12" x14ac:dyDescent="0.55000000000000004">
      <c r="A32" s="26" t="s">
        <v>48</v>
      </c>
      <c r="B32" s="49" t="s">
        <v>49</v>
      </c>
      <c r="C32" s="49"/>
      <c r="D32" s="24"/>
      <c r="E32" s="24"/>
      <c r="F32" s="24"/>
      <c r="G32" s="24"/>
      <c r="H32" s="24"/>
      <c r="I32" s="24"/>
      <c r="J32" s="24"/>
      <c r="K32" s="24"/>
      <c r="L32" s="28"/>
    </row>
    <row r="33" spans="1:12" ht="14.7" thickBot="1" x14ac:dyDescent="0.6">
      <c r="A33" s="31"/>
      <c r="B33" s="32"/>
      <c r="C33" s="33"/>
      <c r="D33" s="33"/>
      <c r="E33" s="33"/>
      <c r="F33" s="33"/>
      <c r="G33" s="33"/>
      <c r="H33" s="33"/>
      <c r="I33" s="33"/>
      <c r="J33" s="33"/>
      <c r="K33" s="33"/>
      <c r="L33" s="34"/>
    </row>
  </sheetData>
  <mergeCells count="13">
    <mergeCell ref="B29:K29"/>
    <mergeCell ref="A12:L17"/>
    <mergeCell ref="A18:L18"/>
    <mergeCell ref="A19:L19"/>
    <mergeCell ref="A20:L20"/>
    <mergeCell ref="A22:L22"/>
    <mergeCell ref="A23:L26"/>
    <mergeCell ref="A9:L9"/>
    <mergeCell ref="A1:L3"/>
    <mergeCell ref="A4:L4"/>
    <mergeCell ref="A5:L5"/>
    <mergeCell ref="A6:B6"/>
    <mergeCell ref="A7:B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dimension ref="A1:AF34"/>
  <sheetViews>
    <sheetView zoomScale="130" zoomScaleNormal="130" workbookViewId="0">
      <selection activeCell="C38" sqref="C38"/>
    </sheetView>
  </sheetViews>
  <sheetFormatPr defaultRowHeight="14.4" x14ac:dyDescent="0.55000000000000004"/>
  <cols>
    <col min="1" max="6" width="9.62890625" style="13" customWidth="1"/>
    <col min="7" max="7" width="7" style="13" customWidth="1"/>
    <col min="8" max="15" width="9.62890625" style="13" customWidth="1"/>
    <col min="16" max="16" width="3.7890625" style="13" customWidth="1"/>
    <col min="17" max="21" width="9.62890625" style="13" customWidth="1"/>
    <col min="22" max="22" width="3.68359375" style="13" customWidth="1"/>
    <col min="23" max="32" width="9.62890625" style="13" customWidth="1"/>
    <col min="33" max="16384" width="8.83984375" style="13"/>
  </cols>
  <sheetData>
    <row r="1" spans="1:32" x14ac:dyDescent="0.55000000000000004">
      <c r="A1" s="128" t="s">
        <v>33</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30"/>
    </row>
    <row r="2" spans="1:32" x14ac:dyDescent="0.55000000000000004">
      <c r="A2" s="131"/>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3"/>
    </row>
    <row r="3" spans="1:32" x14ac:dyDescent="0.55000000000000004">
      <c r="A3" s="131"/>
      <c r="B3" s="132"/>
      <c r="C3" s="132"/>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3"/>
    </row>
    <row r="4" spans="1:32" x14ac:dyDescent="0.55000000000000004">
      <c r="A4" s="134"/>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6"/>
    </row>
    <row r="5" spans="1:32" ht="17.7" x14ac:dyDescent="0.6">
      <c r="A5" s="150" t="s">
        <v>53</v>
      </c>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8"/>
    </row>
    <row r="6" spans="1:32" ht="17.7" x14ac:dyDescent="0.6">
      <c r="A6" s="150"/>
      <c r="B6" s="137"/>
      <c r="C6" s="14"/>
      <c r="D6" s="15"/>
      <c r="E6" s="15"/>
      <c r="F6" s="15"/>
      <c r="G6" s="15"/>
      <c r="H6" s="15"/>
      <c r="I6" s="15"/>
      <c r="J6" s="15"/>
      <c r="K6" s="16"/>
      <c r="L6" s="16"/>
      <c r="M6" s="16"/>
      <c r="N6" s="16"/>
      <c r="O6" s="16"/>
      <c r="P6" s="16"/>
      <c r="Q6" s="16"/>
      <c r="R6" s="16"/>
      <c r="S6" s="16"/>
      <c r="T6" s="16"/>
      <c r="U6" s="16"/>
      <c r="V6" s="16"/>
      <c r="W6" s="16"/>
      <c r="X6" s="16"/>
      <c r="Y6" s="16"/>
      <c r="Z6" s="16"/>
      <c r="AA6" s="16"/>
      <c r="AB6" s="16"/>
      <c r="AC6" s="16"/>
      <c r="AD6" s="16"/>
      <c r="AE6" s="16"/>
      <c r="AF6" s="17"/>
    </row>
    <row r="7" spans="1:32" x14ac:dyDescent="0.55000000000000004">
      <c r="A7" s="35" t="s">
        <v>54</v>
      </c>
      <c r="B7" s="151" t="s">
        <v>55</v>
      </c>
      <c r="C7" s="151"/>
      <c r="D7" s="151"/>
      <c r="E7" s="151"/>
      <c r="F7" s="151"/>
      <c r="G7" s="151"/>
      <c r="H7" s="36"/>
      <c r="I7" s="37"/>
      <c r="J7" s="37"/>
      <c r="K7" s="37"/>
      <c r="L7" s="37"/>
      <c r="M7" s="37"/>
      <c r="N7" s="37"/>
      <c r="O7" s="37"/>
      <c r="P7" s="37"/>
      <c r="Q7" s="37"/>
      <c r="R7" s="37"/>
      <c r="S7" s="37"/>
      <c r="T7" s="37"/>
      <c r="U7" s="37"/>
      <c r="V7" s="37"/>
      <c r="W7" s="37"/>
      <c r="X7" s="37"/>
      <c r="Y7" s="37"/>
      <c r="Z7" s="37"/>
      <c r="AA7" s="37"/>
      <c r="AB7" s="37"/>
      <c r="AC7" s="37"/>
      <c r="AD7" s="37"/>
      <c r="AE7" s="37"/>
      <c r="AF7" s="17"/>
    </row>
    <row r="8" spans="1:32" ht="17.7" x14ac:dyDescent="0.6">
      <c r="A8" s="38"/>
      <c r="B8" s="39"/>
      <c r="C8" s="14"/>
      <c r="D8" s="15"/>
      <c r="E8" s="15"/>
      <c r="F8" s="15"/>
      <c r="G8" s="40"/>
      <c r="H8" s="15"/>
      <c r="I8" s="15"/>
      <c r="J8" s="15"/>
      <c r="K8" s="16"/>
      <c r="L8" s="16"/>
      <c r="M8" s="16"/>
      <c r="N8" s="16"/>
      <c r="O8" s="16"/>
      <c r="P8" s="16"/>
      <c r="Q8" s="16"/>
      <c r="R8" s="16"/>
      <c r="S8" s="16"/>
      <c r="T8" s="16"/>
      <c r="U8" s="16"/>
      <c r="V8" s="16"/>
      <c r="W8" s="16"/>
      <c r="X8" s="16"/>
      <c r="Y8" s="16"/>
      <c r="Z8" s="16"/>
      <c r="AA8" s="16"/>
      <c r="AB8" s="16"/>
      <c r="AC8" s="16"/>
      <c r="AD8" s="16"/>
      <c r="AE8" s="16"/>
      <c r="AF8" s="17"/>
    </row>
    <row r="9" spans="1:32" ht="14.4" customHeight="1" x14ac:dyDescent="0.55000000000000004">
      <c r="A9" s="148" t="s">
        <v>59</v>
      </c>
      <c r="B9" s="149"/>
      <c r="C9" s="149"/>
      <c r="D9" s="149"/>
      <c r="E9" s="149"/>
      <c r="F9" s="149"/>
      <c r="G9" s="149"/>
      <c r="H9" s="149"/>
      <c r="I9" s="91"/>
      <c r="J9" s="91"/>
      <c r="K9" s="91"/>
      <c r="L9" s="91"/>
      <c r="M9" s="90"/>
      <c r="N9" s="90"/>
      <c r="O9" s="90"/>
      <c r="Q9" s="97"/>
      <c r="R9" s="97"/>
      <c r="S9" s="97"/>
      <c r="T9" s="97"/>
      <c r="U9" s="97"/>
      <c r="V9" s="97"/>
      <c r="W9" s="97"/>
      <c r="X9" s="97"/>
      <c r="Y9" s="97"/>
      <c r="Z9" s="97"/>
      <c r="AA9" s="97"/>
      <c r="AB9" s="97"/>
      <c r="AC9" s="97"/>
      <c r="AD9" s="97"/>
      <c r="AE9" s="97"/>
      <c r="AF9" s="98"/>
    </row>
    <row r="10" spans="1:32" ht="14.4" customHeight="1" x14ac:dyDescent="0.55000000000000004">
      <c r="A10" s="152" t="s">
        <v>56</v>
      </c>
      <c r="B10" s="153"/>
      <c r="C10" s="153"/>
      <c r="D10" s="153" t="s">
        <v>57</v>
      </c>
      <c r="E10" s="153"/>
      <c r="F10" s="153"/>
      <c r="G10" s="153" t="s">
        <v>58</v>
      </c>
      <c r="H10" s="153"/>
      <c r="I10" s="153"/>
      <c r="J10" s="153"/>
      <c r="K10" s="91"/>
      <c r="L10" s="91"/>
      <c r="M10" s="90"/>
      <c r="N10" s="90"/>
      <c r="O10" s="90"/>
      <c r="P10" s="97"/>
      <c r="Q10" s="97"/>
      <c r="R10" s="97"/>
      <c r="S10" s="97"/>
      <c r="T10" s="97"/>
      <c r="U10" s="97"/>
      <c r="V10" s="97"/>
      <c r="W10" s="97"/>
      <c r="X10" s="97"/>
      <c r="Y10" s="97"/>
      <c r="Z10" s="97"/>
      <c r="AA10" s="97"/>
      <c r="AB10" s="97"/>
      <c r="AC10" s="97"/>
      <c r="AD10" s="97"/>
      <c r="AE10" s="97"/>
      <c r="AF10" s="98"/>
    </row>
    <row r="11" spans="1:32" ht="20.399999999999999" customHeight="1" x14ac:dyDescent="0.55000000000000004">
      <c r="A11" s="89"/>
      <c r="B11" s="90"/>
      <c r="C11" s="90"/>
      <c r="D11" s="90"/>
      <c r="I11" s="41"/>
      <c r="J11" s="41"/>
      <c r="K11" s="41"/>
      <c r="L11" s="41"/>
      <c r="M11" s="90"/>
      <c r="N11" s="90"/>
      <c r="O11" s="90"/>
      <c r="P11" s="97"/>
      <c r="Q11" s="97"/>
      <c r="R11" s="97"/>
      <c r="S11" s="97"/>
      <c r="T11" s="97"/>
      <c r="U11" s="97"/>
      <c r="V11" s="97"/>
      <c r="W11" s="97"/>
      <c r="X11" s="97"/>
      <c r="Y11" s="97"/>
      <c r="Z11" s="97"/>
      <c r="AA11" s="97"/>
      <c r="AB11" s="97"/>
      <c r="AC11" s="97"/>
      <c r="AD11" s="97"/>
      <c r="AE11" s="97"/>
      <c r="AF11" s="98"/>
    </row>
    <row r="12" spans="1:32" x14ac:dyDescent="0.55000000000000004">
      <c r="A12" s="42"/>
      <c r="B12" s="41"/>
      <c r="C12" s="41"/>
      <c r="D12" s="41"/>
      <c r="I12" s="41"/>
      <c r="J12" s="41"/>
      <c r="K12" s="41"/>
      <c r="L12" s="41"/>
      <c r="M12" s="90"/>
      <c r="N12" s="90"/>
      <c r="O12" s="90"/>
      <c r="P12" s="97"/>
      <c r="Q12" s="97"/>
      <c r="R12" s="97"/>
      <c r="S12" s="97"/>
      <c r="T12" s="97"/>
      <c r="U12" s="97"/>
      <c r="V12" s="97"/>
      <c r="W12" s="97"/>
      <c r="X12" s="97"/>
      <c r="Y12" s="97"/>
      <c r="Z12" s="97"/>
      <c r="AA12" s="97"/>
      <c r="AB12" s="97"/>
      <c r="AC12" s="97"/>
      <c r="AD12" s="97"/>
      <c r="AE12" s="97"/>
      <c r="AF12" s="95"/>
    </row>
    <row r="13" spans="1:32" x14ac:dyDescent="0.55000000000000004">
      <c r="A13" s="19"/>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1"/>
    </row>
    <row r="14" spans="1:32" x14ac:dyDescent="0.55000000000000004">
      <c r="A14" s="43"/>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5"/>
    </row>
    <row r="15" spans="1:32" x14ac:dyDescent="0.55000000000000004">
      <c r="A15" s="43"/>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5"/>
    </row>
    <row r="16" spans="1:32" ht="14.4" customHeight="1" x14ac:dyDescent="0.55000000000000004">
      <c r="A16" s="148" t="s">
        <v>60</v>
      </c>
      <c r="B16" s="149"/>
      <c r="C16" s="149"/>
      <c r="D16" s="149"/>
      <c r="E16" s="149"/>
      <c r="F16" s="149"/>
      <c r="G16" s="93"/>
      <c r="H16" s="149" t="s">
        <v>66</v>
      </c>
      <c r="I16" s="149"/>
      <c r="J16" s="149"/>
      <c r="K16" s="149"/>
      <c r="L16" s="149"/>
      <c r="M16" s="149"/>
      <c r="N16" s="149"/>
      <c r="O16" s="149"/>
      <c r="P16" s="92"/>
      <c r="Q16" s="147" t="s">
        <v>61</v>
      </c>
      <c r="R16" s="147"/>
      <c r="S16" s="147"/>
      <c r="T16" s="147"/>
      <c r="U16" s="147"/>
      <c r="V16" s="96"/>
      <c r="W16" s="147" t="s">
        <v>62</v>
      </c>
      <c r="X16" s="147"/>
      <c r="Y16" s="147"/>
      <c r="Z16" s="147"/>
      <c r="AA16" s="147"/>
      <c r="AB16" s="147"/>
      <c r="AC16" s="147"/>
      <c r="AD16" s="147"/>
      <c r="AE16" s="147"/>
      <c r="AF16" s="98"/>
    </row>
    <row r="17" spans="1:32" x14ac:dyDescent="0.55000000000000004">
      <c r="A17" s="148"/>
      <c r="B17" s="149"/>
      <c r="C17" s="149"/>
      <c r="D17" s="149"/>
      <c r="E17" s="149"/>
      <c r="F17" s="149"/>
      <c r="G17" s="93"/>
      <c r="H17" s="149"/>
      <c r="I17" s="149"/>
      <c r="J17" s="149"/>
      <c r="K17" s="149"/>
      <c r="L17" s="149"/>
      <c r="M17" s="149"/>
      <c r="N17" s="149"/>
      <c r="O17" s="149"/>
      <c r="P17" s="92"/>
      <c r="Q17" s="147"/>
      <c r="R17" s="147"/>
      <c r="S17" s="147"/>
      <c r="T17" s="147"/>
      <c r="U17" s="147"/>
      <c r="V17" s="96"/>
      <c r="W17" s="147"/>
      <c r="X17" s="147"/>
      <c r="Y17" s="147"/>
      <c r="Z17" s="147"/>
      <c r="AA17" s="147"/>
      <c r="AB17" s="147"/>
      <c r="AC17" s="147"/>
      <c r="AD17" s="147"/>
      <c r="AE17" s="147"/>
      <c r="AF17" s="98"/>
    </row>
    <row r="18" spans="1:32" x14ac:dyDescent="0.55000000000000004">
      <c r="A18" s="148"/>
      <c r="B18" s="149"/>
      <c r="C18" s="149"/>
      <c r="D18" s="149"/>
      <c r="E18" s="149"/>
      <c r="F18" s="149"/>
      <c r="G18" s="93"/>
      <c r="H18" s="149"/>
      <c r="I18" s="149"/>
      <c r="J18" s="149"/>
      <c r="K18" s="149"/>
      <c r="L18" s="149"/>
      <c r="M18" s="149"/>
      <c r="N18" s="149"/>
      <c r="O18" s="149"/>
      <c r="P18" s="92"/>
      <c r="Q18" s="147"/>
      <c r="R18" s="147"/>
      <c r="S18" s="147"/>
      <c r="T18" s="147"/>
      <c r="U18" s="147"/>
      <c r="V18" s="96"/>
      <c r="W18" s="147"/>
      <c r="X18" s="147"/>
      <c r="Y18" s="147"/>
      <c r="Z18" s="147"/>
      <c r="AA18" s="147"/>
      <c r="AB18" s="147"/>
      <c r="AC18" s="147"/>
      <c r="AD18" s="147"/>
      <c r="AE18" s="147"/>
      <c r="AF18" s="98"/>
    </row>
    <row r="19" spans="1:32" x14ac:dyDescent="0.55000000000000004">
      <c r="A19" s="148"/>
      <c r="B19" s="149"/>
      <c r="C19" s="149"/>
      <c r="D19" s="149"/>
      <c r="E19" s="149"/>
      <c r="F19" s="149"/>
      <c r="G19" s="44"/>
      <c r="H19" s="149"/>
      <c r="I19" s="149"/>
      <c r="J19" s="149"/>
      <c r="K19" s="149"/>
      <c r="L19" s="149"/>
      <c r="M19" s="149"/>
      <c r="N19" s="149"/>
      <c r="O19" s="149"/>
      <c r="P19" s="44"/>
      <c r="Q19" s="44"/>
      <c r="R19" s="44"/>
      <c r="S19" s="44"/>
      <c r="T19" s="44"/>
      <c r="U19" s="44"/>
      <c r="V19" s="44"/>
      <c r="W19" s="44"/>
      <c r="X19" s="44"/>
      <c r="Y19" s="44"/>
      <c r="Z19" s="44"/>
      <c r="AA19" s="44"/>
      <c r="AB19" s="44"/>
      <c r="AC19" s="44"/>
      <c r="AD19" s="44"/>
      <c r="AE19" s="44"/>
      <c r="AF19" s="45"/>
    </row>
    <row r="20" spans="1:32" ht="20.399999999999999" x14ac:dyDescent="0.75">
      <c r="A20" s="148"/>
      <c r="B20" s="149"/>
      <c r="C20" s="149"/>
      <c r="D20" s="149"/>
      <c r="E20" s="149"/>
      <c r="F20" s="149"/>
      <c r="G20" s="47"/>
      <c r="H20" s="149"/>
      <c r="I20" s="149"/>
      <c r="J20" s="149"/>
      <c r="K20" s="149"/>
      <c r="L20" s="149"/>
      <c r="M20" s="149"/>
      <c r="N20" s="149"/>
      <c r="O20" s="149"/>
      <c r="P20" s="47"/>
      <c r="Q20" s="47"/>
      <c r="R20" s="47"/>
      <c r="S20" s="47"/>
      <c r="T20" s="47"/>
      <c r="U20" s="47"/>
      <c r="V20" s="47"/>
      <c r="W20" s="47"/>
      <c r="X20" s="47"/>
      <c r="Y20" s="47"/>
      <c r="Z20" s="47"/>
      <c r="AA20" s="47"/>
      <c r="AB20" s="47"/>
      <c r="AC20" s="47"/>
      <c r="AD20" s="47"/>
      <c r="AE20" s="47"/>
      <c r="AF20" s="48"/>
    </row>
    <row r="21" spans="1:32" x14ac:dyDescent="0.55000000000000004">
      <c r="A21" s="19"/>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1"/>
    </row>
    <row r="22" spans="1:32" x14ac:dyDescent="0.55000000000000004">
      <c r="A22" s="19"/>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1"/>
    </row>
    <row r="23" spans="1:32" x14ac:dyDescent="0.55000000000000004">
      <c r="A23" s="19"/>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1"/>
    </row>
    <row r="24" spans="1:32" ht="20.399999999999999" x14ac:dyDescent="0.75">
      <c r="A24" s="46"/>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8"/>
    </row>
    <row r="25" spans="1:32" ht="14.4" customHeight="1" x14ac:dyDescent="0.55000000000000004">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45"/>
    </row>
    <row r="26" spans="1:32" x14ac:dyDescent="0.55000000000000004">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45"/>
    </row>
    <row r="27" spans="1:32" x14ac:dyDescent="0.5500000000000000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5"/>
    </row>
    <row r="28" spans="1:32" x14ac:dyDescent="0.55000000000000004">
      <c r="A28" s="89"/>
      <c r="B28" s="90"/>
      <c r="C28" s="90"/>
      <c r="D28" s="90"/>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5"/>
    </row>
    <row r="29" spans="1:32" x14ac:dyDescent="0.55000000000000004">
      <c r="A29" s="89"/>
      <c r="B29" s="90"/>
      <c r="C29" s="90"/>
      <c r="D29" s="90"/>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5"/>
    </row>
    <row r="30" spans="1:32" x14ac:dyDescent="0.55000000000000004">
      <c r="A30" s="42"/>
      <c r="B30" s="41"/>
      <c r="C30" s="41"/>
      <c r="D30" s="41"/>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5"/>
    </row>
    <row r="31" spans="1:32" x14ac:dyDescent="0.55000000000000004">
      <c r="A31" s="42"/>
      <c r="B31" s="41"/>
      <c r="C31" s="41"/>
      <c r="D31" s="41"/>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5"/>
    </row>
    <row r="32" spans="1:32" x14ac:dyDescent="0.55000000000000004">
      <c r="A32" s="42"/>
      <c r="B32" s="41"/>
      <c r="C32" s="41"/>
      <c r="D32" s="41"/>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5"/>
    </row>
    <row r="33" spans="1:32" x14ac:dyDescent="0.55000000000000004">
      <c r="A33" s="42"/>
      <c r="B33" s="41"/>
      <c r="C33" s="41"/>
      <c r="D33" s="41"/>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5"/>
    </row>
    <row r="34" spans="1:32" ht="14.7" thickBot="1" x14ac:dyDescent="0.6">
      <c r="A34" s="31"/>
      <c r="B34" s="32"/>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4"/>
    </row>
  </sheetData>
  <mergeCells count="13">
    <mergeCell ref="W16:AE18"/>
    <mergeCell ref="Q16:U18"/>
    <mergeCell ref="A16:F20"/>
    <mergeCell ref="H16:O20"/>
    <mergeCell ref="A1:AF3"/>
    <mergeCell ref="A4:AF4"/>
    <mergeCell ref="A5:AF5"/>
    <mergeCell ref="A6:B6"/>
    <mergeCell ref="B7:G7"/>
    <mergeCell ref="A9:H9"/>
    <mergeCell ref="A10:C10"/>
    <mergeCell ref="D10:F10"/>
    <mergeCell ref="G10:J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E262E-C7E4-4C4C-891A-93EDF576B051}">
  <sheetPr>
    <tabColor theme="0" tint="-4.9989318521683403E-2"/>
  </sheetPr>
  <dimension ref="A1:AS55"/>
  <sheetViews>
    <sheetView zoomScaleNormal="100" workbookViewId="0">
      <selection activeCell="H54" sqref="H54"/>
    </sheetView>
  </sheetViews>
  <sheetFormatPr defaultRowHeight="14.4" x14ac:dyDescent="0.55000000000000004"/>
  <cols>
    <col min="1" max="1" width="12.3671875" style="5" bestFit="1" customWidth="1"/>
    <col min="2" max="2" width="7.83984375" style="5" customWidth="1"/>
    <col min="3" max="4" width="7.05078125" style="5" bestFit="1" customWidth="1"/>
    <col min="5" max="7" width="7.05078125" style="5" customWidth="1"/>
    <col min="8" max="8" width="7.89453125" style="5" customWidth="1"/>
    <col min="9" max="9" width="1.9453125" style="5" customWidth="1"/>
    <col min="10" max="10" width="12.3671875" style="5" bestFit="1" customWidth="1"/>
    <col min="11" max="11" width="6.5234375" style="5" customWidth="1"/>
    <col min="12" max="12" width="7.20703125" style="5" bestFit="1" customWidth="1"/>
    <col min="13" max="13" width="8.734375" style="5" bestFit="1" customWidth="1"/>
    <col min="14" max="15" width="7.20703125" style="5" bestFit="1" customWidth="1"/>
    <col min="16" max="16" width="7" style="5" customWidth="1"/>
    <col min="17" max="17" width="7.15625" style="5" customWidth="1"/>
    <col min="18" max="18" width="2.5234375" style="5" customWidth="1"/>
    <col min="19" max="19" width="13.20703125" style="5" bestFit="1" customWidth="1"/>
    <col min="20" max="20" width="7.05078125" style="5" bestFit="1" customWidth="1"/>
    <col min="21" max="26" width="7.15625" style="5" customWidth="1"/>
    <col min="27" max="27" width="2.47265625" style="5" customWidth="1"/>
    <col min="28" max="28" width="18.20703125" style="5" bestFit="1" customWidth="1"/>
    <col min="29" max="29" width="3.47265625" style="5" customWidth="1"/>
    <col min="30" max="35" width="6.7890625" style="5" customWidth="1"/>
    <col min="36" max="36" width="2.41796875" style="5" customWidth="1"/>
    <col min="37" max="37" width="7.05078125" style="5" bestFit="1" customWidth="1"/>
    <col min="38" max="38" width="4.20703125" style="5" customWidth="1"/>
    <col min="39" max="44" width="7.1015625" style="5" customWidth="1"/>
    <col min="45" max="45" width="4.62890625" style="5" customWidth="1"/>
    <col min="46" max="16384" width="8.83984375" style="5"/>
  </cols>
  <sheetData>
    <row r="1" spans="1:44" ht="14.4" customHeight="1" x14ac:dyDescent="0.55000000000000004">
      <c r="A1" s="154" t="s">
        <v>51</v>
      </c>
      <c r="B1" s="154"/>
      <c r="C1" s="1">
        <v>120</v>
      </c>
      <c r="D1" s="51"/>
      <c r="E1" s="158" t="s">
        <v>29</v>
      </c>
      <c r="F1" s="158"/>
      <c r="G1" s="158"/>
      <c r="H1" s="2">
        <v>59600000</v>
      </c>
      <c r="J1" s="155" t="s">
        <v>27</v>
      </c>
      <c r="K1" s="155"/>
      <c r="L1" s="155"/>
      <c r="M1" s="4">
        <f>((3.733-3.8613)/3.74758)/(60-(-40))</f>
        <v>-3.4235426595296127E-4</v>
      </c>
      <c r="O1" s="3"/>
      <c r="P1" s="5" t="s">
        <v>0</v>
      </c>
      <c r="AB1" s="159" t="str">
        <f>_xlfn.CONCAT("Stripline Parameters (dB/m)")</f>
        <v>Stripline Parameters (dB/m)</v>
      </c>
      <c r="AC1" s="160"/>
      <c r="AD1" s="160"/>
      <c r="AE1" s="160"/>
      <c r="AF1" s="160"/>
      <c r="AG1" s="160"/>
      <c r="AH1" s="160"/>
      <c r="AI1" s="161"/>
      <c r="AK1" s="159" t="str">
        <f>_xlfn.CONCAT("Stripline Parameters and Loss Decomposition vs Temperature")</f>
        <v>Stripline Parameters and Loss Decomposition vs Temperature</v>
      </c>
      <c r="AL1" s="160"/>
      <c r="AM1" s="160"/>
      <c r="AN1" s="160"/>
      <c r="AO1" s="160"/>
      <c r="AP1" s="160"/>
      <c r="AQ1" s="160"/>
      <c r="AR1" s="161"/>
    </row>
    <row r="2" spans="1:44" ht="14.4" customHeight="1" x14ac:dyDescent="0.55000000000000004">
      <c r="A2" s="154" t="s">
        <v>52</v>
      </c>
      <c r="B2" s="154"/>
      <c r="C2" s="1">
        <v>17</v>
      </c>
      <c r="E2" s="154" t="s">
        <v>31</v>
      </c>
      <c r="F2" s="154"/>
      <c r="G2" s="154"/>
      <c r="H2" s="119">
        <v>25</v>
      </c>
      <c r="J2" s="155" t="s">
        <v>28</v>
      </c>
      <c r="K2" s="155"/>
      <c r="L2" s="155"/>
      <c r="M2" s="117">
        <f>((0.02559-0.011038)/0.020222)/(60-(-40))</f>
        <v>7.1961230343190593E-3</v>
      </c>
      <c r="O2" s="12"/>
      <c r="P2" s="5" t="s">
        <v>1</v>
      </c>
      <c r="AB2" s="156" t="s">
        <v>2</v>
      </c>
      <c r="AC2" s="157"/>
      <c r="AD2" s="85">
        <f t="shared" ref="AD2:AI2" si="0">L24</f>
        <v>1</v>
      </c>
      <c r="AE2" s="85">
        <f t="shared" si="0"/>
        <v>3</v>
      </c>
      <c r="AF2" s="85">
        <f t="shared" si="0"/>
        <v>5</v>
      </c>
      <c r="AG2" s="85">
        <f t="shared" si="0"/>
        <v>10</v>
      </c>
      <c r="AH2" s="85">
        <f t="shared" si="0"/>
        <v>15</v>
      </c>
      <c r="AI2" s="86">
        <f t="shared" si="0"/>
        <v>20</v>
      </c>
      <c r="AK2" s="156" t="s">
        <v>2</v>
      </c>
      <c r="AL2" s="157"/>
      <c r="AM2" s="85">
        <f t="shared" ref="AM2:AR2" si="1">L24</f>
        <v>1</v>
      </c>
      <c r="AN2" s="85">
        <f t="shared" si="1"/>
        <v>3</v>
      </c>
      <c r="AO2" s="85">
        <f t="shared" si="1"/>
        <v>5</v>
      </c>
      <c r="AP2" s="85">
        <f t="shared" si="1"/>
        <v>10</v>
      </c>
      <c r="AQ2" s="85">
        <f t="shared" si="1"/>
        <v>15</v>
      </c>
      <c r="AR2" s="86">
        <f t="shared" si="1"/>
        <v>20</v>
      </c>
    </row>
    <row r="3" spans="1:44" ht="14.4" customHeight="1" x14ac:dyDescent="0.55000000000000004">
      <c r="A3" s="155" t="s">
        <v>3</v>
      </c>
      <c r="B3" s="155"/>
      <c r="C3" s="1">
        <v>100</v>
      </c>
      <c r="D3" s="51"/>
      <c r="E3" s="158" t="s">
        <v>32</v>
      </c>
      <c r="F3" s="158"/>
      <c r="G3" s="158"/>
      <c r="H3" s="1">
        <f>4*1.1/7.6</f>
        <v>0.57894736842105265</v>
      </c>
      <c r="L3" s="50" t="s">
        <v>30</v>
      </c>
      <c r="M3" s="118">
        <v>4.0400000000000002E-3</v>
      </c>
      <c r="AB3" s="57" t="s">
        <v>4</v>
      </c>
      <c r="AC3" s="162">
        <f>H2</f>
        <v>25</v>
      </c>
      <c r="AD3" s="53">
        <f t="shared" ref="AD3:AI3" si="2">IF(AD$2=0,$C$2,SQRT(1/(($H$1/(1+$M$3*($AC$3-$H$2)))*PI()*(AD$2*1000000000)*0.999991*0.0000004*PI()))*1000000)</f>
        <v>2.0615741316329186</v>
      </c>
      <c r="AE3" s="53">
        <f t="shared" si="2"/>
        <v>1.1902503798526345</v>
      </c>
      <c r="AF3" s="53">
        <f t="shared" si="2"/>
        <v>0.92196397979726119</v>
      </c>
      <c r="AG3" s="53">
        <f t="shared" si="2"/>
        <v>0.65192698212438038</v>
      </c>
      <c r="AH3" s="53">
        <f t="shared" si="2"/>
        <v>0.53229615191908741</v>
      </c>
      <c r="AI3" s="58">
        <f t="shared" si="2"/>
        <v>0.4609819898986306</v>
      </c>
      <c r="AK3" s="57" t="s">
        <v>5</v>
      </c>
      <c r="AL3" s="162">
        <f>AC27</f>
        <v>-40</v>
      </c>
      <c r="AM3" s="53">
        <f t="shared" ref="AM3:AR3" si="3">($M$1*($AL$3-$H$2)+1)*AVERAGE(C$46,L$46)</f>
        <v>3.8408450002633345</v>
      </c>
      <c r="AN3" s="53">
        <f t="shared" si="3"/>
        <v>3.8298989770405441</v>
      </c>
      <c r="AO3" s="53">
        <f t="shared" si="3"/>
        <v>3.7970401887170397</v>
      </c>
      <c r="AP3" s="53">
        <f t="shared" si="3"/>
        <v>3.7786381613284696</v>
      </c>
      <c r="AQ3" s="53">
        <f t="shared" si="3"/>
        <v>3.7459413354714504</v>
      </c>
      <c r="AR3" s="58">
        <f t="shared" si="3"/>
        <v>3.7132146106270532</v>
      </c>
    </row>
    <row r="4" spans="1:44" x14ac:dyDescent="0.55000000000000004">
      <c r="A4" s="158" t="s">
        <v>6</v>
      </c>
      <c r="B4" s="158"/>
      <c r="C4" s="1">
        <v>120</v>
      </c>
      <c r="D4" s="51"/>
      <c r="M4" s="50"/>
      <c r="AB4" s="57" t="s">
        <v>26</v>
      </c>
      <c r="AC4" s="162"/>
      <c r="AD4" s="53">
        <f t="shared" ref="AD4:AI4" si="4">0.76*(1/(($H$1/(1+$M$3*($AC$3-$H$2)))*AD3*$C$3*0.000000000001))</f>
        <v>61.854083521356216</v>
      </c>
      <c r="AE4" s="53">
        <f t="shared" si="4"/>
        <v>107.13441531459782</v>
      </c>
      <c r="AF4" s="53">
        <f t="shared" si="4"/>
        <v>138.30993543970203</v>
      </c>
      <c r="AG4" s="53">
        <f t="shared" si="4"/>
        <v>195.59978650977382</v>
      </c>
      <c r="AH4" s="53">
        <f t="shared" si="4"/>
        <v>239.55983537313517</v>
      </c>
      <c r="AI4" s="58">
        <f t="shared" si="4"/>
        <v>276.61987087940406</v>
      </c>
      <c r="AK4" s="57" t="s">
        <v>7</v>
      </c>
      <c r="AL4" s="162"/>
      <c r="AM4" s="54">
        <f>($M$2*($AL$3-$H$2)+1)*U$46</f>
        <v>2.8741608149540103E-3</v>
      </c>
      <c r="AN4" s="54">
        <f t="shared" ref="AN4:AR4" si="5">($M$2*($AL$3-$H$2)+1)*V$46</f>
        <v>2.9806112155078626E-3</v>
      </c>
      <c r="AO4" s="54">
        <f t="shared" si="5"/>
        <v>3.2467372168924935E-3</v>
      </c>
      <c r="AP4" s="54">
        <f t="shared" si="5"/>
        <v>3.6612145385368916E-3</v>
      </c>
      <c r="AQ4" s="54">
        <f t="shared" si="5"/>
        <v>3.9805657401984487E-3</v>
      </c>
      <c r="AR4" s="59">
        <f t="shared" si="5"/>
        <v>4.3112412224310158E-3</v>
      </c>
    </row>
    <row r="5" spans="1:44" ht="14.4" customHeight="1" thickBot="1" x14ac:dyDescent="0.6">
      <c r="AB5" s="64" t="s">
        <v>25</v>
      </c>
      <c r="AC5" s="163"/>
      <c r="AD5" s="67">
        <f t="shared" ref="AD5:AI5" si="6">2*(60/SQRT(AVERAGE(C$46,L$46))*LN(1.9*(2*$C$1+$C$2)/(0.8*$C$3+$C$2)))*(1-0.347*(EXP(-2.9*($C$4/(2*$C$1+$C$2)))))</f>
        <v>91.092889235532454</v>
      </c>
      <c r="AE5" s="67">
        <f t="shared" si="6"/>
        <v>91.222970141142369</v>
      </c>
      <c r="AF5" s="67">
        <f t="shared" si="6"/>
        <v>91.616832089329961</v>
      </c>
      <c r="AG5" s="67">
        <f t="shared" si="6"/>
        <v>91.839648846509192</v>
      </c>
      <c r="AH5" s="67">
        <f t="shared" si="6"/>
        <v>92.239593810581511</v>
      </c>
      <c r="AI5" s="68">
        <f t="shared" si="6"/>
        <v>92.645182752079492</v>
      </c>
      <c r="AK5" s="57" t="s">
        <v>8</v>
      </c>
      <c r="AL5" s="162"/>
      <c r="AM5" s="53">
        <f t="shared" ref="AM5:AR5" si="7">IF(AM$2=0,$C$2,SQRT(1/(($H$1/(1+$M$3*($AC$27-$H$2)))*PI()*(AM$2*1000000000)*0.999991*0.0000004*PI()))*1000000)</f>
        <v>1.7703148922213725</v>
      </c>
      <c r="AN5" s="53">
        <f t="shared" si="7"/>
        <v>1.0220917795744127</v>
      </c>
      <c r="AO5" s="53">
        <f t="shared" si="7"/>
        <v>0.79170888811744067</v>
      </c>
      <c r="AP5" s="53">
        <f t="shared" si="7"/>
        <v>0.55982272351350393</v>
      </c>
      <c r="AQ5" s="53">
        <f t="shared" si="7"/>
        <v>0.45709333967442356</v>
      </c>
      <c r="AR5" s="58">
        <f t="shared" si="7"/>
        <v>0.39585444405872033</v>
      </c>
    </row>
    <row r="6" spans="1:44" ht="14.4" customHeight="1" x14ac:dyDescent="0.55000000000000004">
      <c r="A6" s="165" t="s">
        <v>9</v>
      </c>
      <c r="B6" s="165"/>
      <c r="C6" s="165"/>
      <c r="D6" s="165"/>
      <c r="E6" s="165"/>
      <c r="F6" s="165"/>
      <c r="G6" s="165"/>
      <c r="H6" s="165"/>
      <c r="AB6" s="159" t="str">
        <f>_xlfn.CONCAT("Stripline Loss Decomposition at Temp = ",H2,"°C (dB/m)")</f>
        <v>Stripline Loss Decomposition at Temp = 25°C (dB/m)</v>
      </c>
      <c r="AC6" s="160"/>
      <c r="AD6" s="160"/>
      <c r="AE6" s="160"/>
      <c r="AF6" s="160"/>
      <c r="AG6" s="160"/>
      <c r="AH6" s="160"/>
      <c r="AI6" s="161"/>
      <c r="AK6" s="57" t="s">
        <v>20</v>
      </c>
      <c r="AL6" s="162"/>
      <c r="AM6" s="53">
        <f t="shared" ref="AM6:AR6" si="8">0.76*(1/(($H$1/(1+$M$3*($AC$27-$H$2)))*AM5*$C$3*0.000000000001))</f>
        <v>53.11533721847222</v>
      </c>
      <c r="AN6" s="53">
        <f t="shared" si="8"/>
        <v>91.99846272354803</v>
      </c>
      <c r="AO6" s="53">
        <f t="shared" si="8"/>
        <v>118.76950466832845</v>
      </c>
      <c r="AP6" s="53">
        <f t="shared" si="8"/>
        <v>167.96544429828472</v>
      </c>
      <c r="AQ6" s="53">
        <f t="shared" si="8"/>
        <v>205.71481647533386</v>
      </c>
      <c r="AR6" s="58">
        <f t="shared" si="8"/>
        <v>237.5390093366569</v>
      </c>
    </row>
    <row r="7" spans="1:44" ht="14.7" thickBot="1" x14ac:dyDescent="0.6">
      <c r="A7" s="166"/>
      <c r="B7" s="166"/>
      <c r="C7" s="166"/>
      <c r="D7" s="166"/>
      <c r="E7" s="166"/>
      <c r="F7" s="166"/>
      <c r="G7" s="166"/>
      <c r="H7" s="166"/>
      <c r="I7" s="10"/>
      <c r="AB7" s="57" t="s">
        <v>23</v>
      </c>
      <c r="AC7" s="162">
        <f>H2</f>
        <v>25</v>
      </c>
      <c r="AD7" s="69">
        <f>20*LOG(EXP(1))*(2*PI()/(2*0.299795637693216))*SQRT(AVERAGE(C46,L46))*(AD2)*U46</f>
        <v>0.95272336963681148</v>
      </c>
      <c r="AE7" s="69">
        <f>20*LOG(EXP(1))*(2*PI()/(2*0.299795637693216))*SQRT(AVERAGE(D46,M46))*(AE2)*V46</f>
        <v>2.9598016558868414</v>
      </c>
      <c r="AF7" s="69">
        <f t="shared" ref="AF7:AI7" si="9">20*LOG(EXP(1))*(2*PI()/(2*0.299795637693216))*SQRT(AVERAGE(E46,N46))*(AF2)*W46</f>
        <v>5.3503489060531626</v>
      </c>
      <c r="AG7" s="69">
        <f t="shared" si="9"/>
        <v>12.037469367047326</v>
      </c>
      <c r="AH7" s="69">
        <f t="shared" si="9"/>
        <v>19.546045672950971</v>
      </c>
      <c r="AI7" s="70">
        <f t="shared" si="9"/>
        <v>28.102807443751743</v>
      </c>
      <c r="AK7" s="60" t="s">
        <v>10</v>
      </c>
      <c r="AL7" s="164"/>
      <c r="AM7" s="55">
        <f>2*(60/SQRT(AM$3)*LN(1.9*(2*$C$1+$C$2)/(0.8*$C$3+$C$2)))*(1-0.347*(EXP(-2.9*($C$4/(2*$C$1+$C$2)))))</f>
        <v>90.09595111261531</v>
      </c>
      <c r="AN7" s="55">
        <f t="shared" ref="AN7:AR7" si="10">2*(60/SQRT(AN$3)*LN(1.9*(2*$C$1+$C$2)/(0.8*$C$3+$C$2)))*(1-0.347*(EXP(-2.9*($C$4/(2*$C$1+$C$2)))))</f>
        <v>90.224608387742606</v>
      </c>
      <c r="AO7" s="55">
        <f t="shared" si="10"/>
        <v>90.614159834917331</v>
      </c>
      <c r="AP7" s="55">
        <f t="shared" si="10"/>
        <v>90.834538042594843</v>
      </c>
      <c r="AQ7" s="55">
        <f t="shared" si="10"/>
        <v>91.230105931956942</v>
      </c>
      <c r="AR7" s="61">
        <f t="shared" si="10"/>
        <v>91.631256029968824</v>
      </c>
    </row>
    <row r="8" spans="1:44" x14ac:dyDescent="0.55000000000000004">
      <c r="A8" s="159" t="s">
        <v>11</v>
      </c>
      <c r="B8" s="160"/>
      <c r="C8" s="160"/>
      <c r="D8" s="160"/>
      <c r="E8" s="160"/>
      <c r="F8" s="160"/>
      <c r="G8" s="160"/>
      <c r="H8" s="161"/>
      <c r="AB8" s="57" t="s">
        <v>24</v>
      </c>
      <c r="AC8" s="162"/>
      <c r="AD8" s="69">
        <f t="shared" ref="AD8:AI8" si="11">20*LOG(EXP(1))*AD4/(AD5)</f>
        <v>5.897910886776331</v>
      </c>
      <c r="AE8" s="69">
        <f t="shared" si="11"/>
        <v>10.20091437958488</v>
      </c>
      <c r="AF8" s="69">
        <f t="shared" si="11"/>
        <v>13.11270874227341</v>
      </c>
      <c r="AG8" s="69">
        <f t="shared" si="11"/>
        <v>18.49917960479609</v>
      </c>
      <c r="AH8" s="69">
        <f t="shared" si="11"/>
        <v>22.558537020849037</v>
      </c>
      <c r="AI8" s="70">
        <f t="shared" si="11"/>
        <v>25.934318426290481</v>
      </c>
      <c r="AK8" s="62" t="s">
        <v>5</v>
      </c>
      <c r="AL8" s="167">
        <f>AC28</f>
        <v>0</v>
      </c>
      <c r="AM8" s="56">
        <f t="shared" ref="AM8:AR8" si="12">($M$1*($AL$8-$H$2)+1)*AVERAGE(C$46,L$46)</f>
        <v>3.7893927810727845</v>
      </c>
      <c r="AN8" s="56">
        <f t="shared" si="12"/>
        <v>3.7785933915168268</v>
      </c>
      <c r="AO8" s="56">
        <f t="shared" si="12"/>
        <v>3.7461747817423245</v>
      </c>
      <c r="AP8" s="56">
        <f t="shared" si="12"/>
        <v>3.7280192691562735</v>
      </c>
      <c r="AQ8" s="56">
        <f t="shared" si="12"/>
        <v>3.6957604521881096</v>
      </c>
      <c r="AR8" s="63">
        <f t="shared" si="12"/>
        <v>3.6634721367614231</v>
      </c>
    </row>
    <row r="9" spans="1:44" x14ac:dyDescent="0.55000000000000004">
      <c r="A9" s="73" t="s">
        <v>12</v>
      </c>
      <c r="B9" s="74" t="s">
        <v>13</v>
      </c>
      <c r="C9" s="87">
        <v>1</v>
      </c>
      <c r="D9" s="87">
        <v>3</v>
      </c>
      <c r="E9" s="87">
        <v>5</v>
      </c>
      <c r="F9" s="87">
        <v>10</v>
      </c>
      <c r="G9" s="87">
        <v>15</v>
      </c>
      <c r="H9" s="88">
        <v>20</v>
      </c>
      <c r="AB9" s="57" t="s">
        <v>21</v>
      </c>
      <c r="AC9" s="162"/>
      <c r="AD9" s="69">
        <f t="shared" ref="AD9:AI9" si="13">AD8*(1+(2/PI())*ATAN(1.4*($H$3/AD$3)^2))</f>
        <v>6.310797819974681</v>
      </c>
      <c r="AE9" s="69">
        <f t="shared" si="13"/>
        <v>12.278094261979815</v>
      </c>
      <c r="AF9" s="69">
        <f t="shared" si="13"/>
        <v>17.323474406402674</v>
      </c>
      <c r="AG9" s="69">
        <f t="shared" si="13"/>
        <v>28.330955441424532</v>
      </c>
      <c r="AH9" s="69">
        <f t="shared" si="13"/>
        <v>37.315828676264196</v>
      </c>
      <c r="AI9" s="70">
        <f t="shared" si="13"/>
        <v>44.847998177475624</v>
      </c>
      <c r="AK9" s="57" t="s">
        <v>7</v>
      </c>
      <c r="AL9" s="162"/>
      <c r="AM9" s="54">
        <f>($M$2*($AL$8-$H$2)+1)*U$46</f>
        <v>4.4285233903669265E-3</v>
      </c>
      <c r="AN9" s="54">
        <f t="shared" ref="AN9:AR9" si="14">($M$2*($AL$8-$H$2)+1)*V$46</f>
        <v>4.5925427751953313E-3</v>
      </c>
      <c r="AO9" s="54">
        <f t="shared" si="14"/>
        <v>5.0025912372663435E-3</v>
      </c>
      <c r="AP9" s="54">
        <f t="shared" si="14"/>
        <v>5.6412202604333109E-3</v>
      </c>
      <c r="AQ9" s="54">
        <f t="shared" si="14"/>
        <v>6.1332784149185247E-3</v>
      </c>
      <c r="AR9" s="59">
        <f t="shared" si="14"/>
        <v>6.6427850855503897E-3</v>
      </c>
    </row>
    <row r="10" spans="1:44" ht="14.7" thickBot="1" x14ac:dyDescent="0.6">
      <c r="A10" s="103">
        <v>122</v>
      </c>
      <c r="B10" s="101">
        <v>0.53</v>
      </c>
      <c r="C10" s="120">
        <v>4.05</v>
      </c>
      <c r="D10" s="120">
        <v>4.04</v>
      </c>
      <c r="E10" s="120">
        <v>4.01</v>
      </c>
      <c r="F10" s="120">
        <v>3.96</v>
      </c>
      <c r="G10" s="120">
        <v>3.93</v>
      </c>
      <c r="H10" s="121">
        <v>3.9</v>
      </c>
      <c r="AB10" s="64" t="s">
        <v>22</v>
      </c>
      <c r="AC10" s="163"/>
      <c r="AD10" s="67">
        <f t="shared" ref="AD10:AI10" si="15">AD9+AD7</f>
        <v>7.2635211896114926</v>
      </c>
      <c r="AE10" s="67">
        <f t="shared" si="15"/>
        <v>15.237895917866656</v>
      </c>
      <c r="AF10" s="67">
        <f t="shared" si="15"/>
        <v>22.673823312455838</v>
      </c>
      <c r="AG10" s="67">
        <f t="shared" si="15"/>
        <v>40.368424808471858</v>
      </c>
      <c r="AH10" s="67">
        <f t="shared" si="15"/>
        <v>56.861874349215171</v>
      </c>
      <c r="AI10" s="68">
        <f t="shared" si="15"/>
        <v>72.950805621227374</v>
      </c>
      <c r="AK10" s="57" t="s">
        <v>8</v>
      </c>
      <c r="AL10" s="162"/>
      <c r="AM10" s="53">
        <f t="shared" ref="AM10:AR10" si="16">IF(AM$2=0,$C$2,SQRT(1/(($H$1/(1+$M$3*($AC$28-$H$2)))*PI()*(AM$2*1000000000)*0.999991*0.0000004*PI()))*1000000)</f>
        <v>1.9546940994170934</v>
      </c>
      <c r="AN10" s="53">
        <f t="shared" si="16"/>
        <v>1.128543164481832</v>
      </c>
      <c r="AO10" s="53">
        <f t="shared" si="16"/>
        <v>0.87416577630287073</v>
      </c>
      <c r="AP10" s="53">
        <f t="shared" si="16"/>
        <v>0.61812854830496244</v>
      </c>
      <c r="AQ10" s="53">
        <f t="shared" si="16"/>
        <v>0.50469984626482056</v>
      </c>
      <c r="AR10" s="58">
        <f t="shared" si="16"/>
        <v>0.43708288815143537</v>
      </c>
    </row>
    <row r="11" spans="1:44" x14ac:dyDescent="0.55000000000000004">
      <c r="A11" s="103">
        <v>127</v>
      </c>
      <c r="B11" s="101">
        <v>0.55000000000000004</v>
      </c>
      <c r="C11" s="120">
        <v>3.98</v>
      </c>
      <c r="D11" s="120">
        <v>3.97</v>
      </c>
      <c r="E11" s="120">
        <v>3.94</v>
      </c>
      <c r="F11" s="120">
        <v>3.9</v>
      </c>
      <c r="G11" s="120">
        <v>3.87</v>
      </c>
      <c r="H11" s="121">
        <v>3.84</v>
      </c>
      <c r="AK11" s="57" t="s">
        <v>20</v>
      </c>
      <c r="AL11" s="162"/>
      <c r="AM11" s="53">
        <f t="shared" ref="AM11:AR11" si="17">0.76*(1/(($H$1/(1+$M$3*($AC$28-$H$2)))*AM10*$C$3*0.000000000001))</f>
        <v>58.647326927933825</v>
      </c>
      <c r="AN11" s="53">
        <f t="shared" si="17"/>
        <v>101.58014996728375</v>
      </c>
      <c r="AO11" s="53">
        <f t="shared" si="17"/>
        <v>131.13940970951393</v>
      </c>
      <c r="AP11" s="53">
        <f t="shared" si="17"/>
        <v>185.45913177279652</v>
      </c>
      <c r="AQ11" s="53">
        <f t="shared" si="17"/>
        <v>227.14012049146945</v>
      </c>
      <c r="AR11" s="58">
        <f t="shared" si="17"/>
        <v>262.27881941902785</v>
      </c>
    </row>
    <row r="12" spans="1:44" ht="14.7" thickBot="1" x14ac:dyDescent="0.6">
      <c r="A12" s="104">
        <v>140</v>
      </c>
      <c r="B12" s="102">
        <v>0.57999999999999996</v>
      </c>
      <c r="C12" s="122">
        <v>3.89</v>
      </c>
      <c r="D12" s="122">
        <v>3.88</v>
      </c>
      <c r="E12" s="122">
        <v>3.85</v>
      </c>
      <c r="F12" s="122">
        <v>3.81</v>
      </c>
      <c r="G12" s="122">
        <v>3.78</v>
      </c>
      <c r="H12" s="123">
        <v>3.75</v>
      </c>
      <c r="AK12" s="60" t="s">
        <v>10</v>
      </c>
      <c r="AL12" s="164"/>
      <c r="AM12" s="55">
        <f>2*(60/SQRT(AM$8)*LN(1.9*(2*$C$1+$C$2)/(0.8*$C$3+$C$2)))*(1-0.347*(EXP(-2.9*($C$4/(2*$C$1+$C$2)))))</f>
        <v>90.705548375513132</v>
      </c>
      <c r="AN12" s="55">
        <f t="shared" ref="AN12:AR12" si="18">2*(60/SQRT(AN$8)*LN(1.9*(2*$C$1+$C$2)/(0.8*$C$3+$C$2)))*(1-0.347*(EXP(-2.9*($C$4/(2*$C$1+$C$2)))))</f>
        <v>90.835076157270294</v>
      </c>
      <c r="AO12" s="55">
        <f t="shared" si="18"/>
        <v>91.227263344375885</v>
      </c>
      <c r="AP12" s="55">
        <f t="shared" si="18"/>
        <v>91.44913265071591</v>
      </c>
      <c r="AQ12" s="55">
        <f t="shared" si="18"/>
        <v>91.847376987794789</v>
      </c>
      <c r="AR12" s="61">
        <f t="shared" si="18"/>
        <v>92.251241303246388</v>
      </c>
    </row>
    <row r="13" spans="1:44" ht="14.7" thickBot="1" x14ac:dyDescent="0.6">
      <c r="AK13" s="62" t="s">
        <v>5</v>
      </c>
      <c r="AL13" s="167">
        <f>AC29</f>
        <v>25</v>
      </c>
      <c r="AM13" s="56">
        <f t="shared" ref="AM13:AR13" si="19">($M$1*($AL$13-$H$2)+1)*AVERAGE(C$46,L$46)</f>
        <v>3.7572351440786917</v>
      </c>
      <c r="AN13" s="56">
        <f t="shared" si="19"/>
        <v>3.7465274005645042</v>
      </c>
      <c r="AO13" s="56">
        <f t="shared" si="19"/>
        <v>3.714383902383128</v>
      </c>
      <c r="AP13" s="56">
        <f t="shared" si="19"/>
        <v>3.6963824615486516</v>
      </c>
      <c r="AQ13" s="56">
        <f t="shared" si="19"/>
        <v>3.6643974001360222</v>
      </c>
      <c r="AR13" s="63">
        <f t="shared" si="19"/>
        <v>3.6323830905954049</v>
      </c>
    </row>
    <row r="14" spans="1:44" x14ac:dyDescent="0.55000000000000004">
      <c r="A14" s="159" t="s">
        <v>14</v>
      </c>
      <c r="B14" s="160"/>
      <c r="C14" s="160"/>
      <c r="D14" s="160"/>
      <c r="E14" s="160"/>
      <c r="F14" s="160"/>
      <c r="G14" s="160"/>
      <c r="H14" s="161"/>
      <c r="AK14" s="57" t="s">
        <v>7</v>
      </c>
      <c r="AL14" s="162"/>
      <c r="AM14" s="54">
        <f>($M$2*($AL$13-$H$2)+1)*U$46</f>
        <v>5.3999999999999994E-3</v>
      </c>
      <c r="AN14" s="54">
        <f t="shared" ref="AN14:AR14" si="20">($M$2*($AL$13-$H$2)+1)*V$46</f>
        <v>5.5999999999999999E-3</v>
      </c>
      <c r="AO14" s="54">
        <f t="shared" si="20"/>
        <v>6.1000000000000004E-3</v>
      </c>
      <c r="AP14" s="54">
        <f t="shared" si="20"/>
        <v>6.8787238366185728E-3</v>
      </c>
      <c r="AQ14" s="54">
        <f t="shared" si="20"/>
        <v>7.4787238366185727E-3</v>
      </c>
      <c r="AR14" s="59">
        <f t="shared" si="20"/>
        <v>8.0999999999999996E-3</v>
      </c>
    </row>
    <row r="15" spans="1:44" x14ac:dyDescent="0.55000000000000004">
      <c r="A15" s="73" t="s">
        <v>12</v>
      </c>
      <c r="B15" s="74" t="s">
        <v>13</v>
      </c>
      <c r="C15" s="83">
        <f>C9</f>
        <v>1</v>
      </c>
      <c r="D15" s="83">
        <f t="shared" ref="D15:H15" si="21">D9</f>
        <v>3</v>
      </c>
      <c r="E15" s="83">
        <f t="shared" si="21"/>
        <v>5</v>
      </c>
      <c r="F15" s="83">
        <f t="shared" si="21"/>
        <v>10</v>
      </c>
      <c r="G15" s="83">
        <f t="shared" si="21"/>
        <v>15</v>
      </c>
      <c r="H15" s="84">
        <f t="shared" si="21"/>
        <v>20</v>
      </c>
      <c r="AK15" s="57" t="s">
        <v>8</v>
      </c>
      <c r="AL15" s="162"/>
      <c r="AM15" s="53">
        <f t="shared" ref="AM15:AR15" si="22">IF(AM$2=0,$C$2,SQRT(1/(($H$1/(1+$M$3*($AC$29-$H$2)))*PI()*(AM$2*1000000000)*0.999991*0.0000004*PI()))*1000000)</f>
        <v>2.0615741316329186</v>
      </c>
      <c r="AN15" s="53">
        <f t="shared" si="22"/>
        <v>1.1902503798526345</v>
      </c>
      <c r="AO15" s="53">
        <f t="shared" si="22"/>
        <v>0.92196397979726119</v>
      </c>
      <c r="AP15" s="53">
        <f t="shared" si="22"/>
        <v>0.65192698212438038</v>
      </c>
      <c r="AQ15" s="53">
        <f t="shared" si="22"/>
        <v>0.53229615191908741</v>
      </c>
      <c r="AR15" s="58">
        <f t="shared" si="22"/>
        <v>0.4609819898986306</v>
      </c>
    </row>
    <row r="16" spans="1:44" ht="14.7" thickBot="1" x14ac:dyDescent="0.6">
      <c r="A16" s="103">
        <v>122</v>
      </c>
      <c r="B16" s="101">
        <v>0.53</v>
      </c>
      <c r="C16" s="77">
        <v>5.4000000000000003E-3</v>
      </c>
      <c r="D16" s="77">
        <v>5.5999999999999999E-3</v>
      </c>
      <c r="E16" s="77">
        <v>6.1000000000000004E-3</v>
      </c>
      <c r="F16" s="77">
        <v>6.8999999999999999E-3</v>
      </c>
      <c r="G16" s="77">
        <v>7.4999999999999997E-3</v>
      </c>
      <c r="H16" s="78">
        <v>8.0999999999999996E-3</v>
      </c>
      <c r="AK16" s="57" t="s">
        <v>20</v>
      </c>
      <c r="AL16" s="162"/>
      <c r="AM16" s="53">
        <f t="shared" ref="AM16:AR16" si="23">0.76*(1/(($H$1/(1+$M$3*($AC$29-$H$2)))*AM15*$C$3*0.000000000001))</f>
        <v>61.854083521356216</v>
      </c>
      <c r="AN16" s="53">
        <f t="shared" si="23"/>
        <v>107.13441531459782</v>
      </c>
      <c r="AO16" s="53">
        <f t="shared" si="23"/>
        <v>138.30993543970203</v>
      </c>
      <c r="AP16" s="53">
        <f t="shared" si="23"/>
        <v>195.59978650977382</v>
      </c>
      <c r="AQ16" s="53">
        <f t="shared" si="23"/>
        <v>239.55983537313517</v>
      </c>
      <c r="AR16" s="58">
        <f t="shared" si="23"/>
        <v>276.61987087940406</v>
      </c>
    </row>
    <row r="17" spans="1:44" x14ac:dyDescent="0.55000000000000004">
      <c r="A17" s="103">
        <v>127</v>
      </c>
      <c r="B17" s="101">
        <v>0.55000000000000004</v>
      </c>
      <c r="C17" s="71">
        <v>5.4000000000000003E-3</v>
      </c>
      <c r="D17" s="71">
        <v>5.5999999999999999E-3</v>
      </c>
      <c r="E17" s="71">
        <v>6.1000000000000004E-3</v>
      </c>
      <c r="F17" s="71">
        <v>6.8999999999999999E-3</v>
      </c>
      <c r="G17" s="71">
        <v>7.4999999999999997E-3</v>
      </c>
      <c r="H17" s="75">
        <v>8.0999999999999996E-3</v>
      </c>
      <c r="AK17" s="60" t="s">
        <v>10</v>
      </c>
      <c r="AL17" s="164"/>
      <c r="AM17" s="55">
        <f>2*(60/SQRT(AM$13)*LN(1.9*(2*$C$1+$C$2)/(0.8*$C$3+$C$2)))*(1-0.347*(EXP(-2.9*($C$4/(2*$C$1+$C$2)))))</f>
        <v>91.092889235532454</v>
      </c>
      <c r="AN17" s="55">
        <f t="shared" ref="AN17:AR17" si="24">2*(60/SQRT(AN$13)*LN(1.9*(2*$C$1+$C$2)/(0.8*$C$3+$C$2)))*(1-0.347*(EXP(-2.9*($C$4/(2*$C$1+$C$2)))))</f>
        <v>91.222970141142369</v>
      </c>
      <c r="AO17" s="55">
        <f t="shared" si="24"/>
        <v>91.616832089329961</v>
      </c>
      <c r="AP17" s="55">
        <f t="shared" si="24"/>
        <v>91.839648846509192</v>
      </c>
      <c r="AQ17" s="55">
        <f t="shared" si="24"/>
        <v>92.239593810581511</v>
      </c>
      <c r="AR17" s="61">
        <f t="shared" si="24"/>
        <v>92.645182752079492</v>
      </c>
    </row>
    <row r="18" spans="1:44" ht="14.7" thickBot="1" x14ac:dyDescent="0.6">
      <c r="A18" s="104">
        <v>140</v>
      </c>
      <c r="B18" s="102">
        <v>0.57999999999999996</v>
      </c>
      <c r="C18" s="72">
        <v>5.4000000000000003E-3</v>
      </c>
      <c r="D18" s="72">
        <v>5.5999999999999999E-3</v>
      </c>
      <c r="E18" s="72">
        <v>6.1000000000000004E-3</v>
      </c>
      <c r="F18" s="72">
        <v>7.0000000000000001E-3</v>
      </c>
      <c r="G18" s="72">
        <v>7.6E-3</v>
      </c>
      <c r="H18" s="76">
        <v>8.0999999999999996E-3</v>
      </c>
      <c r="AK18" s="57" t="s">
        <v>5</v>
      </c>
      <c r="AL18" s="162">
        <f>AC30</f>
        <v>90</v>
      </c>
      <c r="AM18" s="53">
        <f t="shared" ref="AM18:AR18" si="25">($M$1*($AL$18-$H$2)+1)*AVERAGE(C$46,L$46)</f>
        <v>3.6736252878940494</v>
      </c>
      <c r="AN18" s="53">
        <f t="shared" si="25"/>
        <v>3.6631558240884647</v>
      </c>
      <c r="AO18" s="53">
        <f t="shared" si="25"/>
        <v>3.6317276160492167</v>
      </c>
      <c r="AP18" s="53">
        <f t="shared" si="25"/>
        <v>3.614126761768834</v>
      </c>
      <c r="AQ18" s="53">
        <f t="shared" si="25"/>
        <v>3.5828534648005945</v>
      </c>
      <c r="AR18" s="58">
        <f t="shared" si="25"/>
        <v>3.551551570563757</v>
      </c>
    </row>
    <row r="19" spans="1:44" ht="14.7" thickBot="1" x14ac:dyDescent="0.6">
      <c r="AK19" s="57" t="s">
        <v>7</v>
      </c>
      <c r="AL19" s="162"/>
      <c r="AM19" s="54">
        <f>($M$2*($AL$18-$H$2)+1)*U$46</f>
        <v>7.9258391850459894E-3</v>
      </c>
      <c r="AN19" s="54">
        <f t="shared" ref="AN19:AR19" si="26">($M$2*($AL$18-$H$2)+1)*V$46</f>
        <v>8.2193887844921373E-3</v>
      </c>
      <c r="AO19" s="54">
        <f t="shared" si="26"/>
        <v>8.9532627831075077E-3</v>
      </c>
      <c r="AP19" s="54">
        <f t="shared" si="26"/>
        <v>1.0096233134700254E-2</v>
      </c>
      <c r="AQ19" s="54">
        <f t="shared" si="26"/>
        <v>1.0976881933038697E-2</v>
      </c>
      <c r="AR19" s="59">
        <f t="shared" si="26"/>
        <v>1.1888758777568984E-2</v>
      </c>
    </row>
    <row r="20" spans="1:44" x14ac:dyDescent="0.55000000000000004">
      <c r="A20" s="168" t="s">
        <v>15</v>
      </c>
      <c r="B20" s="169"/>
      <c r="C20" s="79">
        <f t="shared" ref="C20:H20" si="27">INTERCEPT(C10:C12,$B10:$B12)</f>
        <v>5.7352631578947362</v>
      </c>
      <c r="D20" s="79">
        <f t="shared" si="27"/>
        <v>5.7252631578947408</v>
      </c>
      <c r="E20" s="79">
        <f t="shared" si="27"/>
        <v>5.6952631578947361</v>
      </c>
      <c r="F20" s="79">
        <f t="shared" si="27"/>
        <v>5.5500000000000016</v>
      </c>
      <c r="G20" s="79">
        <f t="shared" si="27"/>
        <v>5.5200000000000067</v>
      </c>
      <c r="H20" s="80">
        <f t="shared" si="27"/>
        <v>5.4900000000000011</v>
      </c>
      <c r="S20" s="168" t="s">
        <v>63</v>
      </c>
      <c r="T20" s="169"/>
      <c r="U20" s="105">
        <f t="shared" ref="U20:Z20" si="28">INTERCEPT(C16:C18,$B16:$B18)</f>
        <v>5.3999999999999994E-3</v>
      </c>
      <c r="V20" s="105">
        <f t="shared" si="28"/>
        <v>5.5999999999999999E-3</v>
      </c>
      <c r="W20" s="105">
        <f t="shared" si="28"/>
        <v>6.1000000000000004E-3</v>
      </c>
      <c r="X20" s="105">
        <f t="shared" si="28"/>
        <v>5.7684210526315746E-3</v>
      </c>
      <c r="Y20" s="105">
        <f t="shared" si="28"/>
        <v>6.3684210526315744E-3</v>
      </c>
      <c r="Z20" s="106">
        <f t="shared" si="28"/>
        <v>8.0999999999999996E-3</v>
      </c>
      <c r="AJ20" s="11"/>
      <c r="AK20" s="57" t="s">
        <v>8</v>
      </c>
      <c r="AL20" s="162"/>
      <c r="AM20" s="53">
        <f t="shared" ref="AM20:AR20" si="29">IF(AM$2=0,$C$2,SQRT(1/(($H$1/(1+$M$3*($AC$30-$H$2)))*PI()*(AM$2*1000000000)*0.999991*0.0000004*PI()))*1000000)</f>
        <v>2.3164975680572764</v>
      </c>
      <c r="AN20" s="53">
        <f t="shared" si="29"/>
        <v>1.337430494494982</v>
      </c>
      <c r="AO20" s="53">
        <f t="shared" si="29"/>
        <v>1.035969206377803</v>
      </c>
      <c r="AP20" s="53">
        <f t="shared" si="29"/>
        <v>0.73254085093019039</v>
      </c>
      <c r="AQ20" s="53">
        <f t="shared" si="29"/>
        <v>0.59811710017438746</v>
      </c>
      <c r="AR20" s="58">
        <f t="shared" si="29"/>
        <v>0.51798460318890149</v>
      </c>
    </row>
    <row r="21" spans="1:44" ht="14.7" thickBot="1" x14ac:dyDescent="0.6">
      <c r="A21" s="170" t="s">
        <v>16</v>
      </c>
      <c r="B21" s="171"/>
      <c r="C21" s="81">
        <f t="shared" ref="C21:H21" si="30">SLOPE(C10:C12,$B10:$B12)*100%+C20</f>
        <v>2.5510526315789477</v>
      </c>
      <c r="D21" s="81">
        <f t="shared" si="30"/>
        <v>2.5410526315789435</v>
      </c>
      <c r="E21" s="81">
        <f t="shared" si="30"/>
        <v>2.5110526315789476</v>
      </c>
      <c r="F21" s="81">
        <f t="shared" si="30"/>
        <v>2.5499999999999994</v>
      </c>
      <c r="G21" s="81">
        <f t="shared" si="30"/>
        <v>2.5199999999999947</v>
      </c>
      <c r="H21" s="82">
        <f t="shared" si="30"/>
        <v>2.4899999999999989</v>
      </c>
      <c r="S21" s="170" t="s">
        <v>64</v>
      </c>
      <c r="T21" s="171"/>
      <c r="U21" s="107">
        <f t="shared" ref="U21:Z21" si="31">SLOPE(C16:C18,$B16:$B18)*100%+U20</f>
        <v>5.3999999999999994E-3</v>
      </c>
      <c r="V21" s="107">
        <f t="shared" si="31"/>
        <v>5.5999999999999999E-3</v>
      </c>
      <c r="W21" s="107">
        <f t="shared" si="31"/>
        <v>6.1000000000000004E-3</v>
      </c>
      <c r="X21" s="107">
        <f t="shared" si="31"/>
        <v>7.8736842105263192E-3</v>
      </c>
      <c r="Y21" s="107">
        <f t="shared" si="31"/>
        <v>8.473684210526319E-3</v>
      </c>
      <c r="Z21" s="108">
        <f t="shared" si="31"/>
        <v>8.0999999999999996E-3</v>
      </c>
      <c r="AK21" s="57" t="s">
        <v>20</v>
      </c>
      <c r="AL21" s="162"/>
      <c r="AM21" s="53">
        <f t="shared" ref="AM21:AR21" si="32">0.76*(1/(($H$1/(1+$M$3*($AC$30-$H$2)))*AM20*$C$3*0.000000000001))</f>
        <v>69.502634832801832</v>
      </c>
      <c r="AN21" s="53">
        <f t="shared" si="32"/>
        <v>120.38209479031919</v>
      </c>
      <c r="AO21" s="53">
        <f t="shared" si="32"/>
        <v>155.41261610148965</v>
      </c>
      <c r="AP21" s="53">
        <f t="shared" si="32"/>
        <v>219.78662945460988</v>
      </c>
      <c r="AQ21" s="53">
        <f t="shared" si="32"/>
        <v>269.18254722497704</v>
      </c>
      <c r="AR21" s="58">
        <f t="shared" si="32"/>
        <v>310.82523220297929</v>
      </c>
    </row>
    <row r="22" spans="1:44" ht="14.7" thickBot="1" x14ac:dyDescent="0.6">
      <c r="AK22" s="64" t="s">
        <v>10</v>
      </c>
      <c r="AL22" s="163"/>
      <c r="AM22" s="65">
        <f>2*(60/SQRT(AM$18)*LN(1.9*(2*$C$1+$C$2)/(0.8*$C$3+$C$2)))*(1-0.347*(EXP(-2.9*($C$4/(2*$C$1+$C$2)))))</f>
        <v>92.12367128880831</v>
      </c>
      <c r="AN22" s="65">
        <f t="shared" ref="AN22:AR22" si="33">2*(60/SQRT(AN$18)*LN(1.9*(2*$C$1+$C$2)/(0.8*$C$3+$C$2)))*(1-0.347*(EXP(-2.9*($C$4/(2*$C$1+$C$2)))))</f>
        <v>92.25522415412992</v>
      </c>
      <c r="AO22" s="65">
        <f t="shared" si="33"/>
        <v>92.653542935678118</v>
      </c>
      <c r="AP22" s="65">
        <f t="shared" si="33"/>
        <v>92.878881025931719</v>
      </c>
      <c r="AQ22" s="65">
        <f>2*(60/SQRT(AQ$18)*LN(1.9*(2*$C$1+$C$2)/(0.8*$C$3+$C$2)))*(1-0.347*(EXP(-2.9*($C$4/(2*$C$1+$C$2)))))</f>
        <v>93.283351657097541</v>
      </c>
      <c r="AR22" s="66">
        <f t="shared" si="33"/>
        <v>93.69353013138354</v>
      </c>
    </row>
    <row r="23" spans="1:44" x14ac:dyDescent="0.55000000000000004">
      <c r="A23" s="159" t="s">
        <v>17</v>
      </c>
      <c r="B23" s="160"/>
      <c r="C23" s="160"/>
      <c r="D23" s="160"/>
      <c r="E23" s="160"/>
      <c r="F23" s="160"/>
      <c r="G23" s="160"/>
      <c r="H23" s="161"/>
      <c r="J23" s="159" t="s">
        <v>18</v>
      </c>
      <c r="K23" s="160"/>
      <c r="L23" s="160"/>
      <c r="M23" s="160"/>
      <c r="N23" s="160"/>
      <c r="O23" s="160"/>
      <c r="P23" s="160"/>
      <c r="Q23" s="161"/>
      <c r="S23" s="159" t="s">
        <v>65</v>
      </c>
      <c r="T23" s="160"/>
      <c r="U23" s="160"/>
      <c r="V23" s="160"/>
      <c r="W23" s="160"/>
      <c r="X23" s="160"/>
      <c r="Y23" s="160"/>
      <c r="Z23" s="161"/>
    </row>
    <row r="24" spans="1:44" ht="14.7" thickBot="1" x14ac:dyDescent="0.6">
      <c r="A24" s="57" t="str">
        <f t="shared" ref="A24:H24" si="34">A9</f>
        <v>Thickness (um)</v>
      </c>
      <c r="B24" s="52" t="str">
        <f t="shared" si="34"/>
        <v>RC (%)</v>
      </c>
      <c r="C24" s="83">
        <f t="shared" si="34"/>
        <v>1</v>
      </c>
      <c r="D24" s="83">
        <f t="shared" si="34"/>
        <v>3</v>
      </c>
      <c r="E24" s="83">
        <f t="shared" si="34"/>
        <v>5</v>
      </c>
      <c r="F24" s="83">
        <f t="shared" si="34"/>
        <v>10</v>
      </c>
      <c r="G24" s="83">
        <f t="shared" si="34"/>
        <v>15</v>
      </c>
      <c r="H24" s="84">
        <f t="shared" si="34"/>
        <v>20</v>
      </c>
      <c r="J24" s="57" t="str">
        <f t="shared" ref="J24:Q24" si="35">A9</f>
        <v>Thickness (um)</v>
      </c>
      <c r="K24" s="52" t="str">
        <f t="shared" si="35"/>
        <v>RC (%)</v>
      </c>
      <c r="L24" s="83">
        <f t="shared" si="35"/>
        <v>1</v>
      </c>
      <c r="M24" s="83">
        <f t="shared" si="35"/>
        <v>3</v>
      </c>
      <c r="N24" s="83">
        <f t="shared" si="35"/>
        <v>5</v>
      </c>
      <c r="O24" s="83">
        <f t="shared" si="35"/>
        <v>10</v>
      </c>
      <c r="P24" s="83">
        <f t="shared" si="35"/>
        <v>15</v>
      </c>
      <c r="Q24" s="84">
        <f t="shared" si="35"/>
        <v>20</v>
      </c>
      <c r="S24" s="73" t="str">
        <f>A9</f>
        <v>Thickness (um)</v>
      </c>
      <c r="T24" s="74" t="str">
        <f>B9</f>
        <v>RC (%)</v>
      </c>
      <c r="U24" s="83">
        <f t="shared" ref="U24:Z24" si="36">C9</f>
        <v>1</v>
      </c>
      <c r="V24" s="83">
        <f t="shared" si="36"/>
        <v>3</v>
      </c>
      <c r="W24" s="83">
        <f t="shared" si="36"/>
        <v>5</v>
      </c>
      <c r="X24" s="83">
        <f t="shared" si="36"/>
        <v>10</v>
      </c>
      <c r="Y24" s="83">
        <f t="shared" si="36"/>
        <v>15</v>
      </c>
      <c r="Z24" s="84">
        <f t="shared" si="36"/>
        <v>20</v>
      </c>
    </row>
    <row r="25" spans="1:44" x14ac:dyDescent="0.55000000000000004">
      <c r="A25" s="112">
        <f t="shared" ref="A25:B27" si="37">A10</f>
        <v>122</v>
      </c>
      <c r="B25" s="114">
        <f t="shared" si="37"/>
        <v>0.53</v>
      </c>
      <c r="C25" s="69">
        <f t="shared" ref="C25:H27" si="38">((C$20*(100%-$B25))+(C$21*$B25))/100%</f>
        <v>4.0476315789473682</v>
      </c>
      <c r="D25" s="69">
        <f t="shared" si="38"/>
        <v>4.0376315789473685</v>
      </c>
      <c r="E25" s="69">
        <f t="shared" si="38"/>
        <v>4.0076315789473682</v>
      </c>
      <c r="F25" s="69">
        <f t="shared" si="38"/>
        <v>3.9600000000000004</v>
      </c>
      <c r="G25" s="69">
        <f t="shared" si="38"/>
        <v>3.93</v>
      </c>
      <c r="H25" s="70">
        <f t="shared" si="38"/>
        <v>3.8999999999999995</v>
      </c>
      <c r="J25" s="112">
        <f t="shared" ref="J25:K27" si="39">A10</f>
        <v>122</v>
      </c>
      <c r="K25" s="114">
        <f t="shared" si="39"/>
        <v>0.53</v>
      </c>
      <c r="L25" s="69">
        <f t="shared" ref="L25:Q27" si="40">100%/((100%-$K25)/C$20+$K25/C$21)</f>
        <v>3.4517688615280053</v>
      </c>
      <c r="M25" s="69">
        <f t="shared" si="40"/>
        <v>3.4403597643059016</v>
      </c>
      <c r="N25" s="69">
        <f t="shared" si="40"/>
        <v>3.4060922001022615</v>
      </c>
      <c r="O25" s="69">
        <f t="shared" si="40"/>
        <v>3.4184782608695645</v>
      </c>
      <c r="P25" s="69">
        <f t="shared" si="40"/>
        <v>3.3845255474452514</v>
      </c>
      <c r="Q25" s="70">
        <f t="shared" si="40"/>
        <v>3.3505147058823526</v>
      </c>
      <c r="S25" s="112">
        <f t="shared" ref="S25:T27" si="41">A10</f>
        <v>122</v>
      </c>
      <c r="T25" s="114">
        <f>B10</f>
        <v>0.53</v>
      </c>
      <c r="U25" s="110">
        <f>((U$20*(100%-$T25))+(U$21*$T25))/100%</f>
        <v>5.3999999999999994E-3</v>
      </c>
      <c r="V25" s="110">
        <f t="shared" ref="V25:Z25" si="42">((V$20*(100%-$T25))+(V$21*$T25))/100%</f>
        <v>5.5999999999999999E-3</v>
      </c>
      <c r="W25" s="110">
        <f t="shared" si="42"/>
        <v>6.1000000000000004E-3</v>
      </c>
      <c r="X25" s="110">
        <f t="shared" si="42"/>
        <v>6.8842105263157895E-3</v>
      </c>
      <c r="Y25" s="110">
        <f t="shared" si="42"/>
        <v>7.4842105263157894E-3</v>
      </c>
      <c r="Z25" s="111">
        <f t="shared" si="42"/>
        <v>8.0999999999999996E-3</v>
      </c>
      <c r="AB25" s="159" t="s">
        <v>19</v>
      </c>
      <c r="AC25" s="160"/>
      <c r="AD25" s="160"/>
      <c r="AE25" s="160"/>
      <c r="AF25" s="160"/>
      <c r="AG25" s="160"/>
      <c r="AH25" s="160"/>
      <c r="AI25" s="161"/>
    </row>
    <row r="26" spans="1:44" x14ac:dyDescent="0.55000000000000004">
      <c r="A26" s="112">
        <f t="shared" si="37"/>
        <v>127</v>
      </c>
      <c r="B26" s="114">
        <f t="shared" si="37"/>
        <v>0.55000000000000004</v>
      </c>
      <c r="C26" s="69">
        <f t="shared" si="38"/>
        <v>3.9839473684210525</v>
      </c>
      <c r="D26" s="69">
        <f t="shared" si="38"/>
        <v>3.9739473684210522</v>
      </c>
      <c r="E26" s="69">
        <f t="shared" si="38"/>
        <v>3.9439473684210524</v>
      </c>
      <c r="F26" s="69">
        <f t="shared" si="38"/>
        <v>3.9000000000000004</v>
      </c>
      <c r="G26" s="69">
        <f t="shared" si="38"/>
        <v>3.87</v>
      </c>
      <c r="H26" s="70">
        <f t="shared" si="38"/>
        <v>3.84</v>
      </c>
      <c r="J26" s="112">
        <f t="shared" si="39"/>
        <v>127</v>
      </c>
      <c r="K26" s="114">
        <f t="shared" si="39"/>
        <v>0.55000000000000004</v>
      </c>
      <c r="L26" s="69">
        <f t="shared" si="40"/>
        <v>3.4006753350438306</v>
      </c>
      <c r="M26" s="69">
        <f t="shared" si="40"/>
        <v>3.3893164767722106</v>
      </c>
      <c r="N26" s="69">
        <f t="shared" si="40"/>
        <v>3.3552016455288993</v>
      </c>
      <c r="O26" s="69">
        <f t="shared" si="40"/>
        <v>3.3696428571428569</v>
      </c>
      <c r="P26" s="69">
        <f t="shared" si="40"/>
        <v>3.3358273381294925</v>
      </c>
      <c r="Q26" s="70">
        <f t="shared" si="40"/>
        <v>3.3019565217391298</v>
      </c>
      <c r="S26" s="112">
        <f t="shared" si="41"/>
        <v>127</v>
      </c>
      <c r="T26" s="114">
        <f t="shared" si="41"/>
        <v>0.55000000000000004</v>
      </c>
      <c r="U26" s="110">
        <f t="shared" ref="U26:Z27" si="43">((U$20*(100%-$T26))+(U$21*$T26))/100%</f>
        <v>5.3999999999999994E-3</v>
      </c>
      <c r="V26" s="110">
        <f t="shared" si="43"/>
        <v>5.5999999999999999E-3</v>
      </c>
      <c r="W26" s="110">
        <f t="shared" si="43"/>
        <v>6.1000000000000004E-3</v>
      </c>
      <c r="X26" s="110">
        <f t="shared" si="43"/>
        <v>6.9263157894736841E-3</v>
      </c>
      <c r="Y26" s="110">
        <f t="shared" si="43"/>
        <v>7.5263157894736848E-3</v>
      </c>
      <c r="Z26" s="111">
        <f t="shared" si="43"/>
        <v>8.0999999999999996E-3</v>
      </c>
      <c r="AB26" s="172" t="s">
        <v>2</v>
      </c>
      <c r="AC26" s="173"/>
      <c r="AD26" s="53">
        <f t="shared" ref="AD26:AI26" si="44">AD2</f>
        <v>1</v>
      </c>
      <c r="AE26" s="53">
        <f t="shared" si="44"/>
        <v>3</v>
      </c>
      <c r="AF26" s="53">
        <f t="shared" si="44"/>
        <v>5</v>
      </c>
      <c r="AG26" s="53">
        <f t="shared" si="44"/>
        <v>10</v>
      </c>
      <c r="AH26" s="53">
        <f t="shared" si="44"/>
        <v>15</v>
      </c>
      <c r="AI26" s="58">
        <f t="shared" si="44"/>
        <v>20</v>
      </c>
    </row>
    <row r="27" spans="1:44" ht="14.7" thickBot="1" x14ac:dyDescent="0.6">
      <c r="A27" s="113">
        <f t="shared" si="37"/>
        <v>140</v>
      </c>
      <c r="B27" s="115">
        <f t="shared" si="37"/>
        <v>0.57999999999999996</v>
      </c>
      <c r="C27" s="67">
        <f t="shared" si="38"/>
        <v>3.8884210526315792</v>
      </c>
      <c r="D27" s="67">
        <f t="shared" si="38"/>
        <v>3.8784210526315785</v>
      </c>
      <c r="E27" s="67">
        <f t="shared" si="38"/>
        <v>3.8484210526315792</v>
      </c>
      <c r="F27" s="67">
        <f t="shared" si="38"/>
        <v>3.8100000000000005</v>
      </c>
      <c r="G27" s="67">
        <f t="shared" si="38"/>
        <v>3.7800000000000002</v>
      </c>
      <c r="H27" s="68">
        <f t="shared" si="38"/>
        <v>3.75</v>
      </c>
      <c r="J27" s="113">
        <f t="shared" si="39"/>
        <v>140</v>
      </c>
      <c r="K27" s="115">
        <f t="shared" si="39"/>
        <v>0.57999999999999996</v>
      </c>
      <c r="L27" s="67">
        <f t="shared" si="40"/>
        <v>3.3268095412058152</v>
      </c>
      <c r="M27" s="67">
        <f t="shared" si="40"/>
        <v>3.3155296301206385</v>
      </c>
      <c r="N27" s="67">
        <f t="shared" si="40"/>
        <v>3.2816546529366897</v>
      </c>
      <c r="O27" s="67">
        <f t="shared" si="40"/>
        <v>3.2989510489510487</v>
      </c>
      <c r="P27" s="67">
        <f t="shared" si="40"/>
        <v>3.2653521126760521</v>
      </c>
      <c r="Q27" s="68">
        <f t="shared" si="40"/>
        <v>3.2317021276595734</v>
      </c>
      <c r="S27" s="113">
        <f t="shared" si="41"/>
        <v>140</v>
      </c>
      <c r="T27" s="115">
        <f t="shared" si="41"/>
        <v>0.57999999999999996</v>
      </c>
      <c r="U27" s="99">
        <f t="shared" si="43"/>
        <v>5.3999999999999994E-3</v>
      </c>
      <c r="V27" s="99">
        <f t="shared" si="43"/>
        <v>5.5999999999999999E-3</v>
      </c>
      <c r="W27" s="99">
        <f t="shared" si="43"/>
        <v>6.1000000000000004E-3</v>
      </c>
      <c r="X27" s="99">
        <f t="shared" si="43"/>
        <v>6.9894736842105263E-3</v>
      </c>
      <c r="Y27" s="99">
        <f t="shared" si="43"/>
        <v>7.5894736842105261E-3</v>
      </c>
      <c r="Z27" s="100">
        <f t="shared" si="43"/>
        <v>8.0999999999999996E-3</v>
      </c>
      <c r="AB27" s="57"/>
      <c r="AC27" s="71">
        <v>-40</v>
      </c>
      <c r="AD27" s="69">
        <f t="shared" ref="AD27:AI27" si="45">(20*LOG(EXP(1))*(2*PI()/(2*0.299795637693216))*SQRT(AM$3)*(AM$2)*AM$4)+(20*LOG(EXP(1))*AM6/(AM7))*(1+(2/PI())*ATAN(1.4*($H$3/AM$5)^2))</f>
        <v>6.1179026443342615</v>
      </c>
      <c r="AE27" s="69">
        <f t="shared" si="45"/>
        <v>12.829820479550945</v>
      </c>
      <c r="AF27" s="69">
        <f t="shared" si="45"/>
        <v>18.921627490308317</v>
      </c>
      <c r="AG27" s="69">
        <f t="shared" si="45"/>
        <v>32.579778009194058</v>
      </c>
      <c r="AH27" s="69">
        <f t="shared" si="45"/>
        <v>44.46707085819093</v>
      </c>
      <c r="AI27" s="70">
        <f t="shared" si="45"/>
        <v>55.53682086721809</v>
      </c>
    </row>
    <row r="28" spans="1:44" x14ac:dyDescent="0.55000000000000004">
      <c r="AB28" s="57"/>
      <c r="AC28" s="71">
        <v>0</v>
      </c>
      <c r="AD28" s="69">
        <f t="shared" ref="AD28:AI28" si="46">(20*LOG(EXP(1))*(2*PI()/(2*0.299795637693216))*SQRT(AM$8)*AM$2*AM9)+(20*LOG(EXP(1))*AM11/(AM12))*(1+(2/PI())*ATAN(1.4*($H$3/AM$10)^2))</f>
        <v>6.8375883946247287</v>
      </c>
      <c r="AE28" s="69">
        <f t="shared" si="46"/>
        <v>14.333962112239725</v>
      </c>
      <c r="AF28" s="69">
        <f t="shared" si="46"/>
        <v>21.269960882557452</v>
      </c>
      <c r="AG28" s="69">
        <f t="shared" si="46"/>
        <v>37.480798864507612</v>
      </c>
      <c r="AH28" s="69">
        <f t="shared" si="46"/>
        <v>52.258073108513827</v>
      </c>
      <c r="AI28" s="70">
        <f t="shared" si="46"/>
        <v>66.456762383777701</v>
      </c>
    </row>
    <row r="29" spans="1:44" x14ac:dyDescent="0.55000000000000004">
      <c r="AB29" s="57"/>
      <c r="AC29" s="71">
        <v>25</v>
      </c>
      <c r="AD29" s="69">
        <f t="shared" ref="AD29:AI29" si="47">(20*LOG(EXP(1))*(2*PI()/(2*0.299795637693216))*SQRT(AM$13)*AM$2*AM14)+((20*LOG(EXP(1))*AM16/(AM17))*(1+(2/PI())*ATAN(1.4*($H$3/AM$15)^2)))</f>
        <v>7.2635211896114926</v>
      </c>
      <c r="AE29" s="69">
        <f t="shared" si="47"/>
        <v>15.237895917866656</v>
      </c>
      <c r="AF29" s="69">
        <f t="shared" si="47"/>
        <v>22.673823312455838</v>
      </c>
      <c r="AG29" s="69">
        <f t="shared" si="47"/>
        <v>40.368424808471858</v>
      </c>
      <c r="AH29" s="69">
        <f t="shared" si="47"/>
        <v>56.861874349215171</v>
      </c>
      <c r="AI29" s="70">
        <f t="shared" si="47"/>
        <v>72.950805621227374</v>
      </c>
    </row>
    <row r="30" spans="1:44" ht="14.7" thickBot="1" x14ac:dyDescent="0.6">
      <c r="AB30" s="64"/>
      <c r="AC30" s="72">
        <v>90</v>
      </c>
      <c r="AD30" s="67">
        <f t="shared" ref="AD30:AI30" si="48">(20*LOG(EXP(1))*(2*PI()/(2*0.299795637693216))*SQRT(AM$18)*AM$2*AM19)+(20*LOG(EXP(1))*AM21/(AM22))*(1+(2/PI())*ATAN(1.4*($H$3/AM$20)^2))</f>
        <v>8.2996589221596171</v>
      </c>
      <c r="AE30" s="67">
        <f t="shared" si="48"/>
        <v>17.480878835522471</v>
      </c>
      <c r="AF30" s="67">
        <f t="shared" si="48"/>
        <v>26.157458141970395</v>
      </c>
      <c r="AG30" s="67">
        <f t="shared" si="48"/>
        <v>47.426423026671529</v>
      </c>
      <c r="AH30" s="67">
        <f t="shared" si="48"/>
        <v>68.102841311940153</v>
      </c>
      <c r="AI30" s="68">
        <f t="shared" si="48"/>
        <v>88.888420723855148</v>
      </c>
    </row>
    <row r="34" spans="1:44" x14ac:dyDescent="0.55000000000000004">
      <c r="B34" s="9"/>
    </row>
    <row r="35" spans="1:44" x14ac:dyDescent="0.55000000000000004">
      <c r="B35" s="9"/>
    </row>
    <row r="37" spans="1:44" x14ac:dyDescent="0.55000000000000004">
      <c r="AK37" s="10"/>
    </row>
    <row r="38" spans="1:44" x14ac:dyDescent="0.55000000000000004">
      <c r="AB38" s="10"/>
      <c r="AL38" s="6"/>
      <c r="AM38" s="6"/>
      <c r="AN38" s="6"/>
      <c r="AO38" s="6"/>
      <c r="AP38" s="6"/>
      <c r="AQ38" s="6"/>
    </row>
    <row r="39" spans="1:44" x14ac:dyDescent="0.55000000000000004">
      <c r="AL39" s="6"/>
      <c r="AM39" s="6"/>
      <c r="AN39" s="6"/>
      <c r="AO39" s="6"/>
      <c r="AP39" s="6"/>
      <c r="AQ39" s="6"/>
    </row>
    <row r="40" spans="1:44" x14ac:dyDescent="0.55000000000000004">
      <c r="AL40" s="6"/>
      <c r="AM40" s="6"/>
      <c r="AN40" s="6"/>
      <c r="AO40" s="6"/>
      <c r="AP40" s="6"/>
      <c r="AQ40" s="6"/>
    </row>
    <row r="43" spans="1:44" ht="14.7" thickBot="1" x14ac:dyDescent="0.6"/>
    <row r="44" spans="1:44" x14ac:dyDescent="0.55000000000000004">
      <c r="A44" s="159" t="str">
        <f>_xlfn.CONCAT("DK_InPlane (Thickness = ",$C$1,"µm)")</f>
        <v>DK_InPlane (Thickness = 120µm)</v>
      </c>
      <c r="B44" s="160"/>
      <c r="C44" s="160"/>
      <c r="D44" s="160"/>
      <c r="E44" s="160"/>
      <c r="F44" s="160"/>
      <c r="G44" s="160"/>
      <c r="H44" s="161"/>
      <c r="J44" s="159" t="str">
        <f>_xlfn.CONCAT("DK_OutofPlane (Thickness = ",$C$1,"µm)")</f>
        <v>DK_OutofPlane (Thickness = 120µm)</v>
      </c>
      <c r="K44" s="160"/>
      <c r="L44" s="160"/>
      <c r="M44" s="160"/>
      <c r="N44" s="160"/>
      <c r="O44" s="160"/>
      <c r="P44" s="160"/>
      <c r="Q44" s="161"/>
      <c r="R44" s="109"/>
      <c r="S44" s="159" t="str">
        <f>_xlfn.CONCAT("DF (Thickness = ",$C$1,"µm)")</f>
        <v>DF (Thickness = 120µm)</v>
      </c>
      <c r="T44" s="160"/>
      <c r="U44" s="160"/>
      <c r="V44" s="160"/>
      <c r="W44" s="160"/>
      <c r="X44" s="160"/>
      <c r="Y44" s="160"/>
      <c r="Z44" s="161"/>
      <c r="AR44" s="8"/>
    </row>
    <row r="45" spans="1:44" x14ac:dyDescent="0.55000000000000004">
      <c r="A45" s="57" t="str">
        <f t="shared" ref="A45:H45" si="49">A24</f>
        <v>Thickness (um)</v>
      </c>
      <c r="B45" s="74" t="str">
        <f t="shared" si="49"/>
        <v>RC (%)</v>
      </c>
      <c r="C45" s="53">
        <f t="shared" si="49"/>
        <v>1</v>
      </c>
      <c r="D45" s="53">
        <f t="shared" si="49"/>
        <v>3</v>
      </c>
      <c r="E45" s="53">
        <f t="shared" si="49"/>
        <v>5</v>
      </c>
      <c r="F45" s="53">
        <f t="shared" si="49"/>
        <v>10</v>
      </c>
      <c r="G45" s="53">
        <f t="shared" si="49"/>
        <v>15</v>
      </c>
      <c r="H45" s="58">
        <f t="shared" si="49"/>
        <v>20</v>
      </c>
      <c r="J45" s="57" t="str">
        <f t="shared" ref="J45:Q45" si="50">J24</f>
        <v>Thickness (um)</v>
      </c>
      <c r="K45" s="74" t="str">
        <f t="shared" si="50"/>
        <v>RC (%)</v>
      </c>
      <c r="L45" s="53">
        <f t="shared" si="50"/>
        <v>1</v>
      </c>
      <c r="M45" s="53">
        <f t="shared" si="50"/>
        <v>3</v>
      </c>
      <c r="N45" s="53">
        <f t="shared" si="50"/>
        <v>5</v>
      </c>
      <c r="O45" s="53">
        <f t="shared" si="50"/>
        <v>10</v>
      </c>
      <c r="P45" s="53">
        <f t="shared" si="50"/>
        <v>15</v>
      </c>
      <c r="Q45" s="58">
        <f t="shared" si="50"/>
        <v>20</v>
      </c>
      <c r="R45" s="109"/>
      <c r="S45" s="57" t="str">
        <f t="shared" ref="S45:Z45" si="51">S24</f>
        <v>Thickness (um)</v>
      </c>
      <c r="T45" s="74" t="str">
        <f t="shared" si="51"/>
        <v>RC (%)</v>
      </c>
      <c r="U45" s="53">
        <f t="shared" si="51"/>
        <v>1</v>
      </c>
      <c r="V45" s="53">
        <f t="shared" si="51"/>
        <v>3</v>
      </c>
      <c r="W45" s="53">
        <f t="shared" si="51"/>
        <v>5</v>
      </c>
      <c r="X45" s="53">
        <f t="shared" si="51"/>
        <v>10</v>
      </c>
      <c r="Y45" s="53">
        <f t="shared" si="51"/>
        <v>15</v>
      </c>
      <c r="Z45" s="58">
        <f t="shared" si="51"/>
        <v>20</v>
      </c>
    </row>
    <row r="46" spans="1:44" ht="14.7" thickBot="1" x14ac:dyDescent="0.6">
      <c r="A46" s="64">
        <f>C1</f>
        <v>120</v>
      </c>
      <c r="B46" s="116">
        <f>SLOPE(B10:B12,A10:A12)*A46+INTERCEPT(B10:B12,A10:A12)</f>
        <v>0.52739382239382249</v>
      </c>
      <c r="C46" s="67">
        <f t="shared" ref="C46:H46" si="52">((C$20*(100%-$B46))+(C$21*$B46))/100%</f>
        <v>4.0559301971144066</v>
      </c>
      <c r="D46" s="67">
        <f t="shared" si="52"/>
        <v>4.0459301971144068</v>
      </c>
      <c r="E46" s="67">
        <f t="shared" si="52"/>
        <v>4.0159301971144075</v>
      </c>
      <c r="F46" s="67">
        <f t="shared" si="52"/>
        <v>3.9678185328185331</v>
      </c>
      <c r="G46" s="67">
        <f t="shared" si="52"/>
        <v>3.9378185328185324</v>
      </c>
      <c r="H46" s="68">
        <f t="shared" si="52"/>
        <v>3.9078185328185322</v>
      </c>
      <c r="J46" s="64">
        <f>A46</f>
        <v>120</v>
      </c>
      <c r="K46" s="116">
        <f>SLOPE(B10:B12,A10:A12)*A46+INTERCEPT(B10:B12,A10:A12)</f>
        <v>0.52739382239382249</v>
      </c>
      <c r="L46" s="67">
        <f t="shared" ref="L46:Q46" si="53">100%/((100%-$K46)/C$20+$K46/C$21)</f>
        <v>3.4585400910429773</v>
      </c>
      <c r="M46" s="67">
        <f t="shared" si="53"/>
        <v>3.4471246040146015</v>
      </c>
      <c r="N46" s="67">
        <f t="shared" si="53"/>
        <v>3.4128376076518481</v>
      </c>
      <c r="O46" s="67">
        <f t="shared" si="53"/>
        <v>3.4249463902787705</v>
      </c>
      <c r="P46" s="67">
        <f t="shared" si="53"/>
        <v>3.390976267453512</v>
      </c>
      <c r="Q46" s="68">
        <f t="shared" si="53"/>
        <v>3.3569476483722775</v>
      </c>
      <c r="R46" s="109"/>
      <c r="S46" s="64">
        <f>J46</f>
        <v>120</v>
      </c>
      <c r="T46" s="116">
        <f>SLOPE(B10:B12,A10:A12)*S46+INTERCEPT(B10:B12,A10:A12)</f>
        <v>0.52739382239382249</v>
      </c>
      <c r="U46" s="99">
        <f>((U$20*(100%-$T46))+(U$21*$T46))/100%</f>
        <v>5.3999999999999994E-3</v>
      </c>
      <c r="V46" s="99">
        <f t="shared" ref="V46:Z46" si="54">((V$20*(100%-$T46))+(V$21*$T46))/100%</f>
        <v>5.5999999999999999E-3</v>
      </c>
      <c r="W46" s="99">
        <f t="shared" si="54"/>
        <v>6.1000000000000004E-3</v>
      </c>
      <c r="X46" s="99">
        <f t="shared" si="54"/>
        <v>6.8787238366185728E-3</v>
      </c>
      <c r="Y46" s="99">
        <f t="shared" si="54"/>
        <v>7.4787238366185727E-3</v>
      </c>
      <c r="Z46" s="100">
        <f t="shared" si="54"/>
        <v>8.0999999999999996E-3</v>
      </c>
    </row>
    <row r="47" spans="1:44" x14ac:dyDescent="0.55000000000000004">
      <c r="G47" s="6"/>
      <c r="K47" s="7"/>
      <c r="R47" s="109"/>
    </row>
    <row r="55" spans="45:45" x14ac:dyDescent="0.55000000000000004">
      <c r="AS55" s="8"/>
    </row>
  </sheetData>
  <mergeCells count="35">
    <mergeCell ref="A44:H44"/>
    <mergeCell ref="J44:Q44"/>
    <mergeCell ref="S44:Z44"/>
    <mergeCell ref="AL13:AL17"/>
    <mergeCell ref="A14:H14"/>
    <mergeCell ref="AL18:AL22"/>
    <mergeCell ref="A20:B20"/>
    <mergeCell ref="S20:T20"/>
    <mergeCell ref="A21:B21"/>
    <mergeCell ref="S21:T21"/>
    <mergeCell ref="A23:H23"/>
    <mergeCell ref="J23:Q23"/>
    <mergeCell ref="S23:Z23"/>
    <mergeCell ref="AB25:AI25"/>
    <mergeCell ref="AB26:AC26"/>
    <mergeCell ref="A3:B3"/>
    <mergeCell ref="E3:G3"/>
    <mergeCell ref="AC3:AC5"/>
    <mergeCell ref="AL3:AL7"/>
    <mergeCell ref="A4:B4"/>
    <mergeCell ref="A6:H7"/>
    <mergeCell ref="AB6:AI6"/>
    <mergeCell ref="AC7:AC10"/>
    <mergeCell ref="A8:H8"/>
    <mergeCell ref="AL8:AL12"/>
    <mergeCell ref="A1:B1"/>
    <mergeCell ref="E1:G1"/>
    <mergeCell ref="J1:L1"/>
    <mergeCell ref="AB1:AI1"/>
    <mergeCell ref="AK1:AR1"/>
    <mergeCell ref="A2:B2"/>
    <mergeCell ref="E2:G2"/>
    <mergeCell ref="J2:L2"/>
    <mergeCell ref="AB2:AC2"/>
    <mergeCell ref="AK2:AL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C26C-9FFA-4A30-8E1C-DAF1097085C8}">
  <sheetPr>
    <tabColor theme="0" tint="-4.9989318521683403E-2"/>
  </sheetPr>
  <dimension ref="A1:AS55"/>
  <sheetViews>
    <sheetView zoomScaleNormal="100" workbookViewId="0">
      <selection activeCell="AK30" sqref="AK28:AK30"/>
    </sheetView>
  </sheetViews>
  <sheetFormatPr defaultRowHeight="14.4" x14ac:dyDescent="0.55000000000000004"/>
  <cols>
    <col min="1" max="1" width="12.3671875" style="5" bestFit="1" customWidth="1"/>
    <col min="2" max="2" width="7.83984375" style="5" customWidth="1"/>
    <col min="3" max="4" width="7.05078125" style="5" bestFit="1" customWidth="1"/>
    <col min="5" max="7" width="7.05078125" style="5" customWidth="1"/>
    <col min="8" max="8" width="7.89453125" style="5" customWidth="1"/>
    <col min="9" max="9" width="1.9453125" style="5" customWidth="1"/>
    <col min="10" max="10" width="12.3671875" style="5" bestFit="1" customWidth="1"/>
    <col min="11" max="11" width="6.5234375" style="5" customWidth="1"/>
    <col min="12" max="12" width="7.20703125" style="5" bestFit="1" customWidth="1"/>
    <col min="13" max="13" width="8.734375" style="5" bestFit="1" customWidth="1"/>
    <col min="14" max="15" width="7.20703125" style="5" bestFit="1" customWidth="1"/>
    <col min="16" max="16" width="7" style="5" customWidth="1"/>
    <col min="17" max="17" width="7.15625" style="5" customWidth="1"/>
    <col min="18" max="18" width="2.5234375" style="5" customWidth="1"/>
    <col min="19" max="19" width="13.20703125" style="5" bestFit="1" customWidth="1"/>
    <col min="20" max="20" width="7.05078125" style="5" bestFit="1" customWidth="1"/>
    <col min="21" max="26" width="7.15625" style="5" customWidth="1"/>
    <col min="27" max="27" width="2.47265625" style="5" customWidth="1"/>
    <col min="28" max="28" width="18.20703125" style="5" bestFit="1" customWidth="1"/>
    <col min="29" max="29" width="3.47265625" style="5" customWidth="1"/>
    <col min="30" max="35" width="6.7890625" style="5" customWidth="1"/>
    <col min="36" max="36" width="2.41796875" style="5" customWidth="1"/>
    <col min="37" max="37" width="7.05078125" style="5" bestFit="1" customWidth="1"/>
    <col min="38" max="38" width="4.20703125" style="5" customWidth="1"/>
    <col min="39" max="44" width="7.1015625" style="5" customWidth="1"/>
    <col min="45" max="45" width="4.62890625" style="5" customWidth="1"/>
    <col min="46" max="16384" width="8.83984375" style="5"/>
  </cols>
  <sheetData>
    <row r="1" spans="1:44" ht="14.4" customHeight="1" x14ac:dyDescent="0.55000000000000004">
      <c r="A1" s="154" t="s">
        <v>51</v>
      </c>
      <c r="B1" s="154"/>
      <c r="C1" s="1">
        <v>152</v>
      </c>
      <c r="D1" s="51"/>
      <c r="E1" s="158" t="s">
        <v>29</v>
      </c>
      <c r="F1" s="158"/>
      <c r="G1" s="158"/>
      <c r="H1" s="2">
        <v>59600000</v>
      </c>
      <c r="J1" s="155" t="s">
        <v>27</v>
      </c>
      <c r="K1" s="155"/>
      <c r="L1" s="155"/>
      <c r="M1" s="4">
        <f>((3.29-3.26)/3.276)/(80-(-40))</f>
        <v>7.6312576312576949E-5</v>
      </c>
      <c r="O1" s="3"/>
      <c r="P1" s="5" t="s">
        <v>0</v>
      </c>
      <c r="AB1" s="159" t="str">
        <f>_xlfn.CONCAT("Stripline Parameters (dB/m)")</f>
        <v>Stripline Parameters (dB/m)</v>
      </c>
      <c r="AC1" s="160"/>
      <c r="AD1" s="160"/>
      <c r="AE1" s="160"/>
      <c r="AF1" s="160"/>
      <c r="AG1" s="160"/>
      <c r="AH1" s="160"/>
      <c r="AI1" s="161"/>
      <c r="AK1" s="159" t="str">
        <f>_xlfn.CONCAT("Stripline Parameters and Loss Decomposition vs Temperature")</f>
        <v>Stripline Parameters and Loss Decomposition vs Temperature</v>
      </c>
      <c r="AL1" s="160"/>
      <c r="AM1" s="160"/>
      <c r="AN1" s="160"/>
      <c r="AO1" s="160"/>
      <c r="AP1" s="160"/>
      <c r="AQ1" s="160"/>
      <c r="AR1" s="161"/>
    </row>
    <row r="2" spans="1:44" ht="14.4" customHeight="1" x14ac:dyDescent="0.55000000000000004">
      <c r="A2" s="154" t="s">
        <v>52</v>
      </c>
      <c r="B2" s="154"/>
      <c r="C2" s="1">
        <v>17</v>
      </c>
      <c r="E2" s="154" t="s">
        <v>31</v>
      </c>
      <c r="F2" s="154"/>
      <c r="G2" s="154"/>
      <c r="H2" s="1">
        <v>25</v>
      </c>
      <c r="J2" s="155" t="s">
        <v>28</v>
      </c>
      <c r="K2" s="155"/>
      <c r="L2" s="155"/>
      <c r="M2" s="117">
        <f>((0.004-0.0024)/0.0035)/(80-(-40))</f>
        <v>3.8095238095238104E-3</v>
      </c>
      <c r="N2" s="124"/>
      <c r="O2" s="12"/>
      <c r="P2" s="5" t="s">
        <v>1</v>
      </c>
      <c r="AB2" s="156" t="s">
        <v>2</v>
      </c>
      <c r="AC2" s="157"/>
      <c r="AD2" s="85">
        <f t="shared" ref="AD2:AI2" si="0">L24</f>
        <v>1</v>
      </c>
      <c r="AE2" s="85">
        <f t="shared" si="0"/>
        <v>2</v>
      </c>
      <c r="AF2" s="85">
        <f t="shared" si="0"/>
        <v>5</v>
      </c>
      <c r="AG2" s="85">
        <f t="shared" si="0"/>
        <v>10</v>
      </c>
      <c r="AH2" s="85">
        <f t="shared" si="0"/>
        <v>15</v>
      </c>
      <c r="AI2" s="86">
        <f t="shared" si="0"/>
        <v>20</v>
      </c>
      <c r="AK2" s="156" t="s">
        <v>2</v>
      </c>
      <c r="AL2" s="157"/>
      <c r="AM2" s="85">
        <f t="shared" ref="AM2:AR2" si="1">L24</f>
        <v>1</v>
      </c>
      <c r="AN2" s="85">
        <f t="shared" si="1"/>
        <v>2</v>
      </c>
      <c r="AO2" s="85">
        <f t="shared" si="1"/>
        <v>5</v>
      </c>
      <c r="AP2" s="85">
        <f t="shared" si="1"/>
        <v>10</v>
      </c>
      <c r="AQ2" s="85">
        <f t="shared" si="1"/>
        <v>15</v>
      </c>
      <c r="AR2" s="86">
        <f t="shared" si="1"/>
        <v>20</v>
      </c>
    </row>
    <row r="3" spans="1:44" ht="14.4" customHeight="1" x14ac:dyDescent="0.55000000000000004">
      <c r="A3" s="155" t="s">
        <v>3</v>
      </c>
      <c r="B3" s="155"/>
      <c r="C3" s="1">
        <v>120</v>
      </c>
      <c r="D3" s="51"/>
      <c r="E3" s="158" t="s">
        <v>32</v>
      </c>
      <c r="F3" s="158"/>
      <c r="G3" s="158"/>
      <c r="H3" s="1">
        <f>2*1.1/7.6</f>
        <v>0.28947368421052633</v>
      </c>
      <c r="L3" s="50" t="s">
        <v>30</v>
      </c>
      <c r="M3" s="118">
        <v>4.0400000000000002E-3</v>
      </c>
      <c r="AB3" s="57" t="s">
        <v>4</v>
      </c>
      <c r="AC3" s="162">
        <f>H2</f>
        <v>25</v>
      </c>
      <c r="AD3" s="53">
        <f t="shared" ref="AD3:AI3" si="2">IF(AD$2=0,$C$2,SQRT(1/(($H$1/(1+$M$3*($AC$3-$H$2)))*PI()*(AD$2*1000000000)*0.999991*0.0000004*PI()))*1000000)</f>
        <v>2.0615741316329186</v>
      </c>
      <c r="AE3" s="53">
        <f t="shared" si="2"/>
        <v>1.4577530483964047</v>
      </c>
      <c r="AF3" s="53">
        <f t="shared" si="2"/>
        <v>0.92196397979726119</v>
      </c>
      <c r="AG3" s="53">
        <f t="shared" si="2"/>
        <v>0.65192698212438038</v>
      </c>
      <c r="AH3" s="53">
        <f t="shared" si="2"/>
        <v>0.53229615191908741</v>
      </c>
      <c r="AI3" s="58">
        <f t="shared" si="2"/>
        <v>0.4609819898986306</v>
      </c>
      <c r="AK3" s="57" t="s">
        <v>5</v>
      </c>
      <c r="AL3" s="162">
        <f>AC27</f>
        <v>-40</v>
      </c>
      <c r="AM3" s="53">
        <f t="shared" ref="AM3:AR3" si="3">($M$1*($AL$3-$H$2)+1)*AVERAGE(C$46,L$46)</f>
        <v>3.0075853594431066</v>
      </c>
      <c r="AN3" s="53">
        <f t="shared" si="3"/>
        <v>3.0075853594431066</v>
      </c>
      <c r="AO3" s="53">
        <f t="shared" si="3"/>
        <v>3.0075853594431066</v>
      </c>
      <c r="AP3" s="53">
        <f t="shared" si="3"/>
        <v>3.0075853594431066</v>
      </c>
      <c r="AQ3" s="53">
        <f t="shared" si="3"/>
        <v>3.0075853594431066</v>
      </c>
      <c r="AR3" s="58">
        <f t="shared" si="3"/>
        <v>2.993333195487331</v>
      </c>
    </row>
    <row r="4" spans="1:44" x14ac:dyDescent="0.55000000000000004">
      <c r="A4" s="158" t="s">
        <v>6</v>
      </c>
      <c r="B4" s="158"/>
      <c r="C4" s="1">
        <v>100</v>
      </c>
      <c r="D4" s="51"/>
      <c r="AB4" s="57" t="s">
        <v>26</v>
      </c>
      <c r="AC4" s="162"/>
      <c r="AD4" s="53">
        <f t="shared" ref="AD4:AI4" si="4">0.76*(1/(($H$1/(1+$M$3*($AC$3-$H$2)))*AD3*$C$3*0.000000000001))</f>
        <v>51.545069601130173</v>
      </c>
      <c r="AE4" s="53">
        <f t="shared" si="4"/>
        <v>72.895736503383446</v>
      </c>
      <c r="AF4" s="53">
        <f t="shared" si="4"/>
        <v>115.25827953308502</v>
      </c>
      <c r="AG4" s="53">
        <f t="shared" si="4"/>
        <v>162.99982209147814</v>
      </c>
      <c r="AH4" s="53">
        <f t="shared" si="4"/>
        <v>199.63319614427931</v>
      </c>
      <c r="AI4" s="58">
        <f t="shared" si="4"/>
        <v>230.51655906617003</v>
      </c>
      <c r="AK4" s="57" t="s">
        <v>7</v>
      </c>
      <c r="AL4" s="162"/>
      <c r="AM4" s="54">
        <f>($M$2*($AL$3-$H$2)+1)*U$46</f>
        <v>1.3461094851131769E-3</v>
      </c>
      <c r="AN4" s="54">
        <f t="shared" ref="AN4:AR4" si="5">($M$2*($AL$3-$H$2)+1)*V$46</f>
        <v>1.3461094851131769E-3</v>
      </c>
      <c r="AO4" s="54">
        <f t="shared" si="5"/>
        <v>1.3461094851131769E-3</v>
      </c>
      <c r="AP4" s="54">
        <f t="shared" si="5"/>
        <v>1.3461094851131769E-3</v>
      </c>
      <c r="AQ4" s="54">
        <f t="shared" si="5"/>
        <v>1.3461094851131769E-3</v>
      </c>
      <c r="AR4" s="59">
        <f t="shared" si="5"/>
        <v>1.3461094851131769E-3</v>
      </c>
    </row>
    <row r="5" spans="1:44" ht="14.4" customHeight="1" thickBot="1" x14ac:dyDescent="0.6">
      <c r="AB5" s="64" t="s">
        <v>25</v>
      </c>
      <c r="AC5" s="163"/>
      <c r="AD5" s="67">
        <f t="shared" ref="AD5:AI5" si="6">2*(60/SQRT(AVERAGE(C$46,L$46))*LN(1.9*(2*$C$1+$C$2)/(0.8*$C$3+$C$2)))*(1-0.347*(EXP(-2.9*($C$4/(2*$C$1+$C$2)))))</f>
        <v>100.00528899439632</v>
      </c>
      <c r="AE5" s="67">
        <f t="shared" si="6"/>
        <v>100.00528899439632</v>
      </c>
      <c r="AF5" s="67">
        <f t="shared" si="6"/>
        <v>100.00528899439632</v>
      </c>
      <c r="AG5" s="67">
        <f t="shared" si="6"/>
        <v>100.00528899439632</v>
      </c>
      <c r="AH5" s="67">
        <f t="shared" si="6"/>
        <v>100.00528899439632</v>
      </c>
      <c r="AI5" s="68">
        <f t="shared" si="6"/>
        <v>100.24308397877374</v>
      </c>
      <c r="AK5" s="57" t="s">
        <v>8</v>
      </c>
      <c r="AL5" s="162"/>
      <c r="AM5" s="53">
        <f t="shared" ref="AM5:AR5" si="7">IF(AM$2=0,$C$2,SQRT(1/(($H$1/(1+$M$3*($AC$27-$H$2)))*PI()*(AM$2*1000000000)*0.999991*0.0000004*PI()))*1000000)</f>
        <v>1.7703148922213725</v>
      </c>
      <c r="AN5" s="53">
        <f t="shared" si="7"/>
        <v>1.2518016651252646</v>
      </c>
      <c r="AO5" s="53">
        <f t="shared" si="7"/>
        <v>0.79170888811744067</v>
      </c>
      <c r="AP5" s="53">
        <f t="shared" si="7"/>
        <v>0.55982272351350393</v>
      </c>
      <c r="AQ5" s="53">
        <f t="shared" si="7"/>
        <v>0.45709333967442356</v>
      </c>
      <c r="AR5" s="58">
        <f t="shared" si="7"/>
        <v>0.39585444405872033</v>
      </c>
    </row>
    <row r="6" spans="1:44" ht="14.4" customHeight="1" x14ac:dyDescent="0.55000000000000004">
      <c r="A6" s="165" t="s">
        <v>9</v>
      </c>
      <c r="B6" s="165"/>
      <c r="C6" s="165"/>
      <c r="D6" s="165"/>
      <c r="E6" s="165"/>
      <c r="F6" s="165"/>
      <c r="G6" s="165"/>
      <c r="H6" s="165"/>
      <c r="AB6" s="159" t="str">
        <f>_xlfn.CONCAT("Stripline Loss Decomposition at Temp = ",H2,"°C (dB/m)")</f>
        <v>Stripline Loss Decomposition at Temp = 25°C (dB/m)</v>
      </c>
      <c r="AC6" s="160"/>
      <c r="AD6" s="160"/>
      <c r="AE6" s="160"/>
      <c r="AF6" s="160"/>
      <c r="AG6" s="160"/>
      <c r="AH6" s="160"/>
      <c r="AI6" s="161"/>
      <c r="AK6" s="57" t="s">
        <v>20</v>
      </c>
      <c r="AL6" s="162"/>
      <c r="AM6" s="53">
        <f t="shared" ref="AM6:AR6" si="8">0.76*(1/(($H$1/(1+$M$3*($AC$27-$H$2)))*AM5*$C$3*0.000000000001))</f>
        <v>44.262781015393514</v>
      </c>
      <c r="AN6" s="53">
        <f t="shared" si="8"/>
        <v>62.597025220319843</v>
      </c>
      <c r="AO6" s="53">
        <f t="shared" si="8"/>
        <v>98.974587223607031</v>
      </c>
      <c r="AP6" s="53">
        <f t="shared" si="8"/>
        <v>139.97120358190389</v>
      </c>
      <c r="AQ6" s="53">
        <f t="shared" si="8"/>
        <v>171.4290137294449</v>
      </c>
      <c r="AR6" s="58">
        <f t="shared" si="8"/>
        <v>197.94917444721406</v>
      </c>
    </row>
    <row r="7" spans="1:44" ht="14.7" thickBot="1" x14ac:dyDescent="0.6">
      <c r="A7" s="166"/>
      <c r="B7" s="166"/>
      <c r="C7" s="166"/>
      <c r="D7" s="166"/>
      <c r="E7" s="166"/>
      <c r="F7" s="166"/>
      <c r="G7" s="166"/>
      <c r="H7" s="166"/>
      <c r="I7" s="10"/>
      <c r="AB7" s="57" t="s">
        <v>23</v>
      </c>
      <c r="AC7" s="162">
        <f>H2</f>
        <v>25</v>
      </c>
      <c r="AD7" s="69">
        <f>20*LOG(EXP(1))*(2*PI()/(2*0.299795637693216))*SQRT(AVERAGE(C46,L46))*(AD2)*U46</f>
        <v>0.28311980029376427</v>
      </c>
      <c r="AE7" s="69">
        <f>20*LOG(EXP(1))*(2*PI()/(2*0.299795637693216))*SQRT(AVERAGE(D46,M46))*(AE2)*V46</f>
        <v>0.56623960058752854</v>
      </c>
      <c r="AF7" s="69">
        <f t="shared" ref="AF7:AI7" si="9">20*LOG(EXP(1))*(2*PI()/(2*0.299795637693216))*SQRT(AVERAGE(E46,N46))*(AF2)*W46</f>
        <v>1.4155990014688211</v>
      </c>
      <c r="AG7" s="69">
        <f t="shared" si="9"/>
        <v>2.8311980029376422</v>
      </c>
      <c r="AH7" s="69">
        <f t="shared" si="9"/>
        <v>4.2467970044064636</v>
      </c>
      <c r="AI7" s="70">
        <f t="shared" si="9"/>
        <v>5.6489637638061847</v>
      </c>
      <c r="AK7" s="60" t="s">
        <v>10</v>
      </c>
      <c r="AL7" s="164"/>
      <c r="AM7" s="55">
        <f>2*(60/SQRT(AM$3)*LN(1.9*(2*$C$1+$C$2)/(0.8*$C$3+$C$2)))*(1-0.347*(EXP(-2.9*($C$4/(2*$C$1+$C$2)))))</f>
        <v>100.25424454266805</v>
      </c>
      <c r="AN7" s="55">
        <f t="shared" ref="AN7:AR7" si="10">2*(60/SQRT(AN$3)*LN(1.9*(2*$C$1+$C$2)/(0.8*$C$3+$C$2)))*(1-0.347*(EXP(-2.9*($C$4/(2*$C$1+$C$2)))))</f>
        <v>100.25424454266805</v>
      </c>
      <c r="AO7" s="55">
        <f t="shared" si="10"/>
        <v>100.25424454266805</v>
      </c>
      <c r="AP7" s="55">
        <f t="shared" si="10"/>
        <v>100.25424454266805</v>
      </c>
      <c r="AQ7" s="55">
        <f t="shared" si="10"/>
        <v>100.25424454266805</v>
      </c>
      <c r="AR7" s="61">
        <f t="shared" si="10"/>
        <v>100.49263149954319</v>
      </c>
    </row>
    <row r="8" spans="1:44" x14ac:dyDescent="0.55000000000000004">
      <c r="A8" s="159" t="s">
        <v>11</v>
      </c>
      <c r="B8" s="160"/>
      <c r="C8" s="160"/>
      <c r="D8" s="160"/>
      <c r="E8" s="160"/>
      <c r="F8" s="160"/>
      <c r="G8" s="160"/>
      <c r="H8" s="161"/>
      <c r="AB8" s="57" t="s">
        <v>24</v>
      </c>
      <c r="AC8" s="162"/>
      <c r="AD8" s="69">
        <f t="shared" ref="AD8:AI8" si="11">20*LOG(EXP(1))*AD4/(AD5)</f>
        <v>4.4769110758420476</v>
      </c>
      <c r="AE8" s="69">
        <f t="shared" si="11"/>
        <v>6.3313083609941483</v>
      </c>
      <c r="AF8" s="69">
        <f t="shared" si="11"/>
        <v>10.010677494804533</v>
      </c>
      <c r="AG8" s="69">
        <f t="shared" si="11"/>
        <v>14.157235881695689</v>
      </c>
      <c r="AH8" s="69">
        <f t="shared" si="11"/>
        <v>17.339002039187775</v>
      </c>
      <c r="AI8" s="70">
        <f t="shared" si="11"/>
        <v>19.973860662738826</v>
      </c>
      <c r="AK8" s="62" t="s">
        <v>5</v>
      </c>
      <c r="AL8" s="167">
        <f>AC28</f>
        <v>0</v>
      </c>
      <c r="AM8" s="56">
        <f t="shared" ref="AM8:AR8" si="12">($M$1*($AL$8-$H$2)+1)*AVERAGE(C$46,L$46)</f>
        <v>3.0168117889528641</v>
      </c>
      <c r="AN8" s="56">
        <f t="shared" si="12"/>
        <v>3.0168117889528641</v>
      </c>
      <c r="AO8" s="56">
        <f t="shared" si="12"/>
        <v>3.0168117889528641</v>
      </c>
      <c r="AP8" s="56">
        <f t="shared" si="12"/>
        <v>3.0168117889528641</v>
      </c>
      <c r="AQ8" s="56">
        <f t="shared" si="12"/>
        <v>3.0168117889528641</v>
      </c>
      <c r="AR8" s="63">
        <f t="shared" si="12"/>
        <v>3.0025159033498587</v>
      </c>
    </row>
    <row r="9" spans="1:44" x14ac:dyDescent="0.55000000000000004">
      <c r="A9" s="73" t="s">
        <v>12</v>
      </c>
      <c r="B9" s="74" t="s">
        <v>13</v>
      </c>
      <c r="C9" s="87">
        <v>1</v>
      </c>
      <c r="D9" s="87">
        <v>2</v>
      </c>
      <c r="E9" s="87">
        <v>5</v>
      </c>
      <c r="F9" s="87">
        <v>10</v>
      </c>
      <c r="G9" s="87">
        <v>15</v>
      </c>
      <c r="H9" s="88">
        <v>20</v>
      </c>
      <c r="AB9" s="57" t="s">
        <v>21</v>
      </c>
      <c r="AC9" s="162"/>
      <c r="AD9" s="69">
        <f t="shared" ref="AD9:AI9" si="13">AD8*(1+(2/PI())*ATAN(1.4*($H$3/AD$3)^2))</f>
        <v>4.5555606964660642</v>
      </c>
      <c r="AE9" s="69">
        <f t="shared" si="13"/>
        <v>6.5535939371786078</v>
      </c>
      <c r="AF9" s="69">
        <f t="shared" si="13"/>
        <v>10.884708815855234</v>
      </c>
      <c r="AG9" s="69">
        <f t="shared" si="13"/>
        <v>16.584546206096455</v>
      </c>
      <c r="AH9" s="69">
        <f t="shared" si="13"/>
        <v>21.672092557255258</v>
      </c>
      <c r="AI9" s="70">
        <f t="shared" si="13"/>
        <v>26.387886041615737</v>
      </c>
      <c r="AK9" s="57" t="s">
        <v>7</v>
      </c>
      <c r="AL9" s="162"/>
      <c r="AM9" s="54">
        <f>($M$2*($AL$8-$H$2)+1)*U$46</f>
        <v>1.6187392542500231E-3</v>
      </c>
      <c r="AN9" s="54">
        <f t="shared" ref="AN9:AR9" si="14">($M$2*($AL$8-$H$2)+1)*V$46</f>
        <v>1.6187392542500231E-3</v>
      </c>
      <c r="AO9" s="54">
        <f t="shared" si="14"/>
        <v>1.6187392542500231E-3</v>
      </c>
      <c r="AP9" s="54">
        <f t="shared" si="14"/>
        <v>1.6187392542500231E-3</v>
      </c>
      <c r="AQ9" s="54">
        <f t="shared" si="14"/>
        <v>1.6187392542500231E-3</v>
      </c>
      <c r="AR9" s="59">
        <f t="shared" si="14"/>
        <v>1.6187392542500231E-3</v>
      </c>
    </row>
    <row r="10" spans="1:44" ht="14.7" thickBot="1" x14ac:dyDescent="0.6">
      <c r="A10" s="103">
        <f>5/0.03937</f>
        <v>127.00025400050799</v>
      </c>
      <c r="B10" s="101">
        <v>0.6</v>
      </c>
      <c r="C10" s="120">
        <v>3.19</v>
      </c>
      <c r="D10" s="120">
        <v>3.19</v>
      </c>
      <c r="E10" s="120">
        <v>3.19</v>
      </c>
      <c r="F10" s="120">
        <v>3.19</v>
      </c>
      <c r="G10" s="120">
        <v>3.19</v>
      </c>
      <c r="H10" s="121">
        <v>3.19</v>
      </c>
      <c r="AB10" s="64" t="s">
        <v>22</v>
      </c>
      <c r="AC10" s="163"/>
      <c r="AD10" s="67">
        <f t="shared" ref="AD10:AI10" si="15">AD9+AD7</f>
        <v>4.838680496759828</v>
      </c>
      <c r="AE10" s="67">
        <f t="shared" si="15"/>
        <v>7.1198335377661364</v>
      </c>
      <c r="AF10" s="67">
        <f t="shared" si="15"/>
        <v>12.300307817324056</v>
      </c>
      <c r="AG10" s="67">
        <f t="shared" si="15"/>
        <v>19.415744209034099</v>
      </c>
      <c r="AH10" s="67">
        <f t="shared" si="15"/>
        <v>25.918889561661722</v>
      </c>
      <c r="AI10" s="68">
        <f t="shared" si="15"/>
        <v>32.036849805421923</v>
      </c>
      <c r="AK10" s="57" t="s">
        <v>8</v>
      </c>
      <c r="AL10" s="162"/>
      <c r="AM10" s="53">
        <f t="shared" ref="AM10:AR10" si="16">IF(AM$2=0,$C$2,SQRT(1/(($H$1/(1+$M$3*($AC$28-$H$2)))*PI()*(AM$2*1000000000)*0.999991*0.0000004*PI()))*1000000)</f>
        <v>1.9546940994170934</v>
      </c>
      <c r="AN10" s="53">
        <f t="shared" si="16"/>
        <v>1.3821774528431583</v>
      </c>
      <c r="AO10" s="53">
        <f t="shared" si="16"/>
        <v>0.87416577630287073</v>
      </c>
      <c r="AP10" s="53">
        <f t="shared" si="16"/>
        <v>0.61812854830496244</v>
      </c>
      <c r="AQ10" s="53">
        <f t="shared" si="16"/>
        <v>0.50469984626482056</v>
      </c>
      <c r="AR10" s="58">
        <f t="shared" si="16"/>
        <v>0.43708288815143537</v>
      </c>
    </row>
    <row r="11" spans="1:44" x14ac:dyDescent="0.55000000000000004">
      <c r="A11" s="103">
        <f>5.5/0.03937</f>
        <v>139.7002794005588</v>
      </c>
      <c r="B11" s="101">
        <v>0.63</v>
      </c>
      <c r="C11" s="120">
        <v>3.15</v>
      </c>
      <c r="D11" s="120">
        <v>3.15</v>
      </c>
      <c r="E11" s="120">
        <v>3.15</v>
      </c>
      <c r="F11" s="120">
        <v>3.15</v>
      </c>
      <c r="G11" s="120">
        <v>3.15</v>
      </c>
      <c r="H11" s="121">
        <v>3.15</v>
      </c>
      <c r="AK11" s="57" t="s">
        <v>20</v>
      </c>
      <c r="AL11" s="162"/>
      <c r="AM11" s="53">
        <f t="shared" ref="AM11:AR11" si="17">0.76*(1/(($H$1/(1+$M$3*($AC$28-$H$2)))*AM10*$C$3*0.000000000001))</f>
        <v>48.872772439944853</v>
      </c>
      <c r="AN11" s="53">
        <f t="shared" si="17"/>
        <v>69.116537615344029</v>
      </c>
      <c r="AO11" s="53">
        <f t="shared" si="17"/>
        <v>109.28284142459493</v>
      </c>
      <c r="AP11" s="53">
        <f t="shared" si="17"/>
        <v>154.54927647733044</v>
      </c>
      <c r="AQ11" s="53">
        <f t="shared" si="17"/>
        <v>189.28343374289122</v>
      </c>
      <c r="AR11" s="58">
        <f t="shared" si="17"/>
        <v>218.56568284918987</v>
      </c>
    </row>
    <row r="12" spans="1:44" ht="14.7" thickBot="1" x14ac:dyDescent="0.6">
      <c r="A12" s="104">
        <f>7/0.03937</f>
        <v>177.80035560071119</v>
      </c>
      <c r="B12" s="102">
        <v>0.70499999999999996</v>
      </c>
      <c r="C12" s="122">
        <v>3.02</v>
      </c>
      <c r="D12" s="122">
        <v>3.02</v>
      </c>
      <c r="E12" s="122">
        <v>3.02</v>
      </c>
      <c r="F12" s="122">
        <v>3.02</v>
      </c>
      <c r="G12" s="122">
        <v>3.02</v>
      </c>
      <c r="H12" s="123">
        <v>3.01</v>
      </c>
      <c r="AK12" s="60" t="s">
        <v>10</v>
      </c>
      <c r="AL12" s="164"/>
      <c r="AM12" s="55">
        <f>2*(60/SQRT(AM$8)*LN(1.9*(2*$C$1+$C$2)/(0.8*$C$3+$C$2)))*(1-0.347*(EXP(-2.9*($C$4/(2*$C$1+$C$2)))))</f>
        <v>100.10082147543262</v>
      </c>
      <c r="AN12" s="55">
        <f t="shared" ref="AN12:AR12" si="18">2*(60/SQRT(AN$8)*LN(1.9*(2*$C$1+$C$2)/(0.8*$C$3+$C$2)))*(1-0.347*(EXP(-2.9*($C$4/(2*$C$1+$C$2)))))</f>
        <v>100.10082147543262</v>
      </c>
      <c r="AO12" s="55">
        <f t="shared" si="18"/>
        <v>100.10082147543262</v>
      </c>
      <c r="AP12" s="55">
        <f t="shared" si="18"/>
        <v>100.10082147543262</v>
      </c>
      <c r="AQ12" s="55">
        <f t="shared" si="18"/>
        <v>100.10082147543262</v>
      </c>
      <c r="AR12" s="61">
        <f t="shared" si="18"/>
        <v>100.33884361924396</v>
      </c>
    </row>
    <row r="13" spans="1:44" ht="14.7" thickBot="1" x14ac:dyDescent="0.6">
      <c r="AK13" s="62" t="s">
        <v>5</v>
      </c>
      <c r="AL13" s="167">
        <f>AC29</f>
        <v>25</v>
      </c>
      <c r="AM13" s="56">
        <f t="shared" ref="AM13:AR13" si="19">($M$1*($AL$13-$H$2)+1)*AVERAGE(C$46,L$46)</f>
        <v>3.0225783073964623</v>
      </c>
      <c r="AN13" s="56">
        <f t="shared" si="19"/>
        <v>3.0225783073964623</v>
      </c>
      <c r="AO13" s="56">
        <f t="shared" si="19"/>
        <v>3.0225783073964623</v>
      </c>
      <c r="AP13" s="56">
        <f t="shared" si="19"/>
        <v>3.0225783073964623</v>
      </c>
      <c r="AQ13" s="56">
        <f t="shared" si="19"/>
        <v>3.0225783073964623</v>
      </c>
      <c r="AR13" s="63">
        <f t="shared" si="19"/>
        <v>3.0082550957639382</v>
      </c>
    </row>
    <row r="14" spans="1:44" x14ac:dyDescent="0.55000000000000004">
      <c r="A14" s="159" t="s">
        <v>14</v>
      </c>
      <c r="B14" s="160"/>
      <c r="C14" s="160"/>
      <c r="D14" s="160"/>
      <c r="E14" s="160"/>
      <c r="F14" s="160"/>
      <c r="G14" s="160"/>
      <c r="H14" s="161"/>
      <c r="AK14" s="57" t="s">
        <v>7</v>
      </c>
      <c r="AL14" s="162"/>
      <c r="AM14" s="54">
        <f>($M$2*($AL$13-$H$2)+1)*U$46</f>
        <v>1.7891328599605517E-3</v>
      </c>
      <c r="AN14" s="54">
        <f t="shared" ref="AN14:AR14" si="20">($M$2*($AL$13-$H$2)+1)*V$46</f>
        <v>1.7891328599605517E-3</v>
      </c>
      <c r="AO14" s="54">
        <f t="shared" si="20"/>
        <v>1.7891328599605517E-3</v>
      </c>
      <c r="AP14" s="54">
        <f t="shared" si="20"/>
        <v>1.7891328599605517E-3</v>
      </c>
      <c r="AQ14" s="54">
        <f t="shared" si="20"/>
        <v>1.7891328599605517E-3</v>
      </c>
      <c r="AR14" s="59">
        <f t="shared" si="20"/>
        <v>1.7891328599605517E-3</v>
      </c>
    </row>
    <row r="15" spans="1:44" x14ac:dyDescent="0.55000000000000004">
      <c r="A15" s="73" t="s">
        <v>12</v>
      </c>
      <c r="B15" s="74" t="s">
        <v>13</v>
      </c>
      <c r="C15" s="83">
        <f>C9</f>
        <v>1</v>
      </c>
      <c r="D15" s="83">
        <f t="shared" ref="D15:H15" si="21">D9</f>
        <v>2</v>
      </c>
      <c r="E15" s="83">
        <f t="shared" si="21"/>
        <v>5</v>
      </c>
      <c r="F15" s="83">
        <f t="shared" si="21"/>
        <v>10</v>
      </c>
      <c r="G15" s="83">
        <f t="shared" si="21"/>
        <v>15</v>
      </c>
      <c r="H15" s="84">
        <f t="shared" si="21"/>
        <v>20</v>
      </c>
      <c r="AK15" s="57" t="s">
        <v>8</v>
      </c>
      <c r="AL15" s="162"/>
      <c r="AM15" s="53">
        <f t="shared" ref="AM15:AR15" si="22">IF(AM$2=0,$C$2,SQRT(1/(($H$1/(1+$M$3*($AC$29-$H$2)))*PI()*(AM$2*1000000000)*0.999991*0.0000004*PI()))*1000000)</f>
        <v>2.0615741316329186</v>
      </c>
      <c r="AN15" s="53">
        <f t="shared" si="22"/>
        <v>1.4577530483964047</v>
      </c>
      <c r="AO15" s="53">
        <f t="shared" si="22"/>
        <v>0.92196397979726119</v>
      </c>
      <c r="AP15" s="53">
        <f t="shared" si="22"/>
        <v>0.65192698212438038</v>
      </c>
      <c r="AQ15" s="53">
        <f t="shared" si="22"/>
        <v>0.53229615191908741</v>
      </c>
      <c r="AR15" s="58">
        <f t="shared" si="22"/>
        <v>0.4609819898986306</v>
      </c>
    </row>
    <row r="16" spans="1:44" x14ac:dyDescent="0.55000000000000004">
      <c r="A16" s="103">
        <f>5/0.03937</f>
        <v>127.00025400050799</v>
      </c>
      <c r="B16" s="101">
        <v>0.6</v>
      </c>
      <c r="C16" s="71">
        <v>2.0999999999999999E-3</v>
      </c>
      <c r="D16" s="71">
        <v>2.0999999999999999E-3</v>
      </c>
      <c r="E16" s="71">
        <v>2.0999999999999999E-3</v>
      </c>
      <c r="F16" s="71">
        <v>2.0999999999999999E-3</v>
      </c>
      <c r="G16" s="71">
        <v>2.0999999999999999E-3</v>
      </c>
      <c r="H16" s="75">
        <v>2.0999999999999999E-3</v>
      </c>
      <c r="AK16" s="57" t="s">
        <v>20</v>
      </c>
      <c r="AL16" s="162"/>
      <c r="AM16" s="53">
        <f t="shared" ref="AM16:AR16" si="23">0.76*(1/(($H$1/(1+$M$3*($AC$29-$H$2)))*AM15*$C$3*0.000000000001))</f>
        <v>51.545069601130173</v>
      </c>
      <c r="AN16" s="53">
        <f t="shared" si="23"/>
        <v>72.895736503383446</v>
      </c>
      <c r="AO16" s="53">
        <f t="shared" si="23"/>
        <v>115.25827953308502</v>
      </c>
      <c r="AP16" s="53">
        <f t="shared" si="23"/>
        <v>162.99982209147814</v>
      </c>
      <c r="AQ16" s="53">
        <f t="shared" si="23"/>
        <v>199.63319614427931</v>
      </c>
      <c r="AR16" s="58">
        <f t="shared" si="23"/>
        <v>230.51655906617003</v>
      </c>
    </row>
    <row r="17" spans="1:44" x14ac:dyDescent="0.55000000000000004">
      <c r="A17" s="103">
        <f>5.5/0.03937</f>
        <v>139.7002794005588</v>
      </c>
      <c r="B17" s="101">
        <v>0.63</v>
      </c>
      <c r="C17" s="71">
        <v>1.9E-3</v>
      </c>
      <c r="D17" s="71">
        <v>1.9E-3</v>
      </c>
      <c r="E17" s="71">
        <v>1.9E-3</v>
      </c>
      <c r="F17" s="71">
        <v>1.9E-3</v>
      </c>
      <c r="G17" s="71">
        <v>1.9E-3</v>
      </c>
      <c r="H17" s="75">
        <v>1.9E-3</v>
      </c>
      <c r="AK17" s="60" t="s">
        <v>10</v>
      </c>
      <c r="AL17" s="164"/>
      <c r="AM17" s="55">
        <f>2*(60/SQRT(AM$13)*LN(1.9*(2*$C$1+$C$2)/(0.8*$C$3+$C$2)))*(1-0.347*(EXP(-2.9*($C$4/(2*$C$1+$C$2)))))</f>
        <v>100.00528899439632</v>
      </c>
      <c r="AN17" s="55">
        <f t="shared" ref="AN17:AR17" si="24">2*(60/SQRT(AN$13)*LN(1.9*(2*$C$1+$C$2)/(0.8*$C$3+$C$2)))*(1-0.347*(EXP(-2.9*($C$4/(2*$C$1+$C$2)))))</f>
        <v>100.00528899439632</v>
      </c>
      <c r="AO17" s="55">
        <f t="shared" si="24"/>
        <v>100.00528899439632</v>
      </c>
      <c r="AP17" s="55">
        <f t="shared" si="24"/>
        <v>100.00528899439632</v>
      </c>
      <c r="AQ17" s="55">
        <f t="shared" si="24"/>
        <v>100.00528899439632</v>
      </c>
      <c r="AR17" s="61">
        <f t="shared" si="24"/>
        <v>100.24308397877374</v>
      </c>
    </row>
    <row r="18" spans="1:44" ht="14.7" thickBot="1" x14ac:dyDescent="0.6">
      <c r="A18" s="104">
        <f>7/0.03937</f>
        <v>177.80035560071119</v>
      </c>
      <c r="B18" s="102">
        <v>0.70499999999999996</v>
      </c>
      <c r="C18" s="72">
        <v>1.5E-3</v>
      </c>
      <c r="D18" s="72">
        <v>1.5E-3</v>
      </c>
      <c r="E18" s="72">
        <v>1.5E-3</v>
      </c>
      <c r="F18" s="72">
        <v>1.5E-3</v>
      </c>
      <c r="G18" s="72">
        <v>1.5E-3</v>
      </c>
      <c r="H18" s="76">
        <v>1.5E-3</v>
      </c>
      <c r="AK18" s="57" t="s">
        <v>5</v>
      </c>
      <c r="AL18" s="162">
        <f>AC30</f>
        <v>80</v>
      </c>
      <c r="AM18" s="53">
        <f t="shared" ref="AM18:AR18" si="25">($M$1*($AL$18-$H$2)+1)*AVERAGE(C$46,L$46)</f>
        <v>3.0352646479723786</v>
      </c>
      <c r="AN18" s="53">
        <f t="shared" si="25"/>
        <v>3.0352646479723786</v>
      </c>
      <c r="AO18" s="53">
        <f t="shared" si="25"/>
        <v>3.0352646479723786</v>
      </c>
      <c r="AP18" s="53">
        <f t="shared" si="25"/>
        <v>3.0352646479723786</v>
      </c>
      <c r="AQ18" s="53">
        <f t="shared" si="25"/>
        <v>3.0352646479723786</v>
      </c>
      <c r="AR18" s="58">
        <f t="shared" si="25"/>
        <v>3.0208813190749133</v>
      </c>
    </row>
    <row r="19" spans="1:44" ht="14.7" thickBot="1" x14ac:dyDescent="0.6">
      <c r="AK19" s="57" t="s">
        <v>7</v>
      </c>
      <c r="AL19" s="162"/>
      <c r="AM19" s="54">
        <f>($M$2*($AL$18-$H$2)+1)*U$46</f>
        <v>2.1639987925237154E-3</v>
      </c>
      <c r="AN19" s="54">
        <f t="shared" ref="AN19:AR19" si="26">($M$2*($AL$18-$H$2)+1)*V$46</f>
        <v>2.1639987925237154E-3</v>
      </c>
      <c r="AO19" s="54">
        <f t="shared" si="26"/>
        <v>2.1639987925237154E-3</v>
      </c>
      <c r="AP19" s="54">
        <f t="shared" si="26"/>
        <v>2.1639987925237154E-3</v>
      </c>
      <c r="AQ19" s="54">
        <f t="shared" si="26"/>
        <v>2.1639987925237154E-3</v>
      </c>
      <c r="AR19" s="59">
        <f t="shared" si="26"/>
        <v>2.1639987925237154E-3</v>
      </c>
    </row>
    <row r="20" spans="1:44" x14ac:dyDescent="0.55000000000000004">
      <c r="A20" s="168" t="s">
        <v>15</v>
      </c>
      <c r="B20" s="169"/>
      <c r="C20" s="79">
        <f t="shared" ref="C20:H20" si="27">INTERCEPT(C10:C12,$B10:$B12)</f>
        <v>4.178461538461538</v>
      </c>
      <c r="D20" s="79">
        <f t="shared" si="27"/>
        <v>4.178461538461538</v>
      </c>
      <c r="E20" s="79">
        <f t="shared" si="27"/>
        <v>4.178461538461538</v>
      </c>
      <c r="F20" s="79">
        <f t="shared" si="27"/>
        <v>4.178461538461538</v>
      </c>
      <c r="G20" s="79">
        <f t="shared" si="27"/>
        <v>4.178461538461538</v>
      </c>
      <c r="H20" s="80">
        <f t="shared" si="27"/>
        <v>4.2412820512820524</v>
      </c>
      <c r="S20" s="168" t="s">
        <v>63</v>
      </c>
      <c r="T20" s="169"/>
      <c r="U20" s="105">
        <f t="shared" ref="U20:Z20" si="28">INTERCEPT(C16:C18,$B16:$B18)</f>
        <v>5.4717948717948718E-3</v>
      </c>
      <c r="V20" s="105">
        <f t="shared" si="28"/>
        <v>5.4717948717948718E-3</v>
      </c>
      <c r="W20" s="105">
        <f t="shared" si="28"/>
        <v>5.4717948717948718E-3</v>
      </c>
      <c r="X20" s="105">
        <f t="shared" si="28"/>
        <v>5.4717948717948718E-3</v>
      </c>
      <c r="Y20" s="105">
        <f t="shared" si="28"/>
        <v>5.4717948717948718E-3</v>
      </c>
      <c r="Z20" s="106">
        <f t="shared" si="28"/>
        <v>5.4717948717948718E-3</v>
      </c>
      <c r="AJ20" s="11"/>
      <c r="AK20" s="57" t="s">
        <v>8</v>
      </c>
      <c r="AL20" s="162"/>
      <c r="AM20" s="53">
        <f t="shared" ref="AM20:AR20" si="29">IF(AM$2=0,$C$2,SQRT(1/(($H$1/(1+$M$3*($AC$30-$H$2)))*PI()*(AM$2*1000000000)*0.999991*0.0000004*PI()))*1000000)</f>
        <v>2.279135237682588</v>
      </c>
      <c r="AN20" s="53">
        <f t="shared" si="29"/>
        <v>1.6115919818065716</v>
      </c>
      <c r="AO20" s="53">
        <f t="shared" si="29"/>
        <v>1.0192602642746815</v>
      </c>
      <c r="AP20" s="53">
        <f t="shared" si="29"/>
        <v>0.7207258446626198</v>
      </c>
      <c r="AQ20" s="53">
        <f t="shared" si="29"/>
        <v>0.58847018795327644</v>
      </c>
      <c r="AR20" s="58">
        <f t="shared" si="29"/>
        <v>0.50963013213734076</v>
      </c>
    </row>
    <row r="21" spans="1:44" ht="14.7" thickBot="1" x14ac:dyDescent="0.6">
      <c r="A21" s="170" t="s">
        <v>16</v>
      </c>
      <c r="B21" s="171"/>
      <c r="C21" s="81">
        <f t="shared" ref="C21:H21" si="30">SLOPE(C10:C12,$B10:$B12)*100%+C20</f>
        <v>2.5374358974358975</v>
      </c>
      <c r="D21" s="81">
        <f t="shared" si="30"/>
        <v>2.5374358974358975</v>
      </c>
      <c r="E21" s="81">
        <f t="shared" si="30"/>
        <v>2.5374358974358975</v>
      </c>
      <c r="F21" s="81">
        <f t="shared" si="30"/>
        <v>2.5374358974358975</v>
      </c>
      <c r="G21" s="81">
        <f t="shared" si="30"/>
        <v>2.5374358974358975</v>
      </c>
      <c r="H21" s="82">
        <f t="shared" si="30"/>
        <v>2.497692307692307</v>
      </c>
      <c r="S21" s="170" t="s">
        <v>64</v>
      </c>
      <c r="T21" s="171"/>
      <c r="U21" s="107">
        <f t="shared" ref="U21:Z21" si="31">SLOPE(C16:C18,$B16:$B18)*100%+U20</f>
        <v>-1.6923076923076961E-4</v>
      </c>
      <c r="V21" s="107">
        <f t="shared" si="31"/>
        <v>-1.6923076923076961E-4</v>
      </c>
      <c r="W21" s="107">
        <f t="shared" si="31"/>
        <v>-1.6923076923076961E-4</v>
      </c>
      <c r="X21" s="107">
        <f t="shared" si="31"/>
        <v>-1.6923076923076961E-4</v>
      </c>
      <c r="Y21" s="107">
        <f t="shared" si="31"/>
        <v>-1.6923076923076961E-4</v>
      </c>
      <c r="Z21" s="108">
        <f t="shared" si="31"/>
        <v>-1.6923076923076961E-4</v>
      </c>
      <c r="AK21" s="57" t="s">
        <v>20</v>
      </c>
      <c r="AL21" s="162"/>
      <c r="AM21" s="53">
        <f t="shared" ref="AM21:AR21" si="32">0.76*(1/(($H$1/(1+$M$3*($AC$30-$H$2)))*AM20*$C$3*0.000000000001))</f>
        <v>56.984700503438106</v>
      </c>
      <c r="AN21" s="53">
        <f t="shared" si="32"/>
        <v>80.588536299731118</v>
      </c>
      <c r="AO21" s="53">
        <f t="shared" si="32"/>
        <v>127.42166400315406</v>
      </c>
      <c r="AP21" s="53">
        <f t="shared" si="32"/>
        <v>180.20144537340809</v>
      </c>
      <c r="AQ21" s="53">
        <f t="shared" si="32"/>
        <v>220.7007960384332</v>
      </c>
      <c r="AR21" s="58">
        <f t="shared" si="32"/>
        <v>254.84332800630813</v>
      </c>
    </row>
    <row r="22" spans="1:44" ht="14.7" thickBot="1" x14ac:dyDescent="0.6">
      <c r="AK22" s="64" t="s">
        <v>10</v>
      </c>
      <c r="AL22" s="163"/>
      <c r="AM22" s="65">
        <f>2*(60/SQRT(AM$18)*LN(1.9*(2*$C$1+$C$2)/(0.8*$C$3+$C$2)))*(1-0.347*(EXP(-2.9*($C$4/(2*$C$1+$C$2)))))</f>
        <v>99.796076658418571</v>
      </c>
      <c r="AN22" s="65">
        <f t="shared" ref="AN22:AR22" si="33">2*(60/SQRT(AN$18)*LN(1.9*(2*$C$1+$C$2)/(0.8*$C$3+$C$2)))*(1-0.347*(EXP(-2.9*($C$4/(2*$C$1+$C$2)))))</f>
        <v>99.796076658418571</v>
      </c>
      <c r="AO22" s="65">
        <f t="shared" si="33"/>
        <v>99.796076658418571</v>
      </c>
      <c r="AP22" s="65">
        <f t="shared" si="33"/>
        <v>99.796076658418571</v>
      </c>
      <c r="AQ22" s="65">
        <f>2*(60/SQRT(AQ$18)*LN(1.9*(2*$C$1+$C$2)/(0.8*$C$3+$C$2)))*(1-0.347*(EXP(-2.9*($C$4/(2*$C$1+$C$2)))))</f>
        <v>99.796076658418571</v>
      </c>
      <c r="AR22" s="66">
        <f t="shared" si="33"/>
        <v>100.0333741726655</v>
      </c>
    </row>
    <row r="23" spans="1:44" x14ac:dyDescent="0.55000000000000004">
      <c r="A23" s="159" t="s">
        <v>17</v>
      </c>
      <c r="B23" s="160"/>
      <c r="C23" s="160"/>
      <c r="D23" s="160"/>
      <c r="E23" s="160"/>
      <c r="F23" s="160"/>
      <c r="G23" s="160"/>
      <c r="H23" s="161"/>
      <c r="J23" s="159" t="s">
        <v>18</v>
      </c>
      <c r="K23" s="160"/>
      <c r="L23" s="160"/>
      <c r="M23" s="160"/>
      <c r="N23" s="160"/>
      <c r="O23" s="160"/>
      <c r="P23" s="160"/>
      <c r="Q23" s="161"/>
      <c r="S23" s="159" t="s">
        <v>65</v>
      </c>
      <c r="T23" s="160"/>
      <c r="U23" s="160"/>
      <c r="V23" s="160"/>
      <c r="W23" s="160"/>
      <c r="X23" s="160"/>
      <c r="Y23" s="160"/>
      <c r="Z23" s="161"/>
    </row>
    <row r="24" spans="1:44" ht="14.7" thickBot="1" x14ac:dyDescent="0.6">
      <c r="A24" s="57" t="str">
        <f t="shared" ref="A24:H24" si="34">A9</f>
        <v>Thickness (um)</v>
      </c>
      <c r="B24" s="52" t="str">
        <f t="shared" si="34"/>
        <v>RC (%)</v>
      </c>
      <c r="C24" s="83">
        <f t="shared" si="34"/>
        <v>1</v>
      </c>
      <c r="D24" s="83">
        <f t="shared" si="34"/>
        <v>2</v>
      </c>
      <c r="E24" s="83">
        <f t="shared" si="34"/>
        <v>5</v>
      </c>
      <c r="F24" s="83">
        <f t="shared" si="34"/>
        <v>10</v>
      </c>
      <c r="G24" s="83">
        <f t="shared" si="34"/>
        <v>15</v>
      </c>
      <c r="H24" s="84">
        <f t="shared" si="34"/>
        <v>20</v>
      </c>
      <c r="J24" s="57" t="str">
        <f t="shared" ref="J24:Q24" si="35">A9</f>
        <v>Thickness (um)</v>
      </c>
      <c r="K24" s="52" t="str">
        <f t="shared" si="35"/>
        <v>RC (%)</v>
      </c>
      <c r="L24" s="83">
        <f t="shared" si="35"/>
        <v>1</v>
      </c>
      <c r="M24" s="83">
        <f t="shared" si="35"/>
        <v>2</v>
      </c>
      <c r="N24" s="83">
        <f t="shared" si="35"/>
        <v>5</v>
      </c>
      <c r="O24" s="83">
        <f t="shared" si="35"/>
        <v>10</v>
      </c>
      <c r="P24" s="83">
        <f t="shared" si="35"/>
        <v>15</v>
      </c>
      <c r="Q24" s="84">
        <f t="shared" si="35"/>
        <v>20</v>
      </c>
      <c r="S24" s="73" t="str">
        <f>A9</f>
        <v>Thickness (um)</v>
      </c>
      <c r="T24" s="74" t="str">
        <f>B9</f>
        <v>RC (%)</v>
      </c>
      <c r="U24" s="83">
        <f t="shared" ref="U24:Z24" si="36">C9</f>
        <v>1</v>
      </c>
      <c r="V24" s="83">
        <f t="shared" si="36"/>
        <v>2</v>
      </c>
      <c r="W24" s="83">
        <f t="shared" si="36"/>
        <v>5</v>
      </c>
      <c r="X24" s="83">
        <f t="shared" si="36"/>
        <v>10</v>
      </c>
      <c r="Y24" s="83">
        <f t="shared" si="36"/>
        <v>15</v>
      </c>
      <c r="Z24" s="84">
        <f t="shared" si="36"/>
        <v>20</v>
      </c>
    </row>
    <row r="25" spans="1:44" x14ac:dyDescent="0.55000000000000004">
      <c r="A25" s="112">
        <f t="shared" ref="A25:B27" si="37">A10</f>
        <v>127.00025400050799</v>
      </c>
      <c r="B25" s="114">
        <f t="shared" si="37"/>
        <v>0.6</v>
      </c>
      <c r="C25" s="69">
        <f t="shared" ref="C25:H27" si="38">((C$20*(100%-$B25))+(C$21*$B25))/100%</f>
        <v>3.1938461538461538</v>
      </c>
      <c r="D25" s="69">
        <f t="shared" si="38"/>
        <v>3.1938461538461538</v>
      </c>
      <c r="E25" s="69">
        <f t="shared" si="38"/>
        <v>3.1938461538461538</v>
      </c>
      <c r="F25" s="69">
        <f t="shared" si="38"/>
        <v>3.1938461538461538</v>
      </c>
      <c r="G25" s="69">
        <f t="shared" si="38"/>
        <v>3.1938461538461538</v>
      </c>
      <c r="H25" s="70">
        <f t="shared" si="38"/>
        <v>3.1951282051282055</v>
      </c>
      <c r="J25" s="112">
        <f t="shared" ref="J25:K27" si="39">A10</f>
        <v>127.00025400050799</v>
      </c>
      <c r="K25" s="114">
        <f t="shared" si="39"/>
        <v>0.6</v>
      </c>
      <c r="L25" s="69">
        <f t="shared" ref="L25:Q27" si="40">100%/((100%-$K25)/C$20+$K25/C$21)</f>
        <v>3.0103418305631466</v>
      </c>
      <c r="M25" s="69">
        <f t="shared" si="40"/>
        <v>3.0103418305631466</v>
      </c>
      <c r="N25" s="69">
        <f t="shared" si="40"/>
        <v>3.0103418305631466</v>
      </c>
      <c r="O25" s="69">
        <f t="shared" si="40"/>
        <v>3.0103418305631466</v>
      </c>
      <c r="P25" s="69">
        <f t="shared" si="40"/>
        <v>3.0103418305631466</v>
      </c>
      <c r="Q25" s="70">
        <f t="shared" si="40"/>
        <v>2.9892430693537704</v>
      </c>
      <c r="S25" s="112">
        <f t="shared" ref="S25:T27" si="41">A10</f>
        <v>127.00025400050799</v>
      </c>
      <c r="T25" s="114">
        <f>B10</f>
        <v>0.6</v>
      </c>
      <c r="U25" s="110">
        <f>((U$20*(100%-$T25))+(U$21*$T25))/100%</f>
        <v>2.0871794871794871E-3</v>
      </c>
      <c r="V25" s="110">
        <f t="shared" ref="V25:Z25" si="42">((V$20*(100%-$T25))+(V$21*$T25))/100%</f>
        <v>2.0871794871794871E-3</v>
      </c>
      <c r="W25" s="110">
        <f t="shared" si="42"/>
        <v>2.0871794871794871E-3</v>
      </c>
      <c r="X25" s="110">
        <f t="shared" si="42"/>
        <v>2.0871794871794871E-3</v>
      </c>
      <c r="Y25" s="110">
        <f t="shared" si="42"/>
        <v>2.0871794871794871E-3</v>
      </c>
      <c r="Z25" s="111">
        <f t="shared" si="42"/>
        <v>2.0871794871794871E-3</v>
      </c>
      <c r="AB25" s="159" t="s">
        <v>19</v>
      </c>
      <c r="AC25" s="160"/>
      <c r="AD25" s="160"/>
      <c r="AE25" s="160"/>
      <c r="AF25" s="160"/>
      <c r="AG25" s="160"/>
      <c r="AH25" s="160"/>
      <c r="AI25" s="161"/>
    </row>
    <row r="26" spans="1:44" x14ac:dyDescent="0.55000000000000004">
      <c r="A26" s="112">
        <f t="shared" si="37"/>
        <v>139.7002794005588</v>
      </c>
      <c r="B26" s="114">
        <f t="shared" si="37"/>
        <v>0.63</v>
      </c>
      <c r="C26" s="69">
        <f t="shared" si="38"/>
        <v>3.1446153846153848</v>
      </c>
      <c r="D26" s="69">
        <f t="shared" si="38"/>
        <v>3.1446153846153848</v>
      </c>
      <c r="E26" s="69">
        <f t="shared" si="38"/>
        <v>3.1446153846153848</v>
      </c>
      <c r="F26" s="69">
        <f t="shared" si="38"/>
        <v>3.1446153846153848</v>
      </c>
      <c r="G26" s="69">
        <f t="shared" si="38"/>
        <v>3.1446153846153848</v>
      </c>
      <c r="H26" s="70">
        <f t="shared" si="38"/>
        <v>3.1428205128205127</v>
      </c>
      <c r="J26" s="112">
        <f t="shared" si="39"/>
        <v>139.7002794005588</v>
      </c>
      <c r="K26" s="114">
        <f t="shared" si="39"/>
        <v>0.63</v>
      </c>
      <c r="L26" s="69">
        <f t="shared" si="40"/>
        <v>2.9688437237661818</v>
      </c>
      <c r="M26" s="69">
        <f t="shared" si="40"/>
        <v>2.9688437237661818</v>
      </c>
      <c r="N26" s="69">
        <f t="shared" si="40"/>
        <v>2.9688437237661818</v>
      </c>
      <c r="O26" s="69">
        <f t="shared" si="40"/>
        <v>2.9688437237661818</v>
      </c>
      <c r="P26" s="69">
        <f t="shared" si="40"/>
        <v>2.9688437237661818</v>
      </c>
      <c r="Q26" s="70">
        <f t="shared" si="40"/>
        <v>2.9457631701631697</v>
      </c>
      <c r="S26" s="112">
        <f t="shared" si="41"/>
        <v>139.7002794005588</v>
      </c>
      <c r="T26" s="114">
        <f t="shared" si="41"/>
        <v>0.63</v>
      </c>
      <c r="U26" s="110">
        <f t="shared" ref="U26:Z27" si="43">((U$20*(100%-$T26))+(U$21*$T26))/100%</f>
        <v>1.9179487179487177E-3</v>
      </c>
      <c r="V26" s="110">
        <f t="shared" si="43"/>
        <v>1.9179487179487177E-3</v>
      </c>
      <c r="W26" s="110">
        <f t="shared" si="43"/>
        <v>1.9179487179487177E-3</v>
      </c>
      <c r="X26" s="110">
        <f t="shared" si="43"/>
        <v>1.9179487179487177E-3</v>
      </c>
      <c r="Y26" s="110">
        <f t="shared" si="43"/>
        <v>1.9179487179487177E-3</v>
      </c>
      <c r="Z26" s="111">
        <f t="shared" si="43"/>
        <v>1.9179487179487177E-3</v>
      </c>
      <c r="AB26" s="172" t="s">
        <v>2</v>
      </c>
      <c r="AC26" s="173"/>
      <c r="AD26" s="53">
        <f t="shared" ref="AD26:AI26" si="44">AD2</f>
        <v>1</v>
      </c>
      <c r="AE26" s="53">
        <f t="shared" si="44"/>
        <v>2</v>
      </c>
      <c r="AF26" s="53">
        <f t="shared" si="44"/>
        <v>5</v>
      </c>
      <c r="AG26" s="53">
        <f t="shared" si="44"/>
        <v>10</v>
      </c>
      <c r="AH26" s="53">
        <f t="shared" si="44"/>
        <v>15</v>
      </c>
      <c r="AI26" s="58">
        <f t="shared" si="44"/>
        <v>20</v>
      </c>
    </row>
    <row r="27" spans="1:44" ht="14.7" thickBot="1" x14ac:dyDescent="0.6">
      <c r="A27" s="113">
        <f t="shared" si="37"/>
        <v>177.80035560071119</v>
      </c>
      <c r="B27" s="115">
        <f t="shared" si="37"/>
        <v>0.70499999999999996</v>
      </c>
      <c r="C27" s="67">
        <f t="shared" si="38"/>
        <v>3.0215384615384613</v>
      </c>
      <c r="D27" s="67">
        <f t="shared" si="38"/>
        <v>3.0215384615384613</v>
      </c>
      <c r="E27" s="67">
        <f t="shared" si="38"/>
        <v>3.0215384615384613</v>
      </c>
      <c r="F27" s="67">
        <f t="shared" si="38"/>
        <v>3.0215384615384613</v>
      </c>
      <c r="G27" s="67">
        <f t="shared" si="38"/>
        <v>3.0215384615384613</v>
      </c>
      <c r="H27" s="68">
        <f t="shared" si="38"/>
        <v>3.0120512820512819</v>
      </c>
      <c r="J27" s="113">
        <f t="shared" si="39"/>
        <v>177.80035560071119</v>
      </c>
      <c r="K27" s="115">
        <f t="shared" si="39"/>
        <v>0.70499999999999996</v>
      </c>
      <c r="L27" s="67">
        <f t="shared" si="40"/>
        <v>2.8699372143680861</v>
      </c>
      <c r="M27" s="67">
        <f t="shared" si="40"/>
        <v>2.8699372143680861</v>
      </c>
      <c r="N27" s="67">
        <f t="shared" si="40"/>
        <v>2.8699372143680861</v>
      </c>
      <c r="O27" s="67">
        <f t="shared" si="40"/>
        <v>2.8699372143680861</v>
      </c>
      <c r="P27" s="67">
        <f t="shared" si="40"/>
        <v>2.8699372143680861</v>
      </c>
      <c r="Q27" s="68">
        <f t="shared" si="40"/>
        <v>2.8424030589293743</v>
      </c>
      <c r="S27" s="113">
        <f t="shared" si="41"/>
        <v>177.80035560071119</v>
      </c>
      <c r="T27" s="115">
        <f t="shared" si="41"/>
        <v>0.70499999999999996</v>
      </c>
      <c r="U27" s="99">
        <f t="shared" si="43"/>
        <v>1.4948717948717947E-3</v>
      </c>
      <c r="V27" s="99">
        <f t="shared" si="43"/>
        <v>1.4948717948717947E-3</v>
      </c>
      <c r="W27" s="99">
        <f t="shared" si="43"/>
        <v>1.4948717948717947E-3</v>
      </c>
      <c r="X27" s="99">
        <f t="shared" si="43"/>
        <v>1.4948717948717947E-3</v>
      </c>
      <c r="Y27" s="99">
        <f t="shared" si="43"/>
        <v>1.4948717948717947E-3</v>
      </c>
      <c r="Z27" s="100">
        <f t="shared" si="43"/>
        <v>1.4948717948717947E-3</v>
      </c>
      <c r="AB27" s="57"/>
      <c r="AC27" s="71">
        <v>-40</v>
      </c>
      <c r="AD27" s="69">
        <f t="shared" ref="AD27:AI27" si="45">(20*LOG(EXP(1))*(2*PI()/(2*0.299795637693216))*SQRT(AM$3)*(AM$2)*AM$4)+(20*LOG(EXP(1))*AM6/(AM7))*(1+(2/PI())*ATAN(1.4*($H$3/AM$5)^2))</f>
        <v>4.1386938331567649</v>
      </c>
      <c r="AE27" s="69">
        <f t="shared" si="45"/>
        <v>6.1062848930634042</v>
      </c>
      <c r="AF27" s="69">
        <f t="shared" si="45"/>
        <v>10.647478237630398</v>
      </c>
      <c r="AG27" s="69">
        <f t="shared" si="45"/>
        <v>17.01696381104626</v>
      </c>
      <c r="AH27" s="69">
        <f t="shared" si="45"/>
        <v>22.877142206779929</v>
      </c>
      <c r="AI27" s="70">
        <f t="shared" si="45"/>
        <v>28.348633548522436</v>
      </c>
    </row>
    <row r="28" spans="1:44" x14ac:dyDescent="0.55000000000000004">
      <c r="AB28" s="57"/>
      <c r="AC28" s="71">
        <v>0</v>
      </c>
      <c r="AD28" s="69">
        <f t="shared" ref="AD28:AI28" si="46">(20*LOG(EXP(1))*(2*PI()/(2*0.299795637693216))*SQRT(AM$8)*AM$2*AM9)+(20*LOG(EXP(1))*AM11/(AM12))*(1+(2/PI())*ATAN(1.4*($H$3/AM$10)^2))</f>
        <v>4.5795369453438832</v>
      </c>
      <c r="AE28" s="69">
        <f t="shared" si="46"/>
        <v>6.7433224794482642</v>
      </c>
      <c r="AF28" s="69">
        <f t="shared" si="46"/>
        <v>11.681765120804144</v>
      </c>
      <c r="AG28" s="69">
        <f t="shared" si="46"/>
        <v>18.512844948536991</v>
      </c>
      <c r="AH28" s="69">
        <f t="shared" si="46"/>
        <v>24.775864015139682</v>
      </c>
      <c r="AI28" s="70">
        <f t="shared" si="46"/>
        <v>30.659562487207804</v>
      </c>
    </row>
    <row r="29" spans="1:44" x14ac:dyDescent="0.55000000000000004">
      <c r="AB29" s="57"/>
      <c r="AC29" s="71">
        <v>25</v>
      </c>
      <c r="AD29" s="69">
        <f t="shared" ref="AD29:AI29" si="47">(20*LOG(EXP(1))*(2*PI()/(2*0.299795637693216))*SQRT(AM$13)*AM$2*AM14)+((20*LOG(EXP(1))*AM16/(AM17))*(1+(2/PI())*ATAN(1.4*($H$3/AM$15)^2)))</f>
        <v>4.838680496759828</v>
      </c>
      <c r="AE29" s="69">
        <f t="shared" si="47"/>
        <v>7.1198335377661364</v>
      </c>
      <c r="AF29" s="69">
        <f t="shared" si="47"/>
        <v>12.300307817324056</v>
      </c>
      <c r="AG29" s="69">
        <f t="shared" si="47"/>
        <v>19.415744209034099</v>
      </c>
      <c r="AH29" s="69">
        <f t="shared" si="47"/>
        <v>25.918889561661722</v>
      </c>
      <c r="AI29" s="70">
        <f t="shared" si="47"/>
        <v>32.036849805421923</v>
      </c>
    </row>
    <row r="30" spans="1:44" ht="14.7" thickBot="1" x14ac:dyDescent="0.6">
      <c r="AB30" s="64"/>
      <c r="AC30" s="72">
        <v>80</v>
      </c>
      <c r="AD30" s="67">
        <f t="shared" ref="AD30:AI30" si="48">(20*LOG(EXP(1))*(2*PI()/(2*0.299795637693216))*SQRT(AM$18)*AM$2*AM19)+(20*LOG(EXP(1))*AM21/(AM22))*(1+(2/PI())*ATAN(1.4*($H$3/AM$20)^2))</f>
        <v>5.3741973277626434</v>
      </c>
      <c r="AE30" s="67">
        <f t="shared" si="48"/>
        <v>7.9020065771576675</v>
      </c>
      <c r="AF30" s="67">
        <f t="shared" si="48"/>
        <v>13.600008545436953</v>
      </c>
      <c r="AG30" s="67">
        <f t="shared" si="48"/>
        <v>21.333449341067329</v>
      </c>
      <c r="AH30" s="67">
        <f t="shared" si="48"/>
        <v>28.350674248443262</v>
      </c>
      <c r="AI30" s="68">
        <f t="shared" si="48"/>
        <v>34.951438220675662</v>
      </c>
    </row>
    <row r="34" spans="1:44" x14ac:dyDescent="0.55000000000000004">
      <c r="B34" s="9"/>
    </row>
    <row r="35" spans="1:44" x14ac:dyDescent="0.55000000000000004">
      <c r="B35" s="9"/>
    </row>
    <row r="37" spans="1:44" x14ac:dyDescent="0.55000000000000004">
      <c r="AK37" s="10"/>
    </row>
    <row r="38" spans="1:44" x14ac:dyDescent="0.55000000000000004">
      <c r="AB38" s="10"/>
      <c r="AL38" s="6"/>
      <c r="AM38" s="6"/>
      <c r="AN38" s="6"/>
      <c r="AO38" s="6"/>
      <c r="AP38" s="6"/>
      <c r="AQ38" s="6"/>
    </row>
    <row r="39" spans="1:44" x14ac:dyDescent="0.55000000000000004">
      <c r="AL39" s="6"/>
      <c r="AM39" s="6"/>
      <c r="AN39" s="6"/>
      <c r="AO39" s="6"/>
      <c r="AP39" s="6"/>
      <c r="AQ39" s="6"/>
    </row>
    <row r="40" spans="1:44" x14ac:dyDescent="0.55000000000000004">
      <c r="AL40" s="6"/>
      <c r="AM40" s="6"/>
      <c r="AN40" s="6"/>
      <c r="AO40" s="6"/>
      <c r="AP40" s="6"/>
      <c r="AQ40" s="6"/>
    </row>
    <row r="43" spans="1:44" ht="14.7" thickBot="1" x14ac:dyDescent="0.6"/>
    <row r="44" spans="1:44" x14ac:dyDescent="0.55000000000000004">
      <c r="A44" s="159" t="str">
        <f>_xlfn.CONCAT("DK_InPlane (Thickness = ",$C$1,"µm)")</f>
        <v>DK_InPlane (Thickness = 152µm)</v>
      </c>
      <c r="B44" s="160"/>
      <c r="C44" s="160"/>
      <c r="D44" s="160"/>
      <c r="E44" s="160"/>
      <c r="F44" s="160"/>
      <c r="G44" s="160"/>
      <c r="H44" s="161"/>
      <c r="J44" s="159" t="str">
        <f>_xlfn.CONCAT("DK_OutofPlane (Thickness = ",$C$1,"µm)")</f>
        <v>DK_OutofPlane (Thickness = 152µm)</v>
      </c>
      <c r="K44" s="160"/>
      <c r="L44" s="160"/>
      <c r="M44" s="160"/>
      <c r="N44" s="160"/>
      <c r="O44" s="160"/>
      <c r="P44" s="160"/>
      <c r="Q44" s="161"/>
      <c r="R44" s="109"/>
      <c r="S44" s="159" t="str">
        <f>_xlfn.CONCAT("DF (Thickness = ",$C$1,"µm)")</f>
        <v>DF (Thickness = 152µm)</v>
      </c>
      <c r="T44" s="160"/>
      <c r="U44" s="160"/>
      <c r="V44" s="160"/>
      <c r="W44" s="160"/>
      <c r="X44" s="160"/>
      <c r="Y44" s="160"/>
      <c r="Z44" s="161"/>
      <c r="AR44" s="8"/>
    </row>
    <row r="45" spans="1:44" x14ac:dyDescent="0.55000000000000004">
      <c r="A45" s="57" t="str">
        <f t="shared" ref="A45:H45" si="49">A24</f>
        <v>Thickness (um)</v>
      </c>
      <c r="B45" s="74" t="str">
        <f t="shared" si="49"/>
        <v>RC (%)</v>
      </c>
      <c r="C45" s="53">
        <f t="shared" si="49"/>
        <v>1</v>
      </c>
      <c r="D45" s="53">
        <f t="shared" si="49"/>
        <v>2</v>
      </c>
      <c r="E45" s="53">
        <f t="shared" si="49"/>
        <v>5</v>
      </c>
      <c r="F45" s="53">
        <f t="shared" si="49"/>
        <v>10</v>
      </c>
      <c r="G45" s="53">
        <f t="shared" si="49"/>
        <v>15</v>
      </c>
      <c r="H45" s="58">
        <f t="shared" si="49"/>
        <v>20</v>
      </c>
      <c r="J45" s="57" t="str">
        <f t="shared" ref="J45:Q45" si="50">J24</f>
        <v>Thickness (um)</v>
      </c>
      <c r="K45" s="74" t="str">
        <f t="shared" si="50"/>
        <v>RC (%)</v>
      </c>
      <c r="L45" s="53">
        <f t="shared" si="50"/>
        <v>1</v>
      </c>
      <c r="M45" s="53">
        <f t="shared" si="50"/>
        <v>2</v>
      </c>
      <c r="N45" s="53">
        <f t="shared" si="50"/>
        <v>5</v>
      </c>
      <c r="O45" s="53">
        <f t="shared" si="50"/>
        <v>10</v>
      </c>
      <c r="P45" s="53">
        <f t="shared" si="50"/>
        <v>15</v>
      </c>
      <c r="Q45" s="58">
        <f t="shared" si="50"/>
        <v>20</v>
      </c>
      <c r="R45" s="109"/>
      <c r="S45" s="57" t="str">
        <f t="shared" ref="S45:Z45" si="51">S24</f>
        <v>Thickness (um)</v>
      </c>
      <c r="T45" s="74" t="str">
        <f t="shared" si="51"/>
        <v>RC (%)</v>
      </c>
      <c r="U45" s="53">
        <f t="shared" si="51"/>
        <v>1</v>
      </c>
      <c r="V45" s="53">
        <f t="shared" si="51"/>
        <v>2</v>
      </c>
      <c r="W45" s="53">
        <f t="shared" si="51"/>
        <v>5</v>
      </c>
      <c r="X45" s="53">
        <f t="shared" si="51"/>
        <v>10</v>
      </c>
      <c r="Y45" s="53">
        <f t="shared" si="51"/>
        <v>15</v>
      </c>
      <c r="Z45" s="58">
        <f t="shared" si="51"/>
        <v>20</v>
      </c>
    </row>
    <row r="46" spans="1:44" ht="14.7" thickBot="1" x14ac:dyDescent="0.6">
      <c r="A46" s="64">
        <f>C1</f>
        <v>152</v>
      </c>
      <c r="B46" s="116">
        <f>SLOPE(B10:B12,A10:A12)*A46+INTERCEPT(B10:B12,A10:A12)</f>
        <v>0.65283553846153852</v>
      </c>
      <c r="C46" s="67">
        <f t="shared" ref="C46:H46" si="52">((C$20*(100%-$B46))+(C$21*$B46))/100%</f>
        <v>3.1071416804733722</v>
      </c>
      <c r="D46" s="67">
        <f t="shared" si="52"/>
        <v>3.1071416804733722</v>
      </c>
      <c r="E46" s="67">
        <f t="shared" si="52"/>
        <v>3.1071416804733722</v>
      </c>
      <c r="F46" s="67">
        <f t="shared" si="52"/>
        <v>3.1071416804733722</v>
      </c>
      <c r="G46" s="67">
        <f t="shared" si="52"/>
        <v>3.1071416804733722</v>
      </c>
      <c r="H46" s="68">
        <f t="shared" si="52"/>
        <v>3.103004702169625</v>
      </c>
      <c r="J46" s="64">
        <f>A46</f>
        <v>152</v>
      </c>
      <c r="K46" s="116">
        <f>SLOPE(B10:B12,A10:A12)*A46+INTERCEPT(B10:B12,A10:A12)</f>
        <v>0.65283553846153852</v>
      </c>
      <c r="L46" s="67">
        <f t="shared" ref="L46:Q46" si="53">100%/((100%-$K46)/C$20+$K46/C$21)</f>
        <v>2.9380149343195523</v>
      </c>
      <c r="M46" s="67">
        <f t="shared" si="53"/>
        <v>2.9380149343195523</v>
      </c>
      <c r="N46" s="67">
        <f t="shared" si="53"/>
        <v>2.9380149343195523</v>
      </c>
      <c r="O46" s="67">
        <f t="shared" si="53"/>
        <v>2.9380149343195523</v>
      </c>
      <c r="P46" s="67">
        <f t="shared" si="53"/>
        <v>2.9380149343195523</v>
      </c>
      <c r="Q46" s="68">
        <f t="shared" si="53"/>
        <v>2.9135054893582515</v>
      </c>
      <c r="R46" s="109"/>
      <c r="S46" s="64">
        <f>J46</f>
        <v>152</v>
      </c>
      <c r="T46" s="116">
        <f>SLOPE(B10:B12,A10:A12)*S46+INTERCEPT(B10:B12,A10:A12)</f>
        <v>0.65283553846153852</v>
      </c>
      <c r="U46" s="99">
        <f>((U$20*(100%-$T46))+(U$21*$T46))/100%</f>
        <v>1.7891328599605517E-3</v>
      </c>
      <c r="V46" s="99">
        <f t="shared" ref="V46:Z46" si="54">((V$20*(100%-$T46))+(V$21*$T46))/100%</f>
        <v>1.7891328599605517E-3</v>
      </c>
      <c r="W46" s="99">
        <f t="shared" si="54"/>
        <v>1.7891328599605517E-3</v>
      </c>
      <c r="X46" s="99">
        <f t="shared" si="54"/>
        <v>1.7891328599605517E-3</v>
      </c>
      <c r="Y46" s="99">
        <f t="shared" si="54"/>
        <v>1.7891328599605517E-3</v>
      </c>
      <c r="Z46" s="100">
        <f t="shared" si="54"/>
        <v>1.7891328599605517E-3</v>
      </c>
    </row>
    <row r="47" spans="1:44" x14ac:dyDescent="0.55000000000000004">
      <c r="G47" s="6"/>
      <c r="K47" s="7"/>
      <c r="R47" s="109"/>
    </row>
    <row r="55" spans="45:45" x14ac:dyDescent="0.55000000000000004">
      <c r="AS55" s="8"/>
    </row>
  </sheetData>
  <mergeCells count="35">
    <mergeCell ref="A44:H44"/>
    <mergeCell ref="J44:Q44"/>
    <mergeCell ref="S44:Z44"/>
    <mergeCell ref="AL13:AL17"/>
    <mergeCell ref="A14:H14"/>
    <mergeCell ref="AL18:AL22"/>
    <mergeCell ref="A20:B20"/>
    <mergeCell ref="S20:T20"/>
    <mergeCell ref="A21:B21"/>
    <mergeCell ref="S21:T21"/>
    <mergeCell ref="A23:H23"/>
    <mergeCell ref="J23:Q23"/>
    <mergeCell ref="S23:Z23"/>
    <mergeCell ref="AB25:AI25"/>
    <mergeCell ref="AB26:AC26"/>
    <mergeCell ref="A3:B3"/>
    <mergeCell ref="E3:G3"/>
    <mergeCell ref="AC3:AC5"/>
    <mergeCell ref="AL3:AL7"/>
    <mergeCell ref="A4:B4"/>
    <mergeCell ref="A6:H7"/>
    <mergeCell ref="AB6:AI6"/>
    <mergeCell ref="AC7:AC10"/>
    <mergeCell ref="A8:H8"/>
    <mergeCell ref="AL8:AL12"/>
    <mergeCell ref="A1:B1"/>
    <mergeCell ref="E1:G1"/>
    <mergeCell ref="J1:L1"/>
    <mergeCell ref="AB1:AI1"/>
    <mergeCell ref="AK1:AR1"/>
    <mergeCell ref="A2:B2"/>
    <mergeCell ref="E2:G2"/>
    <mergeCell ref="J2:L2"/>
    <mergeCell ref="AB2:AC2"/>
    <mergeCell ref="AK2:AL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553EC-EFDE-4459-A231-E0F69441CE6C}">
  <sheetPr>
    <tabColor theme="0" tint="-4.9989318521683403E-2"/>
  </sheetPr>
  <dimension ref="A1:AS55"/>
  <sheetViews>
    <sheetView zoomScaleNormal="100" workbookViewId="0">
      <selection activeCell="H4" sqref="H4"/>
    </sheetView>
  </sheetViews>
  <sheetFormatPr defaultRowHeight="14.4" x14ac:dyDescent="0.55000000000000004"/>
  <cols>
    <col min="1" max="1" width="12.3671875" style="5" bestFit="1" customWidth="1"/>
    <col min="2" max="2" width="7.83984375" style="5" customWidth="1"/>
    <col min="3" max="4" width="7.05078125" style="5" bestFit="1" customWidth="1"/>
    <col min="5" max="7" width="7.05078125" style="5" customWidth="1"/>
    <col min="8" max="8" width="7.89453125" style="5" customWidth="1"/>
    <col min="9" max="9" width="1.9453125" style="5" customWidth="1"/>
    <col min="10" max="10" width="12.3671875" style="5" bestFit="1" customWidth="1"/>
    <col min="11" max="11" width="6.5234375" style="5" customWidth="1"/>
    <col min="12" max="12" width="7.20703125" style="5" bestFit="1" customWidth="1"/>
    <col min="13" max="13" width="8.734375" style="5" bestFit="1" customWidth="1"/>
    <col min="14" max="15" width="7.20703125" style="5" bestFit="1" customWidth="1"/>
    <col min="16" max="16" width="7" style="5" customWidth="1"/>
    <col min="17" max="17" width="7.15625" style="5" customWidth="1"/>
    <col min="18" max="18" width="2.5234375" style="5" customWidth="1"/>
    <col min="19" max="19" width="13.20703125" style="5" bestFit="1" customWidth="1"/>
    <col min="20" max="20" width="7.05078125" style="5" bestFit="1" customWidth="1"/>
    <col min="21" max="26" width="7.15625" style="5" customWidth="1"/>
    <col min="27" max="27" width="2.47265625" style="5" customWidth="1"/>
    <col min="28" max="28" width="18.20703125" style="5" bestFit="1" customWidth="1"/>
    <col min="29" max="29" width="3.47265625" style="5" customWidth="1"/>
    <col min="30" max="35" width="6.7890625" style="5" customWidth="1"/>
    <col min="36" max="36" width="2.41796875" style="5" customWidth="1"/>
    <col min="37" max="37" width="7.05078125" style="5" bestFit="1" customWidth="1"/>
    <col min="38" max="38" width="4.20703125" style="5" customWidth="1"/>
    <col min="39" max="44" width="7.1015625" style="5" customWidth="1"/>
    <col min="45" max="45" width="4.62890625" style="5" customWidth="1"/>
    <col min="46" max="16384" width="8.83984375" style="5"/>
  </cols>
  <sheetData>
    <row r="1" spans="1:44" x14ac:dyDescent="0.55000000000000004">
      <c r="A1" s="154" t="s">
        <v>51</v>
      </c>
      <c r="B1" s="154"/>
      <c r="C1" s="1">
        <v>64</v>
      </c>
      <c r="D1" s="51"/>
      <c r="E1" s="158" t="s">
        <v>29</v>
      </c>
      <c r="F1" s="158"/>
      <c r="G1" s="158"/>
      <c r="H1" s="2">
        <v>59600000</v>
      </c>
      <c r="J1" s="155" t="s">
        <v>27</v>
      </c>
      <c r="K1" s="155"/>
      <c r="L1" s="155"/>
      <c r="M1" s="4">
        <v>0</v>
      </c>
      <c r="O1" s="3"/>
      <c r="P1" s="5" t="s">
        <v>0</v>
      </c>
      <c r="AB1" s="159" t="str">
        <f>_xlfn.CONCAT("Stripline Parameters (dB/m)")</f>
        <v>Stripline Parameters (dB/m)</v>
      </c>
      <c r="AC1" s="160"/>
      <c r="AD1" s="160"/>
      <c r="AE1" s="160"/>
      <c r="AF1" s="160"/>
      <c r="AG1" s="160"/>
      <c r="AH1" s="160"/>
      <c r="AI1" s="161"/>
      <c r="AK1" s="159" t="str">
        <f>_xlfn.CONCAT("Stripline Parameters and Loss Decomposition vs Temperature")</f>
        <v>Stripline Parameters and Loss Decomposition vs Temperature</v>
      </c>
      <c r="AL1" s="160"/>
      <c r="AM1" s="160"/>
      <c r="AN1" s="160"/>
      <c r="AO1" s="160"/>
      <c r="AP1" s="160"/>
      <c r="AQ1" s="160"/>
      <c r="AR1" s="161"/>
    </row>
    <row r="2" spans="1:44" x14ac:dyDescent="0.55000000000000004">
      <c r="A2" s="154" t="s">
        <v>52</v>
      </c>
      <c r="B2" s="154"/>
      <c r="C2" s="1">
        <v>17</v>
      </c>
      <c r="E2" s="154" t="s">
        <v>31</v>
      </c>
      <c r="F2" s="154"/>
      <c r="G2" s="154"/>
      <c r="H2" s="1">
        <v>25</v>
      </c>
      <c r="J2" s="155" t="s">
        <v>28</v>
      </c>
      <c r="K2" s="155"/>
      <c r="L2" s="155"/>
      <c r="M2" s="117">
        <v>0</v>
      </c>
      <c r="O2" s="12"/>
      <c r="P2" s="5" t="s">
        <v>1</v>
      </c>
      <c r="AB2" s="156" t="s">
        <v>2</v>
      </c>
      <c r="AC2" s="157"/>
      <c r="AD2" s="85">
        <f t="shared" ref="AD2:AI2" si="0">L24</f>
        <v>1</v>
      </c>
      <c r="AE2" s="85">
        <f t="shared" si="0"/>
        <v>3</v>
      </c>
      <c r="AF2" s="85">
        <f t="shared" si="0"/>
        <v>5</v>
      </c>
      <c r="AG2" s="85">
        <f t="shared" si="0"/>
        <v>10</v>
      </c>
      <c r="AH2" s="85">
        <f t="shared" si="0"/>
        <v>15</v>
      </c>
      <c r="AI2" s="86">
        <f t="shared" si="0"/>
        <v>20</v>
      </c>
      <c r="AK2" s="156" t="s">
        <v>2</v>
      </c>
      <c r="AL2" s="157"/>
      <c r="AM2" s="85">
        <f t="shared" ref="AM2:AR2" si="1">L24</f>
        <v>1</v>
      </c>
      <c r="AN2" s="85">
        <f t="shared" si="1"/>
        <v>3</v>
      </c>
      <c r="AO2" s="85">
        <f t="shared" si="1"/>
        <v>5</v>
      </c>
      <c r="AP2" s="85">
        <f t="shared" si="1"/>
        <v>10</v>
      </c>
      <c r="AQ2" s="85">
        <f t="shared" si="1"/>
        <v>15</v>
      </c>
      <c r="AR2" s="86">
        <f t="shared" si="1"/>
        <v>20</v>
      </c>
    </row>
    <row r="3" spans="1:44" ht="14.4" customHeight="1" x14ac:dyDescent="0.55000000000000004">
      <c r="A3" s="155" t="s">
        <v>3</v>
      </c>
      <c r="B3" s="155"/>
      <c r="C3" s="1">
        <v>55</v>
      </c>
      <c r="D3" s="51"/>
      <c r="E3" s="158" t="s">
        <v>32</v>
      </c>
      <c r="F3" s="158"/>
      <c r="G3" s="158"/>
      <c r="H3" s="1">
        <f>2*1.1/7.6</f>
        <v>0.28947368421052633</v>
      </c>
      <c r="L3" s="50" t="s">
        <v>30</v>
      </c>
      <c r="M3" s="118">
        <v>4.0400000000000002E-3</v>
      </c>
      <c r="AB3" s="57" t="s">
        <v>4</v>
      </c>
      <c r="AC3" s="162">
        <f>H2</f>
        <v>25</v>
      </c>
      <c r="AD3" s="53">
        <f t="shared" ref="AD3:AI3" si="2">IF(AD$2=0,$C$2,SQRT(1/(($H$1/(1+$M$3*($AC$3-$H$2)))*PI()*(AD$2*1000000000)*0.999991*0.0000004*PI()))*1000000)</f>
        <v>2.0615741316329186</v>
      </c>
      <c r="AE3" s="53">
        <f t="shared" si="2"/>
        <v>1.1902503798526345</v>
      </c>
      <c r="AF3" s="53">
        <f t="shared" si="2"/>
        <v>0.92196397979726119</v>
      </c>
      <c r="AG3" s="53">
        <f t="shared" si="2"/>
        <v>0.65192698212438038</v>
      </c>
      <c r="AH3" s="53">
        <f t="shared" si="2"/>
        <v>0.53229615191908741</v>
      </c>
      <c r="AI3" s="58">
        <f t="shared" si="2"/>
        <v>0.4609819898986306</v>
      </c>
      <c r="AK3" s="57" t="s">
        <v>5</v>
      </c>
      <c r="AL3" s="162">
        <f>AC27</f>
        <v>-40</v>
      </c>
      <c r="AM3" s="53">
        <f t="shared" ref="AM3:AR3" si="3">($M$1*($AL$3-$H$2)+1)*AVERAGE(C$46,L$46)</f>
        <v>3.0256342119110915</v>
      </c>
      <c r="AN3" s="53">
        <f t="shared" si="3"/>
        <v>3.0146435219522552</v>
      </c>
      <c r="AO3" s="53">
        <f t="shared" si="3"/>
        <v>3.0154986909453605</v>
      </c>
      <c r="AP3" s="53">
        <f t="shared" si="3"/>
        <v>3.0053624247925166</v>
      </c>
      <c r="AQ3" s="53">
        <f t="shared" si="3"/>
        <v>2.995225407289293</v>
      </c>
      <c r="AR3" s="58">
        <f t="shared" si="3"/>
        <v>2.9956936533114389</v>
      </c>
    </row>
    <row r="4" spans="1:44" x14ac:dyDescent="0.55000000000000004">
      <c r="A4" s="158" t="s">
        <v>6</v>
      </c>
      <c r="B4" s="158"/>
      <c r="C4" s="1">
        <v>110</v>
      </c>
      <c r="D4" s="51"/>
      <c r="AB4" s="57" t="s">
        <v>26</v>
      </c>
      <c r="AC4" s="162"/>
      <c r="AD4" s="53">
        <f t="shared" ref="AD4:AI4" si="4">0.76*(1/(($H$1/(1+$M$3*($AC$3-$H$2)))*AD3*$C$3*0.000000000001))</f>
        <v>112.46197003882945</v>
      </c>
      <c r="AE4" s="53">
        <f t="shared" si="4"/>
        <v>194.78984602654143</v>
      </c>
      <c r="AF4" s="53">
        <f t="shared" si="4"/>
        <v>251.47260989036735</v>
      </c>
      <c r="AG4" s="53">
        <f t="shared" si="4"/>
        <v>355.63597547231603</v>
      </c>
      <c r="AH4" s="53">
        <f t="shared" si="4"/>
        <v>435.56333704206395</v>
      </c>
      <c r="AI4" s="58">
        <f t="shared" si="4"/>
        <v>502.9452197807347</v>
      </c>
      <c r="AK4" s="57" t="s">
        <v>7</v>
      </c>
      <c r="AL4" s="162"/>
      <c r="AM4" s="54">
        <f>($M$2*($AL$3-$H$2)+1)*U$46</f>
        <v>1.1973417456045297E-3</v>
      </c>
      <c r="AN4" s="54">
        <f t="shared" ref="AN4:AR4" si="5">($M$2*($AL$3-$H$2)+1)*V$46</f>
        <v>1.4973417456045301E-3</v>
      </c>
      <c r="AO4" s="54">
        <f t="shared" si="5"/>
        <v>1.79734174560453E-3</v>
      </c>
      <c r="AP4" s="54">
        <f t="shared" si="5"/>
        <v>1.9653867664021808E-3</v>
      </c>
      <c r="AQ4" s="54">
        <f t="shared" si="5"/>
        <v>2.1653867664021813E-3</v>
      </c>
      <c r="AR4" s="59">
        <f t="shared" si="5"/>
        <v>2.2653867664021812E-3</v>
      </c>
    </row>
    <row r="5" spans="1:44" ht="14.4" customHeight="1" thickBot="1" x14ac:dyDescent="0.6">
      <c r="AB5" s="64" t="s">
        <v>25</v>
      </c>
      <c r="AC5" s="163"/>
      <c r="AD5" s="67">
        <f t="shared" ref="AD5:AI5" si="6">2*(60/SQRT(AVERAGE(C$46,L$46))*LN(1.9*(2*$C$1+$C$2)/(0.8*$C$3+$C$2)))*(1-0.347*(EXP(-2.9*($C$4/(2*$C$1+$C$2)))))</f>
        <v>100.01482877627288</v>
      </c>
      <c r="AE5" s="67">
        <f t="shared" si="6"/>
        <v>100.19697832437619</v>
      </c>
      <c r="AF5" s="67">
        <f t="shared" si="6"/>
        <v>100.18276982461988</v>
      </c>
      <c r="AG5" s="67">
        <f t="shared" si="6"/>
        <v>100.3515721657139</v>
      </c>
      <c r="AH5" s="67">
        <f t="shared" si="6"/>
        <v>100.52124326759153</v>
      </c>
      <c r="AI5" s="68">
        <f t="shared" si="6"/>
        <v>100.51338690489632</v>
      </c>
      <c r="AK5" s="57" t="s">
        <v>8</v>
      </c>
      <c r="AL5" s="162"/>
      <c r="AM5" s="53">
        <f t="shared" ref="AM5:AR5" si="7">IF(AM$2=0,$C$2,SQRT(1/(($H$1/(1+$M$3*($AC$27-$H$2)))*PI()*(AM$2*1000000000)*0.999991*0.0000004*PI()))*1000000)</f>
        <v>1.7703148922213725</v>
      </c>
      <c r="AN5" s="53">
        <f t="shared" si="7"/>
        <v>1.0220917795744127</v>
      </c>
      <c r="AO5" s="53">
        <f t="shared" si="7"/>
        <v>0.79170888811744067</v>
      </c>
      <c r="AP5" s="53">
        <f t="shared" si="7"/>
        <v>0.55982272351350393</v>
      </c>
      <c r="AQ5" s="53">
        <f t="shared" si="7"/>
        <v>0.45709333967442356</v>
      </c>
      <c r="AR5" s="58">
        <f t="shared" si="7"/>
        <v>0.39585444405872033</v>
      </c>
    </row>
    <row r="6" spans="1:44" x14ac:dyDescent="0.55000000000000004">
      <c r="A6" s="165" t="s">
        <v>9</v>
      </c>
      <c r="B6" s="165"/>
      <c r="C6" s="165"/>
      <c r="D6" s="165"/>
      <c r="E6" s="165"/>
      <c r="F6" s="165"/>
      <c r="G6" s="165"/>
      <c r="H6" s="165"/>
      <c r="AB6" s="159" t="str">
        <f>_xlfn.CONCAT("Stripline Loss Decomposition at Temp = ",H2,"°C (dB/m)")</f>
        <v>Stripline Loss Decomposition at Temp = 25°C (dB/m)</v>
      </c>
      <c r="AC6" s="160"/>
      <c r="AD6" s="160"/>
      <c r="AE6" s="160"/>
      <c r="AF6" s="160"/>
      <c r="AG6" s="160"/>
      <c r="AH6" s="160"/>
      <c r="AI6" s="161"/>
      <c r="AK6" s="57" t="s">
        <v>20</v>
      </c>
      <c r="AL6" s="162"/>
      <c r="AM6" s="53">
        <f t="shared" ref="AM6:AR6" si="8">0.76*(1/(($H$1/(1+$M$3*($AC$27-$H$2)))*AM5*$C$3*0.000000000001))</f>
        <v>96.573340397222196</v>
      </c>
      <c r="AN6" s="53">
        <f t="shared" si="8"/>
        <v>167.26993222463281</v>
      </c>
      <c r="AO6" s="53">
        <f t="shared" si="8"/>
        <v>215.94455394241533</v>
      </c>
      <c r="AP6" s="53">
        <f t="shared" si="8"/>
        <v>305.3917169059722</v>
      </c>
      <c r="AQ6" s="53">
        <f t="shared" si="8"/>
        <v>374.02693904606156</v>
      </c>
      <c r="AR6" s="58">
        <f t="shared" si="8"/>
        <v>431.88910788483065</v>
      </c>
    </row>
    <row r="7" spans="1:44" ht="14.7" thickBot="1" x14ac:dyDescent="0.6">
      <c r="A7" s="165"/>
      <c r="B7" s="165"/>
      <c r="C7" s="165"/>
      <c r="D7" s="165"/>
      <c r="E7" s="165"/>
      <c r="F7" s="165"/>
      <c r="G7" s="165"/>
      <c r="H7" s="165"/>
      <c r="I7" s="10"/>
      <c r="AB7" s="57" t="s">
        <v>23</v>
      </c>
      <c r="AC7" s="162">
        <f>H2</f>
        <v>25</v>
      </c>
      <c r="AD7" s="69">
        <f>20*LOG(EXP(1))*(2*PI()/(2*0.299795637693216))*SQRT(AVERAGE(C46,L46))*(AD2)*U46</f>
        <v>0.18956807769406017</v>
      </c>
      <c r="AE7" s="69">
        <f>20*LOG(EXP(1))*(2*PI()/(2*0.299795637693216))*SQRT(AVERAGE(D46,M46))*(AE2)*V46</f>
        <v>0.70990304722058406</v>
      </c>
      <c r="AF7" s="69">
        <f t="shared" ref="AF7:AI7" si="9">20*LOG(EXP(1))*(2*PI()/(2*0.299795637693216))*SQRT(AVERAGE(E46,N46))*(AF2)*W46</f>
        <v>1.4204276198217831</v>
      </c>
      <c r="AG7" s="69">
        <f t="shared" si="9"/>
        <v>3.101239622950311</v>
      </c>
      <c r="AH7" s="69">
        <f t="shared" si="9"/>
        <v>5.1165870033898626</v>
      </c>
      <c r="AI7" s="70">
        <f t="shared" si="9"/>
        <v>7.1377268640669094</v>
      </c>
      <c r="AK7" s="60" t="s">
        <v>10</v>
      </c>
      <c r="AL7" s="164"/>
      <c r="AM7" s="55">
        <f>2*(60/SQRT(AM$3)*LN(1.9*(2*$C$1+$C$2)/(0.8*$C$3+$C$2)))*(1-0.347*(EXP(-2.9*($C$4/(2*$C$1+$C$2)))))</f>
        <v>100.01482877627288</v>
      </c>
      <c r="AN7" s="55">
        <f t="shared" ref="AN7:AR7" si="10">2*(60/SQRT(AN$3)*LN(1.9*(2*$C$1+$C$2)/(0.8*$C$3+$C$2)))*(1-0.347*(EXP(-2.9*($C$4/(2*$C$1+$C$2)))))</f>
        <v>100.19697832437619</v>
      </c>
      <c r="AO7" s="55">
        <f t="shared" si="10"/>
        <v>100.18276982461988</v>
      </c>
      <c r="AP7" s="55">
        <f t="shared" si="10"/>
        <v>100.3515721657139</v>
      </c>
      <c r="AQ7" s="55">
        <f t="shared" si="10"/>
        <v>100.52124326759153</v>
      </c>
      <c r="AR7" s="61">
        <f t="shared" si="10"/>
        <v>100.51338690489632</v>
      </c>
    </row>
    <row r="8" spans="1:44" x14ac:dyDescent="0.55000000000000004">
      <c r="A8" s="159" t="s">
        <v>11</v>
      </c>
      <c r="B8" s="160"/>
      <c r="C8" s="160"/>
      <c r="D8" s="160"/>
      <c r="E8" s="160"/>
      <c r="F8" s="160"/>
      <c r="G8" s="160"/>
      <c r="H8" s="161"/>
      <c r="AB8" s="57" t="s">
        <v>24</v>
      </c>
      <c r="AC8" s="162"/>
      <c r="AD8" s="69">
        <f t="shared" ref="AD8:AI8" si="11">20*LOG(EXP(1))*AD4/(AD5)</f>
        <v>9.7668742944285185</v>
      </c>
      <c r="AE8" s="69">
        <f t="shared" si="11"/>
        <v>16.885969352536897</v>
      </c>
      <c r="AF8" s="69">
        <f t="shared" si="11"/>
        <v>21.802784454130069</v>
      </c>
      <c r="AG8" s="69">
        <f t="shared" si="11"/>
        <v>30.781927653082981</v>
      </c>
      <c r="AH8" s="69">
        <f t="shared" si="11"/>
        <v>37.636373695294608</v>
      </c>
      <c r="AI8" s="70">
        <f t="shared" si="11"/>
        <v>43.462137805994296</v>
      </c>
      <c r="AK8" s="62" t="s">
        <v>5</v>
      </c>
      <c r="AL8" s="167">
        <f>AC28</f>
        <v>0</v>
      </c>
      <c r="AM8" s="56">
        <f t="shared" ref="AM8:AR8" si="12">($M$1*($AL$8-$H$2)+1)*AVERAGE(C$46,L$46)</f>
        <v>3.0256342119110915</v>
      </c>
      <c r="AN8" s="56">
        <f t="shared" si="12"/>
        <v>3.0146435219522552</v>
      </c>
      <c r="AO8" s="56">
        <f t="shared" si="12"/>
        <v>3.0154986909453605</v>
      </c>
      <c r="AP8" s="56">
        <f t="shared" si="12"/>
        <v>3.0053624247925166</v>
      </c>
      <c r="AQ8" s="56">
        <f t="shared" si="12"/>
        <v>2.995225407289293</v>
      </c>
      <c r="AR8" s="63">
        <f t="shared" si="12"/>
        <v>2.9956936533114389</v>
      </c>
    </row>
    <row r="9" spans="1:44" x14ac:dyDescent="0.55000000000000004">
      <c r="A9" s="73" t="s">
        <v>12</v>
      </c>
      <c r="B9" s="74" t="s">
        <v>13</v>
      </c>
      <c r="C9" s="87">
        <v>1</v>
      </c>
      <c r="D9" s="87">
        <v>3</v>
      </c>
      <c r="E9" s="87">
        <v>5</v>
      </c>
      <c r="F9" s="87">
        <v>10</v>
      </c>
      <c r="G9" s="87">
        <v>15</v>
      </c>
      <c r="H9" s="88">
        <v>20</v>
      </c>
      <c r="AB9" s="57" t="s">
        <v>21</v>
      </c>
      <c r="AC9" s="162"/>
      <c r="AD9" s="69">
        <f t="shared" ref="AD9:AI9" si="13">AD8*(1+(2/PI())*ATAN(1.4*($H$3/AD$3)^2))</f>
        <v>9.9384570989395016</v>
      </c>
      <c r="AE9" s="69">
        <f t="shared" si="13"/>
        <v>17.774118592423502</v>
      </c>
      <c r="AF9" s="69">
        <f t="shared" si="13"/>
        <v>23.706383537100937</v>
      </c>
      <c r="AG9" s="69">
        <f t="shared" si="13"/>
        <v>36.059602717739494</v>
      </c>
      <c r="AH9" s="69">
        <f t="shared" si="13"/>
        <v>47.041863908915047</v>
      </c>
      <c r="AI9" s="70">
        <f t="shared" si="13"/>
        <v>57.418741369767652</v>
      </c>
      <c r="AK9" s="57" t="s">
        <v>7</v>
      </c>
      <c r="AL9" s="162"/>
      <c r="AM9" s="54">
        <f>($M$2*($AL$8-$H$2)+1)*U$46</f>
        <v>1.1973417456045297E-3</v>
      </c>
      <c r="AN9" s="54">
        <f t="shared" ref="AN9:AR9" si="14">($M$2*($AL$8-$H$2)+1)*V$46</f>
        <v>1.4973417456045301E-3</v>
      </c>
      <c r="AO9" s="54">
        <f t="shared" si="14"/>
        <v>1.79734174560453E-3</v>
      </c>
      <c r="AP9" s="54">
        <f t="shared" si="14"/>
        <v>1.9653867664021808E-3</v>
      </c>
      <c r="AQ9" s="54">
        <f t="shared" si="14"/>
        <v>2.1653867664021813E-3</v>
      </c>
      <c r="AR9" s="59">
        <f t="shared" si="14"/>
        <v>2.2653867664021812E-3</v>
      </c>
    </row>
    <row r="10" spans="1:44" ht="14.7" thickBot="1" x14ac:dyDescent="0.6">
      <c r="A10" s="103">
        <v>51</v>
      </c>
      <c r="B10" s="101">
        <v>0.67</v>
      </c>
      <c r="C10" s="71">
        <v>3.14</v>
      </c>
      <c r="D10" s="120">
        <v>3.14</v>
      </c>
      <c r="E10" s="120">
        <v>3.13</v>
      </c>
      <c r="F10" s="120">
        <v>3.12</v>
      </c>
      <c r="G10" s="120">
        <v>3.11</v>
      </c>
      <c r="H10" s="121">
        <v>3.1</v>
      </c>
      <c r="AB10" s="64" t="s">
        <v>22</v>
      </c>
      <c r="AC10" s="163"/>
      <c r="AD10" s="67">
        <f t="shared" ref="AD10:AI10" si="15">AD9+AD7</f>
        <v>10.128025176633562</v>
      </c>
      <c r="AE10" s="67">
        <f t="shared" si="15"/>
        <v>18.484021639644087</v>
      </c>
      <c r="AF10" s="67">
        <f t="shared" si="15"/>
        <v>25.12681115692272</v>
      </c>
      <c r="AG10" s="67">
        <f t="shared" si="15"/>
        <v>39.160842340689804</v>
      </c>
      <c r="AH10" s="67">
        <f t="shared" si="15"/>
        <v>52.158450912304907</v>
      </c>
      <c r="AI10" s="68">
        <f t="shared" si="15"/>
        <v>64.556468233834565</v>
      </c>
      <c r="AK10" s="57" t="s">
        <v>8</v>
      </c>
      <c r="AL10" s="162"/>
      <c r="AM10" s="53">
        <f t="shared" ref="AM10:AR10" si="16">IF(AM$2=0,$C$2,SQRT(1/(($H$1/(1+$M$3*($AC$28-$H$2)))*PI()*(AM$2*1000000000)*0.999991*0.0000004*PI()))*1000000)</f>
        <v>1.9546940994170934</v>
      </c>
      <c r="AN10" s="53">
        <f t="shared" si="16"/>
        <v>1.128543164481832</v>
      </c>
      <c r="AO10" s="53">
        <f t="shared" si="16"/>
        <v>0.87416577630287073</v>
      </c>
      <c r="AP10" s="53">
        <f t="shared" si="16"/>
        <v>0.61812854830496244</v>
      </c>
      <c r="AQ10" s="53">
        <f t="shared" si="16"/>
        <v>0.50469984626482056</v>
      </c>
      <c r="AR10" s="58">
        <f t="shared" si="16"/>
        <v>0.43708288815143537</v>
      </c>
    </row>
    <row r="11" spans="1:44" x14ac:dyDescent="0.55000000000000004">
      <c r="A11" s="103">
        <v>64</v>
      </c>
      <c r="B11" s="101">
        <v>0.72</v>
      </c>
      <c r="C11" s="71">
        <v>3.07</v>
      </c>
      <c r="D11" s="120">
        <v>3.07</v>
      </c>
      <c r="E11" s="120">
        <v>3.06</v>
      </c>
      <c r="F11" s="120">
        <v>3.05</v>
      </c>
      <c r="G11" s="120">
        <v>3.04</v>
      </c>
      <c r="H11" s="121">
        <v>3.03</v>
      </c>
      <c r="AK11" s="57" t="s">
        <v>20</v>
      </c>
      <c r="AL11" s="162"/>
      <c r="AM11" s="53">
        <f t="shared" ref="AM11:AR11" si="17">0.76*(1/(($H$1/(1+$M$3*($AC$28-$H$2)))*AM10*$C$3*0.000000000001))</f>
        <v>106.63150350533424</v>
      </c>
      <c r="AN11" s="53">
        <f t="shared" si="17"/>
        <v>184.69118175869772</v>
      </c>
      <c r="AO11" s="53">
        <f t="shared" si="17"/>
        <v>238.43529038093436</v>
      </c>
      <c r="AP11" s="53">
        <f t="shared" si="17"/>
        <v>337.19842140508462</v>
      </c>
      <c r="AQ11" s="53">
        <f t="shared" si="17"/>
        <v>412.98203725721714</v>
      </c>
      <c r="AR11" s="58">
        <f t="shared" si="17"/>
        <v>476.87058076186872</v>
      </c>
    </row>
    <row r="12" spans="1:44" ht="14.7" thickBot="1" x14ac:dyDescent="0.6">
      <c r="A12" s="104">
        <v>76</v>
      </c>
      <c r="B12" s="102">
        <v>0.76</v>
      </c>
      <c r="C12" s="72">
        <v>3.02</v>
      </c>
      <c r="D12" s="122">
        <v>3.01</v>
      </c>
      <c r="E12" s="122">
        <v>3.01</v>
      </c>
      <c r="F12" s="122">
        <v>3</v>
      </c>
      <c r="G12" s="122">
        <v>2.99</v>
      </c>
      <c r="H12" s="123">
        <v>2.99</v>
      </c>
      <c r="AK12" s="60" t="s">
        <v>10</v>
      </c>
      <c r="AL12" s="164"/>
      <c r="AM12" s="55">
        <f>2*(60/SQRT(AM$8)*LN(1.9*(2*$C$1+$C$2)/(0.8*$C$3+$C$2)))*(1-0.347*(EXP(-2.9*($C$4/(2*$C$1+$C$2)))))</f>
        <v>100.01482877627288</v>
      </c>
      <c r="AN12" s="55">
        <f t="shared" ref="AN12:AR12" si="18">2*(60/SQRT(AN$8)*LN(1.9*(2*$C$1+$C$2)/(0.8*$C$3+$C$2)))*(1-0.347*(EXP(-2.9*($C$4/(2*$C$1+$C$2)))))</f>
        <v>100.19697832437619</v>
      </c>
      <c r="AO12" s="55">
        <f t="shared" si="18"/>
        <v>100.18276982461988</v>
      </c>
      <c r="AP12" s="55">
        <f t="shared" si="18"/>
        <v>100.3515721657139</v>
      </c>
      <c r="AQ12" s="55">
        <f t="shared" si="18"/>
        <v>100.52124326759153</v>
      </c>
      <c r="AR12" s="61">
        <f t="shared" si="18"/>
        <v>100.51338690489632</v>
      </c>
    </row>
    <row r="13" spans="1:44" ht="14.7" thickBot="1" x14ac:dyDescent="0.6">
      <c r="AK13" s="62" t="s">
        <v>5</v>
      </c>
      <c r="AL13" s="167">
        <f>AC29</f>
        <v>25</v>
      </c>
      <c r="AM13" s="56">
        <f t="shared" ref="AM13:AR13" si="19">($M$1*($AL$13-$H$2)+1)*AVERAGE(C$46,L$46)</f>
        <v>3.0256342119110915</v>
      </c>
      <c r="AN13" s="56">
        <f t="shared" si="19"/>
        <v>3.0146435219522552</v>
      </c>
      <c r="AO13" s="56">
        <f t="shared" si="19"/>
        <v>3.0154986909453605</v>
      </c>
      <c r="AP13" s="56">
        <f t="shared" si="19"/>
        <v>3.0053624247925166</v>
      </c>
      <c r="AQ13" s="56">
        <f t="shared" si="19"/>
        <v>2.995225407289293</v>
      </c>
      <c r="AR13" s="63">
        <f t="shared" si="19"/>
        <v>2.9956936533114389</v>
      </c>
    </row>
    <row r="14" spans="1:44" x14ac:dyDescent="0.55000000000000004">
      <c r="A14" s="159" t="s">
        <v>14</v>
      </c>
      <c r="B14" s="160"/>
      <c r="C14" s="160"/>
      <c r="D14" s="160"/>
      <c r="E14" s="160"/>
      <c r="F14" s="160"/>
      <c r="G14" s="160"/>
      <c r="H14" s="161"/>
      <c r="AK14" s="57" t="s">
        <v>7</v>
      </c>
      <c r="AL14" s="162"/>
      <c r="AM14" s="54">
        <f>($M$2*($AL$13-$H$2)+1)*U$46</f>
        <v>1.1973417456045297E-3</v>
      </c>
      <c r="AN14" s="54">
        <f t="shared" ref="AN14:AR14" si="20">($M$2*($AL$13-$H$2)+1)*V$46</f>
        <v>1.4973417456045301E-3</v>
      </c>
      <c r="AO14" s="54">
        <f t="shared" si="20"/>
        <v>1.79734174560453E-3</v>
      </c>
      <c r="AP14" s="54">
        <f t="shared" si="20"/>
        <v>1.9653867664021808E-3</v>
      </c>
      <c r="AQ14" s="54">
        <f t="shared" si="20"/>
        <v>2.1653867664021813E-3</v>
      </c>
      <c r="AR14" s="59">
        <f t="shared" si="20"/>
        <v>2.2653867664021812E-3</v>
      </c>
    </row>
    <row r="15" spans="1:44" x14ac:dyDescent="0.55000000000000004">
      <c r="A15" s="73" t="s">
        <v>12</v>
      </c>
      <c r="B15" s="74" t="s">
        <v>13</v>
      </c>
      <c r="C15" s="83">
        <f>C9</f>
        <v>1</v>
      </c>
      <c r="D15" s="83">
        <f t="shared" ref="D15:H15" si="21">D9</f>
        <v>3</v>
      </c>
      <c r="E15" s="83">
        <f t="shared" si="21"/>
        <v>5</v>
      </c>
      <c r="F15" s="83">
        <f t="shared" si="21"/>
        <v>10</v>
      </c>
      <c r="G15" s="83">
        <f t="shared" si="21"/>
        <v>15</v>
      </c>
      <c r="H15" s="84">
        <f t="shared" si="21"/>
        <v>20</v>
      </c>
      <c r="AK15" s="57" t="s">
        <v>8</v>
      </c>
      <c r="AL15" s="162"/>
      <c r="AM15" s="53">
        <f t="shared" ref="AM15:AR15" si="22">IF(AM$2=0,$C$2,SQRT(1/(($H$1/(1+$M$3*($AC$29-$H$2)))*PI()*(AM$2*1000000000)*0.999991*0.0000004*PI()))*1000000)</f>
        <v>2.0615741316329186</v>
      </c>
      <c r="AN15" s="53">
        <f t="shared" si="22"/>
        <v>1.1902503798526345</v>
      </c>
      <c r="AO15" s="53">
        <f t="shared" si="22"/>
        <v>0.92196397979726119</v>
      </c>
      <c r="AP15" s="53">
        <f t="shared" si="22"/>
        <v>0.65192698212438038</v>
      </c>
      <c r="AQ15" s="53">
        <f t="shared" si="22"/>
        <v>0.53229615191908741</v>
      </c>
      <c r="AR15" s="58">
        <f t="shared" si="22"/>
        <v>0.4609819898986306</v>
      </c>
    </row>
    <row r="16" spans="1:44" x14ac:dyDescent="0.55000000000000004">
      <c r="A16" s="103">
        <v>51</v>
      </c>
      <c r="B16" s="101">
        <v>0.67</v>
      </c>
      <c r="C16" s="71">
        <v>1.2999999999999999E-3</v>
      </c>
      <c r="D16" s="71">
        <v>1.6000000000000001E-3</v>
      </c>
      <c r="E16" s="71">
        <v>1.9E-3</v>
      </c>
      <c r="F16" s="71">
        <v>2E-3</v>
      </c>
      <c r="G16" s="71">
        <v>2.2000000000000001E-3</v>
      </c>
      <c r="H16" s="75">
        <v>2.3E-3</v>
      </c>
      <c r="AK16" s="57" t="s">
        <v>20</v>
      </c>
      <c r="AL16" s="162"/>
      <c r="AM16" s="53">
        <f t="shared" ref="AM16:AR16" si="23">0.76*(1/(($H$1/(1+$M$3*($AC$29-$H$2)))*AM15*$C$3*0.000000000001))</f>
        <v>112.46197003882945</v>
      </c>
      <c r="AN16" s="53">
        <f t="shared" si="23"/>
        <v>194.78984602654143</v>
      </c>
      <c r="AO16" s="53">
        <f t="shared" si="23"/>
        <v>251.47260989036735</v>
      </c>
      <c r="AP16" s="53">
        <f t="shared" si="23"/>
        <v>355.63597547231603</v>
      </c>
      <c r="AQ16" s="53">
        <f t="shared" si="23"/>
        <v>435.56333704206395</v>
      </c>
      <c r="AR16" s="58">
        <f t="shared" si="23"/>
        <v>502.9452197807347</v>
      </c>
    </row>
    <row r="17" spans="1:44" x14ac:dyDescent="0.55000000000000004">
      <c r="A17" s="103">
        <v>64</v>
      </c>
      <c r="B17" s="101">
        <v>0.72</v>
      </c>
      <c r="C17" s="71">
        <v>1.1999999999999999E-3</v>
      </c>
      <c r="D17" s="71">
        <v>1.5E-3</v>
      </c>
      <c r="E17" s="71">
        <v>1.8E-3</v>
      </c>
      <c r="F17" s="71">
        <v>2E-3</v>
      </c>
      <c r="G17" s="71">
        <v>2.2000000000000001E-3</v>
      </c>
      <c r="H17" s="75">
        <v>2.3E-3</v>
      </c>
      <c r="AK17" s="60" t="s">
        <v>10</v>
      </c>
      <c r="AL17" s="164"/>
      <c r="AM17" s="55">
        <f>2*(60/SQRT(AM$13)*LN(1.9*(2*$C$1+$C$2)/(0.8*$C$3+$C$2)))*(1-0.347*(EXP(-2.9*($C$4/(2*$C$1+$C$2)))))</f>
        <v>100.01482877627288</v>
      </c>
      <c r="AN17" s="55">
        <f t="shared" ref="AN17:AR17" si="24">2*(60/SQRT(AN$13)*LN(1.9*(2*$C$1+$C$2)/(0.8*$C$3+$C$2)))*(1-0.347*(EXP(-2.9*($C$4/(2*$C$1+$C$2)))))</f>
        <v>100.19697832437619</v>
      </c>
      <c r="AO17" s="55">
        <f t="shared" si="24"/>
        <v>100.18276982461988</v>
      </c>
      <c r="AP17" s="55">
        <f t="shared" si="24"/>
        <v>100.3515721657139</v>
      </c>
      <c r="AQ17" s="55">
        <f t="shared" si="24"/>
        <v>100.52124326759153</v>
      </c>
      <c r="AR17" s="61">
        <f t="shared" si="24"/>
        <v>100.51338690489632</v>
      </c>
    </row>
    <row r="18" spans="1:44" ht="14.7" thickBot="1" x14ac:dyDescent="0.6">
      <c r="A18" s="104">
        <v>76</v>
      </c>
      <c r="B18" s="102">
        <v>0.76</v>
      </c>
      <c r="C18" s="72">
        <v>1.1000000000000001E-3</v>
      </c>
      <c r="D18" s="72">
        <v>1.4E-3</v>
      </c>
      <c r="E18" s="72">
        <v>1.6999999999999999E-3</v>
      </c>
      <c r="F18" s="72">
        <v>1.9E-3</v>
      </c>
      <c r="G18" s="72">
        <v>2.0999999999999999E-3</v>
      </c>
      <c r="H18" s="76">
        <v>2.2000000000000001E-3</v>
      </c>
      <c r="AK18" s="57" t="s">
        <v>5</v>
      </c>
      <c r="AL18" s="162">
        <f>AC30</f>
        <v>90</v>
      </c>
      <c r="AM18" s="53">
        <f t="shared" ref="AM18:AR18" si="25">($M$1*($AL$18-$H$2)+1)*AVERAGE(C$46,L$46)</f>
        <v>3.0256342119110915</v>
      </c>
      <c r="AN18" s="53">
        <f t="shared" si="25"/>
        <v>3.0146435219522552</v>
      </c>
      <c r="AO18" s="53">
        <f t="shared" si="25"/>
        <v>3.0154986909453605</v>
      </c>
      <c r="AP18" s="53">
        <f t="shared" si="25"/>
        <v>3.0053624247925166</v>
      </c>
      <c r="AQ18" s="53">
        <f t="shared" si="25"/>
        <v>2.995225407289293</v>
      </c>
      <c r="AR18" s="58">
        <f t="shared" si="25"/>
        <v>2.9956936533114389</v>
      </c>
    </row>
    <row r="19" spans="1:44" ht="14.7" thickBot="1" x14ac:dyDescent="0.6">
      <c r="AK19" s="57" t="s">
        <v>7</v>
      </c>
      <c r="AL19" s="162"/>
      <c r="AM19" s="54">
        <f>($M$2*($AL$18-$H$2)+1)*U$46</f>
        <v>1.1973417456045297E-3</v>
      </c>
      <c r="AN19" s="54">
        <f t="shared" ref="AN19:AR19" si="26">($M$2*($AL$18-$H$2)+1)*V$46</f>
        <v>1.4973417456045301E-3</v>
      </c>
      <c r="AO19" s="54">
        <f t="shared" si="26"/>
        <v>1.79734174560453E-3</v>
      </c>
      <c r="AP19" s="54">
        <f t="shared" si="26"/>
        <v>1.9653867664021808E-3</v>
      </c>
      <c r="AQ19" s="54">
        <f t="shared" si="26"/>
        <v>2.1653867664021813E-3</v>
      </c>
      <c r="AR19" s="59">
        <f t="shared" si="26"/>
        <v>2.2653867664021812E-3</v>
      </c>
    </row>
    <row r="20" spans="1:44" x14ac:dyDescent="0.55000000000000004">
      <c r="A20" s="168" t="s">
        <v>15</v>
      </c>
      <c r="B20" s="169"/>
      <c r="C20" s="79">
        <f t="shared" ref="C20:H20" si="27">INTERCEPT(C10:C12,$B10:$B12)</f>
        <v>4.0341803278688539</v>
      </c>
      <c r="D20" s="79">
        <f t="shared" si="27"/>
        <v>4.1072131147541011</v>
      </c>
      <c r="E20" s="79">
        <f t="shared" si="27"/>
        <v>4.0241803278688533</v>
      </c>
      <c r="F20" s="79">
        <f t="shared" si="27"/>
        <v>4.0141803278688535</v>
      </c>
      <c r="G20" s="79">
        <f t="shared" si="27"/>
        <v>4.0041803278688501</v>
      </c>
      <c r="H20" s="80">
        <f t="shared" si="27"/>
        <v>3.9211475409836067</v>
      </c>
      <c r="S20" s="168" t="s">
        <v>63</v>
      </c>
      <c r="T20" s="169"/>
      <c r="U20" s="105">
        <f t="shared" ref="U20:Z20" si="28">INTERCEPT(C16:C18,$B16:$B18)</f>
        <v>2.7860655737704915E-3</v>
      </c>
      <c r="V20" s="105">
        <f t="shared" si="28"/>
        <v>3.0860655737704936E-3</v>
      </c>
      <c r="W20" s="105">
        <f t="shared" si="28"/>
        <v>3.3860655737704935E-3</v>
      </c>
      <c r="X20" s="105">
        <f t="shared" si="28"/>
        <v>2.7303278688524599E-3</v>
      </c>
      <c r="Y20" s="105">
        <f t="shared" si="28"/>
        <v>2.9303278688524621E-3</v>
      </c>
      <c r="Z20" s="106">
        <f t="shared" si="28"/>
        <v>3.0303278688524585E-3</v>
      </c>
      <c r="AJ20" s="11"/>
      <c r="AK20" s="57" t="s">
        <v>8</v>
      </c>
      <c r="AL20" s="162"/>
      <c r="AM20" s="53">
        <f t="shared" ref="AM20:AR20" si="29">IF(AM$2=0,$C$2,SQRT(1/(($H$1/(1+$M$3*($AC$30-$H$2)))*PI()*(AM$2*1000000000)*0.999991*0.0000004*PI()))*1000000)</f>
        <v>2.3164975680572764</v>
      </c>
      <c r="AN20" s="53">
        <f t="shared" si="29"/>
        <v>1.337430494494982</v>
      </c>
      <c r="AO20" s="53">
        <f t="shared" si="29"/>
        <v>1.035969206377803</v>
      </c>
      <c r="AP20" s="53">
        <f t="shared" si="29"/>
        <v>0.73254085093019039</v>
      </c>
      <c r="AQ20" s="53">
        <f t="shared" si="29"/>
        <v>0.59811710017438746</v>
      </c>
      <c r="AR20" s="58">
        <f t="shared" si="29"/>
        <v>0.51798460318890149</v>
      </c>
    </row>
    <row r="21" spans="1:44" ht="14.7" thickBot="1" x14ac:dyDescent="0.6">
      <c r="A21" s="170" t="s">
        <v>16</v>
      </c>
      <c r="B21" s="171"/>
      <c r="C21" s="81">
        <f t="shared" ref="C21:H21" si="30">SLOPE(C10:C12,$B10:$B12)*100%+C20</f>
        <v>2.6981147540983601</v>
      </c>
      <c r="D21" s="81">
        <f t="shared" si="30"/>
        <v>2.6645901639344247</v>
      </c>
      <c r="E21" s="81">
        <f t="shared" si="30"/>
        <v>2.6881147540983603</v>
      </c>
      <c r="F21" s="81">
        <f t="shared" si="30"/>
        <v>2.6781147540983596</v>
      </c>
      <c r="G21" s="81">
        <f t="shared" si="30"/>
        <v>2.6681147540983616</v>
      </c>
      <c r="H21" s="82">
        <f t="shared" si="30"/>
        <v>2.6916393442622963</v>
      </c>
      <c r="S21" s="170" t="s">
        <v>64</v>
      </c>
      <c r="T21" s="171"/>
      <c r="U21" s="107">
        <f t="shared" ref="U21:Z21" si="31">SLOPE(C16:C18,$B16:$B18)*100%+U20</f>
        <v>5.7295081967213141E-4</v>
      </c>
      <c r="V21" s="107">
        <f t="shared" si="31"/>
        <v>8.7295081967213089E-4</v>
      </c>
      <c r="W21" s="107">
        <f t="shared" si="31"/>
        <v>1.1729508196721308E-3</v>
      </c>
      <c r="X21" s="107">
        <f t="shared" si="31"/>
        <v>1.6647540983606554E-3</v>
      </c>
      <c r="Y21" s="107">
        <f t="shared" si="31"/>
        <v>1.8647540983606553E-3</v>
      </c>
      <c r="Z21" s="108">
        <f t="shared" si="31"/>
        <v>1.9647540983606564E-3</v>
      </c>
      <c r="AK21" s="57" t="s">
        <v>20</v>
      </c>
      <c r="AL21" s="162"/>
      <c r="AM21" s="53">
        <f t="shared" ref="AM21:AR21" si="32">0.76*(1/(($H$1/(1+$M$3*($AC$30-$H$2)))*AM20*$C$3*0.000000000001))</f>
        <v>126.3684269687306</v>
      </c>
      <c r="AN21" s="53">
        <f t="shared" si="32"/>
        <v>218.87653598239854</v>
      </c>
      <c r="AO21" s="53">
        <f t="shared" si="32"/>
        <v>282.56839291179932</v>
      </c>
      <c r="AP21" s="53">
        <f t="shared" si="32"/>
        <v>399.61205355383618</v>
      </c>
      <c r="AQ21" s="53">
        <f t="shared" si="32"/>
        <v>489.42281313632191</v>
      </c>
      <c r="AR21" s="58">
        <f t="shared" si="32"/>
        <v>565.13678582359864</v>
      </c>
    </row>
    <row r="22" spans="1:44" ht="14.7" thickBot="1" x14ac:dyDescent="0.6">
      <c r="AK22" s="64" t="s">
        <v>10</v>
      </c>
      <c r="AL22" s="163"/>
      <c r="AM22" s="65">
        <f>2*(60/SQRT(AM$18)*LN(1.9*(2*$C$1+$C$2)/(0.8*$C$3+$C$2)))*(1-0.347*(EXP(-2.9*($C$4/(2*$C$1+$C$2)))))</f>
        <v>100.01482877627288</v>
      </c>
      <c r="AN22" s="65">
        <f t="shared" ref="AN22:AR22" si="33">2*(60/SQRT(AN$18)*LN(1.9*(2*$C$1+$C$2)/(0.8*$C$3+$C$2)))*(1-0.347*(EXP(-2.9*($C$4/(2*$C$1+$C$2)))))</f>
        <v>100.19697832437619</v>
      </c>
      <c r="AO22" s="65">
        <f t="shared" si="33"/>
        <v>100.18276982461988</v>
      </c>
      <c r="AP22" s="65">
        <f t="shared" si="33"/>
        <v>100.3515721657139</v>
      </c>
      <c r="AQ22" s="65">
        <f>2*(60/SQRT(AQ$18)*LN(1.9*(2*$C$1+$C$2)/(0.8*$C$3+$C$2)))*(1-0.347*(EXP(-2.9*($C$4/(2*$C$1+$C$2)))))</f>
        <v>100.52124326759153</v>
      </c>
      <c r="AR22" s="66">
        <f t="shared" si="33"/>
        <v>100.51338690489632</v>
      </c>
    </row>
    <row r="23" spans="1:44" x14ac:dyDescent="0.55000000000000004">
      <c r="A23" s="159" t="s">
        <v>17</v>
      </c>
      <c r="B23" s="160"/>
      <c r="C23" s="160"/>
      <c r="D23" s="160"/>
      <c r="E23" s="160"/>
      <c r="F23" s="160"/>
      <c r="G23" s="160"/>
      <c r="H23" s="161"/>
      <c r="J23" s="159" t="s">
        <v>18</v>
      </c>
      <c r="K23" s="160"/>
      <c r="L23" s="160"/>
      <c r="M23" s="160"/>
      <c r="N23" s="160"/>
      <c r="O23" s="160"/>
      <c r="P23" s="160"/>
      <c r="Q23" s="161"/>
      <c r="S23" s="159" t="s">
        <v>65</v>
      </c>
      <c r="T23" s="160"/>
      <c r="U23" s="160"/>
      <c r="V23" s="160"/>
      <c r="W23" s="160"/>
      <c r="X23" s="160"/>
      <c r="Y23" s="160"/>
      <c r="Z23" s="161"/>
    </row>
    <row r="24" spans="1:44" ht="14.7" thickBot="1" x14ac:dyDescent="0.6">
      <c r="A24" s="57" t="str">
        <f t="shared" ref="A24:H24" si="34">A9</f>
        <v>Thickness (um)</v>
      </c>
      <c r="B24" s="52" t="str">
        <f t="shared" si="34"/>
        <v>RC (%)</v>
      </c>
      <c r="C24" s="83">
        <f t="shared" si="34"/>
        <v>1</v>
      </c>
      <c r="D24" s="83">
        <f t="shared" si="34"/>
        <v>3</v>
      </c>
      <c r="E24" s="83">
        <f t="shared" si="34"/>
        <v>5</v>
      </c>
      <c r="F24" s="83">
        <f t="shared" si="34"/>
        <v>10</v>
      </c>
      <c r="G24" s="83">
        <f t="shared" si="34"/>
        <v>15</v>
      </c>
      <c r="H24" s="84">
        <f t="shared" si="34"/>
        <v>20</v>
      </c>
      <c r="J24" s="57" t="str">
        <f t="shared" ref="J24:Q24" si="35">A9</f>
        <v>Thickness (um)</v>
      </c>
      <c r="K24" s="52" t="str">
        <f t="shared" si="35"/>
        <v>RC (%)</v>
      </c>
      <c r="L24" s="83">
        <f t="shared" si="35"/>
        <v>1</v>
      </c>
      <c r="M24" s="83">
        <f t="shared" si="35"/>
        <v>3</v>
      </c>
      <c r="N24" s="83">
        <f t="shared" si="35"/>
        <v>5</v>
      </c>
      <c r="O24" s="83">
        <f t="shared" si="35"/>
        <v>10</v>
      </c>
      <c r="P24" s="83">
        <f t="shared" si="35"/>
        <v>15</v>
      </c>
      <c r="Q24" s="84">
        <f t="shared" si="35"/>
        <v>20</v>
      </c>
      <c r="S24" s="73" t="str">
        <f>A9</f>
        <v>Thickness (um)</v>
      </c>
      <c r="T24" s="74" t="str">
        <f>B9</f>
        <v>RC (%)</v>
      </c>
      <c r="U24" s="83">
        <f t="shared" ref="U24:Z24" si="36">C9</f>
        <v>1</v>
      </c>
      <c r="V24" s="83">
        <f t="shared" si="36"/>
        <v>3</v>
      </c>
      <c r="W24" s="83">
        <f t="shared" si="36"/>
        <v>5</v>
      </c>
      <c r="X24" s="83">
        <f t="shared" si="36"/>
        <v>10</v>
      </c>
      <c r="Y24" s="83">
        <f t="shared" si="36"/>
        <v>15</v>
      </c>
      <c r="Z24" s="84">
        <f t="shared" si="36"/>
        <v>20</v>
      </c>
    </row>
    <row r="25" spans="1:44" x14ac:dyDescent="0.55000000000000004">
      <c r="A25" s="112">
        <f t="shared" ref="A25:B27" si="37">A10</f>
        <v>51</v>
      </c>
      <c r="B25" s="114">
        <f t="shared" si="37"/>
        <v>0.67</v>
      </c>
      <c r="C25" s="69">
        <f t="shared" ref="C25:H27" si="38">((C$20*(100%-$B25))+(C$21*$B25))/100%</f>
        <v>3.1390163934426232</v>
      </c>
      <c r="D25" s="69">
        <f t="shared" si="38"/>
        <v>3.1406557377049178</v>
      </c>
      <c r="E25" s="69">
        <f t="shared" si="38"/>
        <v>3.1290163934426229</v>
      </c>
      <c r="F25" s="69">
        <f t="shared" si="38"/>
        <v>3.1190163934426227</v>
      </c>
      <c r="G25" s="69">
        <f t="shared" si="38"/>
        <v>3.1090163934426229</v>
      </c>
      <c r="H25" s="70">
        <f t="shared" si="38"/>
        <v>3.097377049180329</v>
      </c>
      <c r="J25" s="112">
        <f t="shared" ref="J25:K27" si="39">A10</f>
        <v>51</v>
      </c>
      <c r="K25" s="114">
        <f t="shared" si="39"/>
        <v>0.67</v>
      </c>
      <c r="L25" s="69">
        <f t="shared" ref="L25:Q27" si="40">100%/((100%-$K25)/C$20+$K25/C$21)</f>
        <v>3.0291781981946944</v>
      </c>
      <c r="M25" s="69">
        <f t="shared" si="40"/>
        <v>3.0139341745920132</v>
      </c>
      <c r="N25" s="69">
        <f t="shared" si="40"/>
        <v>3.0188716683241608</v>
      </c>
      <c r="O25" s="69">
        <f t="shared" si="40"/>
        <v>3.0085634227751288</v>
      </c>
      <c r="P25" s="69">
        <f t="shared" si="40"/>
        <v>2.9982534471029405</v>
      </c>
      <c r="Q25" s="70">
        <f t="shared" si="40"/>
        <v>3.0023000128432131</v>
      </c>
      <c r="S25" s="112">
        <f t="shared" ref="S25:S27" si="41">A10</f>
        <v>51</v>
      </c>
      <c r="T25" s="114">
        <f>B10</f>
        <v>0.67</v>
      </c>
      <c r="U25" s="110">
        <f>((U$20*(100%-$T25))+(U$21*$T25))/100%</f>
        <v>1.3032786885245902E-3</v>
      </c>
      <c r="V25" s="110">
        <f t="shared" ref="V25:Z25" si="42">((V$20*(100%-$T25))+(V$21*$T25))/100%</f>
        <v>1.6032786885245905E-3</v>
      </c>
      <c r="W25" s="110">
        <f t="shared" si="42"/>
        <v>1.9032786885245904E-3</v>
      </c>
      <c r="X25" s="110">
        <f t="shared" si="42"/>
        <v>2.0163934426229509E-3</v>
      </c>
      <c r="Y25" s="110">
        <f t="shared" si="42"/>
        <v>2.2163934426229514E-3</v>
      </c>
      <c r="Z25" s="111">
        <f t="shared" si="42"/>
        <v>2.3163934426229512E-3</v>
      </c>
      <c r="AB25" s="159" t="s">
        <v>19</v>
      </c>
      <c r="AC25" s="160"/>
      <c r="AD25" s="160"/>
      <c r="AE25" s="160"/>
      <c r="AF25" s="160"/>
      <c r="AG25" s="160"/>
      <c r="AH25" s="160"/>
      <c r="AI25" s="161"/>
    </row>
    <row r="26" spans="1:44" x14ac:dyDescent="0.55000000000000004">
      <c r="A26" s="112">
        <f t="shared" si="37"/>
        <v>64</v>
      </c>
      <c r="B26" s="114">
        <f t="shared" si="37"/>
        <v>0.72</v>
      </c>
      <c r="C26" s="69">
        <f t="shared" si="38"/>
        <v>3.0722131147540983</v>
      </c>
      <c r="D26" s="69">
        <f t="shared" si="38"/>
        <v>3.0685245901639342</v>
      </c>
      <c r="E26" s="69">
        <f t="shared" si="38"/>
        <v>3.0622131147540985</v>
      </c>
      <c r="F26" s="69">
        <f t="shared" si="38"/>
        <v>3.0522131147540978</v>
      </c>
      <c r="G26" s="69">
        <f t="shared" si="38"/>
        <v>3.0422131147540985</v>
      </c>
      <c r="H26" s="70">
        <f t="shared" si="38"/>
        <v>3.0359016393442633</v>
      </c>
      <c r="J26" s="112">
        <f t="shared" si="39"/>
        <v>64</v>
      </c>
      <c r="K26" s="114">
        <f t="shared" si="39"/>
        <v>0.72</v>
      </c>
      <c r="L26" s="69">
        <f t="shared" si="40"/>
        <v>2.9738900824683445</v>
      </c>
      <c r="M26" s="69">
        <f t="shared" si="40"/>
        <v>2.9552298347593227</v>
      </c>
      <c r="N26" s="69">
        <f t="shared" si="40"/>
        <v>2.9636207103469272</v>
      </c>
      <c r="O26" s="69">
        <f t="shared" si="40"/>
        <v>2.9533498581922353</v>
      </c>
      <c r="P26" s="69">
        <f t="shared" si="40"/>
        <v>2.9430775137728689</v>
      </c>
      <c r="Q26" s="70">
        <f t="shared" si="40"/>
        <v>2.9506999163760881</v>
      </c>
      <c r="S26" s="112">
        <f t="shared" si="41"/>
        <v>64</v>
      </c>
      <c r="T26" s="114">
        <f t="shared" ref="T26:T27" si="43">B11</f>
        <v>0.72</v>
      </c>
      <c r="U26" s="110">
        <f t="shared" ref="U26:Z27" si="44">((U$20*(100%-$T26))+(U$21*$T26))/100%</f>
        <v>1.1926229508196723E-3</v>
      </c>
      <c r="V26" s="110">
        <f t="shared" si="44"/>
        <v>1.4926229508196724E-3</v>
      </c>
      <c r="W26" s="110">
        <f t="shared" si="44"/>
        <v>1.7926229508196724E-3</v>
      </c>
      <c r="X26" s="110">
        <f t="shared" si="44"/>
        <v>1.9631147540983608E-3</v>
      </c>
      <c r="Y26" s="110">
        <f t="shared" si="44"/>
        <v>2.1631147540983613E-3</v>
      </c>
      <c r="Z26" s="111">
        <f t="shared" si="44"/>
        <v>2.2631147540983611E-3</v>
      </c>
      <c r="AB26" s="172" t="s">
        <v>2</v>
      </c>
      <c r="AC26" s="173"/>
      <c r="AD26" s="53">
        <f t="shared" ref="AD26:AI26" si="45">AD2</f>
        <v>1</v>
      </c>
      <c r="AE26" s="53">
        <f t="shared" si="45"/>
        <v>3</v>
      </c>
      <c r="AF26" s="53">
        <f t="shared" si="45"/>
        <v>5</v>
      </c>
      <c r="AG26" s="53">
        <f t="shared" si="45"/>
        <v>10</v>
      </c>
      <c r="AH26" s="53">
        <f t="shared" si="45"/>
        <v>15</v>
      </c>
      <c r="AI26" s="58">
        <f t="shared" si="45"/>
        <v>20</v>
      </c>
    </row>
    <row r="27" spans="1:44" ht="14.7" thickBot="1" x14ac:dyDescent="0.6">
      <c r="A27" s="113">
        <f t="shared" si="37"/>
        <v>76</v>
      </c>
      <c r="B27" s="115">
        <f t="shared" si="37"/>
        <v>0.76</v>
      </c>
      <c r="C27" s="67">
        <f t="shared" si="38"/>
        <v>3.0187704918032789</v>
      </c>
      <c r="D27" s="67">
        <f t="shared" si="38"/>
        <v>3.0108196721311469</v>
      </c>
      <c r="E27" s="67">
        <f t="shared" si="38"/>
        <v>3.0087704918032787</v>
      </c>
      <c r="F27" s="67">
        <f t="shared" si="38"/>
        <v>2.998770491803278</v>
      </c>
      <c r="G27" s="67">
        <f t="shared" si="38"/>
        <v>2.9887704918032791</v>
      </c>
      <c r="H27" s="68">
        <f t="shared" si="38"/>
        <v>2.986721311475411</v>
      </c>
      <c r="J27" s="113">
        <f t="shared" si="39"/>
        <v>76</v>
      </c>
      <c r="K27" s="115">
        <f t="shared" si="39"/>
        <v>0.76</v>
      </c>
      <c r="L27" s="67">
        <f t="shared" si="40"/>
        <v>2.9310917967654566</v>
      </c>
      <c r="M27" s="67">
        <f t="shared" si="40"/>
        <v>2.9098876282457105</v>
      </c>
      <c r="N27" s="67">
        <f t="shared" si="40"/>
        <v>2.9208550528397628</v>
      </c>
      <c r="O27" s="67">
        <f t="shared" si="40"/>
        <v>2.9106170269736356</v>
      </c>
      <c r="P27" s="67">
        <f t="shared" si="40"/>
        <v>2.9003777087264746</v>
      </c>
      <c r="Q27" s="68">
        <f t="shared" si="40"/>
        <v>2.9106795730100754</v>
      </c>
      <c r="S27" s="113">
        <f t="shared" si="41"/>
        <v>76</v>
      </c>
      <c r="T27" s="115">
        <f t="shared" si="43"/>
        <v>0.76</v>
      </c>
      <c r="U27" s="99">
        <f t="shared" si="44"/>
        <v>1.1040983606557379E-3</v>
      </c>
      <c r="V27" s="99">
        <f t="shared" si="44"/>
        <v>1.4040983606557378E-3</v>
      </c>
      <c r="W27" s="99">
        <f t="shared" si="44"/>
        <v>1.7040983606557377E-3</v>
      </c>
      <c r="X27" s="99">
        <f t="shared" si="44"/>
        <v>1.9204918032786887E-3</v>
      </c>
      <c r="Y27" s="99">
        <f t="shared" si="44"/>
        <v>2.1204918032786887E-3</v>
      </c>
      <c r="Z27" s="100">
        <f t="shared" si="44"/>
        <v>2.220491803278689E-3</v>
      </c>
      <c r="AB27" s="57"/>
      <c r="AC27" s="71">
        <v>-40</v>
      </c>
      <c r="AD27" s="69">
        <f t="shared" ref="AD27:AI27" si="46">(20*LOG(EXP(1))*(2*PI()/(2*0.299795637693216))*SQRT(AM$3)*(AM$2)*AM$4)+(20*LOG(EXP(1))*AM6/(AM7))*(1+(2/PI())*ATAN(1.4*($H$3/AM$5)^2))</f>
        <v>8.776347908967681</v>
      </c>
      <c r="AE27" s="69">
        <f t="shared" si="46"/>
        <v>16.242528265126417</v>
      </c>
      <c r="AF27" s="69">
        <f t="shared" si="46"/>
        <v>22.348191394140716</v>
      </c>
      <c r="AG27" s="69">
        <f t="shared" si="46"/>
        <v>35.56161195275866</v>
      </c>
      <c r="AH27" s="69">
        <f t="shared" si="46"/>
        <v>47.962190828568822</v>
      </c>
      <c r="AI27" s="70">
        <f t="shared" si="46"/>
        <v>59.728352290473836</v>
      </c>
    </row>
    <row r="28" spans="1:44" x14ac:dyDescent="0.55000000000000004">
      <c r="AB28" s="57"/>
      <c r="AC28" s="71">
        <v>0</v>
      </c>
      <c r="AD28" s="69">
        <f t="shared" ref="AD28:AI28" si="47">(20*LOG(EXP(1))*(2*PI()/(2*0.299795637693216))*SQRT(AM$8)*AM$2*AM9)+(20*LOG(EXP(1))*AM11/(AM12))*(1+(2/PI())*ATAN(1.4*($H$3/AM$10)^2))</f>
        <v>9.6310433915924936</v>
      </c>
      <c r="AE28" s="69">
        <f t="shared" si="47"/>
        <v>17.656645410916333</v>
      </c>
      <c r="AF28" s="69">
        <f t="shared" si="47"/>
        <v>24.097588015913463</v>
      </c>
      <c r="AG28" s="69">
        <f t="shared" si="47"/>
        <v>37.822400869759697</v>
      </c>
      <c r="AH28" s="69">
        <f t="shared" si="47"/>
        <v>50.606673076946784</v>
      </c>
      <c r="AI28" s="70">
        <f t="shared" si="47"/>
        <v>62.793942706104303</v>
      </c>
    </row>
    <row r="29" spans="1:44" x14ac:dyDescent="0.55000000000000004">
      <c r="AB29" s="57"/>
      <c r="AC29" s="71">
        <v>25</v>
      </c>
      <c r="AD29" s="69">
        <f t="shared" ref="AD29:AI29" si="48">(20*LOG(EXP(1))*(2*PI()/(2*0.299795637693216))*SQRT(AM$13)*AM$2*AM14)+((20*LOG(EXP(1))*AM16/(AM17))*(1+(2/PI())*ATAN(1.4*($H$3/AM$15)^2)))</f>
        <v>10.128025176633562</v>
      </c>
      <c r="AE29" s="69">
        <f t="shared" si="48"/>
        <v>18.484021639644087</v>
      </c>
      <c r="AF29" s="69">
        <f t="shared" si="48"/>
        <v>25.12681115692272</v>
      </c>
      <c r="AG29" s="69">
        <f t="shared" si="48"/>
        <v>39.160842340689804</v>
      </c>
      <c r="AH29" s="69">
        <f t="shared" si="48"/>
        <v>52.158450912304907</v>
      </c>
      <c r="AI29" s="70">
        <f t="shared" si="48"/>
        <v>64.556468233834565</v>
      </c>
    </row>
    <row r="30" spans="1:44" ht="14.7" thickBot="1" x14ac:dyDescent="0.6">
      <c r="AB30" s="64"/>
      <c r="AC30" s="72">
        <v>90</v>
      </c>
      <c r="AD30" s="67">
        <f t="shared" ref="AD30:AI30" si="49">(20*LOG(EXP(1))*(2*PI()/(2*0.299795637693216))*SQRT(AM$18)*AM$2*AM19)+(20*LOG(EXP(1))*AM21/(AM22))*(1+(2/PI())*ATAN(1.4*($H$3/AM$20)^2))</f>
        <v>11.316877874675511</v>
      </c>
      <c r="AE30" s="67">
        <f t="shared" si="49"/>
        <v>20.474984282516669</v>
      </c>
      <c r="AF30" s="67">
        <f t="shared" si="49"/>
        <v>27.617304296815863</v>
      </c>
      <c r="AG30" s="67">
        <f t="shared" si="49"/>
        <v>42.428772861350055</v>
      </c>
      <c r="AH30" s="67">
        <f t="shared" si="49"/>
        <v>55.938041529662286</v>
      </c>
      <c r="AI30" s="68">
        <f t="shared" si="49"/>
        <v>68.789125630959973</v>
      </c>
    </row>
    <row r="34" spans="1:44" x14ac:dyDescent="0.55000000000000004">
      <c r="B34" s="9"/>
    </row>
    <row r="35" spans="1:44" x14ac:dyDescent="0.55000000000000004">
      <c r="B35" s="9"/>
    </row>
    <row r="37" spans="1:44" x14ac:dyDescent="0.55000000000000004">
      <c r="AK37" s="10"/>
    </row>
    <row r="38" spans="1:44" x14ac:dyDescent="0.55000000000000004">
      <c r="AB38" s="10"/>
      <c r="AL38" s="6"/>
      <c r="AM38" s="6"/>
      <c r="AN38" s="6"/>
      <c r="AO38" s="6"/>
      <c r="AP38" s="6"/>
      <c r="AQ38" s="6"/>
    </row>
    <row r="39" spans="1:44" x14ac:dyDescent="0.55000000000000004">
      <c r="AL39" s="6"/>
      <c r="AM39" s="6"/>
      <c r="AN39" s="6"/>
      <c r="AO39" s="6"/>
      <c r="AP39" s="6"/>
      <c r="AQ39" s="6"/>
    </row>
    <row r="40" spans="1:44" x14ac:dyDescent="0.55000000000000004">
      <c r="AL40" s="6"/>
      <c r="AM40" s="6"/>
      <c r="AN40" s="6"/>
      <c r="AO40" s="6"/>
      <c r="AP40" s="6"/>
      <c r="AQ40" s="6"/>
    </row>
    <row r="43" spans="1:44" ht="14.7" thickBot="1" x14ac:dyDescent="0.6"/>
    <row r="44" spans="1:44" x14ac:dyDescent="0.55000000000000004">
      <c r="A44" s="159" t="str">
        <f>_xlfn.CONCAT("DK_InPlane (Thickness = ",$C$1,"µm)")</f>
        <v>DK_InPlane (Thickness = 64µm)</v>
      </c>
      <c r="B44" s="160"/>
      <c r="C44" s="160"/>
      <c r="D44" s="160"/>
      <c r="E44" s="160"/>
      <c r="F44" s="160"/>
      <c r="G44" s="160"/>
      <c r="H44" s="161"/>
      <c r="J44" s="159" t="str">
        <f>_xlfn.CONCAT("DK_OutofPlane (Thickness = ",$C$1,"µm)")</f>
        <v>DK_OutofPlane (Thickness = 64µm)</v>
      </c>
      <c r="K44" s="160"/>
      <c r="L44" s="160"/>
      <c r="M44" s="160"/>
      <c r="N44" s="160"/>
      <c r="O44" s="160"/>
      <c r="P44" s="160"/>
      <c r="Q44" s="161"/>
      <c r="R44" s="109"/>
      <c r="S44" s="159" t="str">
        <f>_xlfn.CONCAT("DF (Thickness = ",$C$1,"µm)")</f>
        <v>DF (Thickness = 64µm)</v>
      </c>
      <c r="T44" s="160"/>
      <c r="U44" s="160"/>
      <c r="V44" s="160"/>
      <c r="W44" s="160"/>
      <c r="X44" s="160"/>
      <c r="Y44" s="160"/>
      <c r="Z44" s="161"/>
      <c r="AR44" s="8"/>
    </row>
    <row r="45" spans="1:44" x14ac:dyDescent="0.55000000000000004">
      <c r="A45" s="57" t="str">
        <f t="shared" ref="A45:H45" si="50">A24</f>
        <v>Thickness (um)</v>
      </c>
      <c r="B45" s="74" t="str">
        <f t="shared" si="50"/>
        <v>RC (%)</v>
      </c>
      <c r="C45" s="53">
        <f t="shared" si="50"/>
        <v>1</v>
      </c>
      <c r="D45" s="53">
        <f t="shared" si="50"/>
        <v>3</v>
      </c>
      <c r="E45" s="53">
        <f t="shared" si="50"/>
        <v>5</v>
      </c>
      <c r="F45" s="53">
        <f t="shared" si="50"/>
        <v>10</v>
      </c>
      <c r="G45" s="53">
        <f t="shared" si="50"/>
        <v>15</v>
      </c>
      <c r="H45" s="58">
        <f t="shared" si="50"/>
        <v>20</v>
      </c>
      <c r="J45" s="57" t="str">
        <f t="shared" ref="J45:Q45" si="51">J24</f>
        <v>Thickness (um)</v>
      </c>
      <c r="K45" s="74" t="str">
        <f t="shared" si="51"/>
        <v>RC (%)</v>
      </c>
      <c r="L45" s="53">
        <f t="shared" si="51"/>
        <v>1</v>
      </c>
      <c r="M45" s="53">
        <f t="shared" si="51"/>
        <v>3</v>
      </c>
      <c r="N45" s="53">
        <f t="shared" si="51"/>
        <v>5</v>
      </c>
      <c r="O45" s="53">
        <f t="shared" si="51"/>
        <v>10</v>
      </c>
      <c r="P45" s="53">
        <f t="shared" si="51"/>
        <v>15</v>
      </c>
      <c r="Q45" s="58">
        <f t="shared" si="51"/>
        <v>20</v>
      </c>
      <c r="R45" s="109"/>
      <c r="S45" s="57" t="str">
        <f t="shared" ref="S45:Z45" si="52">S24</f>
        <v>Thickness (um)</v>
      </c>
      <c r="T45" s="74" t="str">
        <f t="shared" si="52"/>
        <v>RC (%)</v>
      </c>
      <c r="U45" s="53">
        <f t="shared" si="52"/>
        <v>1</v>
      </c>
      <c r="V45" s="53">
        <f t="shared" si="52"/>
        <v>3</v>
      </c>
      <c r="W45" s="53">
        <f t="shared" si="52"/>
        <v>5</v>
      </c>
      <c r="X45" s="53">
        <f t="shared" si="52"/>
        <v>10</v>
      </c>
      <c r="Y45" s="53">
        <f t="shared" si="52"/>
        <v>15</v>
      </c>
      <c r="Z45" s="58">
        <f t="shared" si="52"/>
        <v>20</v>
      </c>
    </row>
    <row r="46" spans="1:44" ht="14.7" thickBot="1" x14ac:dyDescent="0.6">
      <c r="A46" s="64">
        <f>C1</f>
        <v>64</v>
      </c>
      <c r="B46" s="116">
        <f>SLOPE(B10:B12,A10:A12)*A46+INTERCEPT(B10:B12,A10:A12)</f>
        <v>0.71786780383795323</v>
      </c>
      <c r="C46" s="67">
        <f t="shared" ref="C46:H46" si="53">((C$20*(100%-$B46))+(C$21*$B46))/100%</f>
        <v>3.0750618686427345</v>
      </c>
      <c r="D46" s="67">
        <f t="shared" si="53"/>
        <v>3.0716005452829522</v>
      </c>
      <c r="E46" s="67">
        <f t="shared" si="53"/>
        <v>3.0650618686427347</v>
      </c>
      <c r="F46" s="67">
        <f t="shared" si="53"/>
        <v>3.055061868642734</v>
      </c>
      <c r="G46" s="67">
        <f t="shared" si="53"/>
        <v>3.0450618686427346</v>
      </c>
      <c r="H46" s="68">
        <f t="shared" si="53"/>
        <v>3.0385231920025175</v>
      </c>
      <c r="J46" s="64">
        <f>A46</f>
        <v>64</v>
      </c>
      <c r="K46" s="116">
        <f>SLOPE(B10:B12,A10:A12)*A46+INTERCEPT(B10:B12,A10:A12)</f>
        <v>0.71786780383795323</v>
      </c>
      <c r="L46" s="67">
        <f t="shared" ref="L46:Q46" si="54">100%/((100%-$K46)/C$20+$K46/C$21)</f>
        <v>2.9762065551794485</v>
      </c>
      <c r="M46" s="67">
        <f t="shared" si="54"/>
        <v>2.9576864986215581</v>
      </c>
      <c r="N46" s="67">
        <f t="shared" si="54"/>
        <v>2.9659355132479863</v>
      </c>
      <c r="O46" s="67">
        <f t="shared" si="54"/>
        <v>2.9556629809422992</v>
      </c>
      <c r="P46" s="67">
        <f t="shared" si="54"/>
        <v>2.9453889459358513</v>
      </c>
      <c r="Q46" s="68">
        <f t="shared" si="54"/>
        <v>2.9528641146203602</v>
      </c>
      <c r="R46" s="109"/>
      <c r="S46" s="64">
        <f>J46</f>
        <v>64</v>
      </c>
      <c r="T46" s="116">
        <f>SLOPE(B10:B12,A10:A12)*S46+INTERCEPT(B10:B12,A10:A12)</f>
        <v>0.71786780383795323</v>
      </c>
      <c r="U46" s="99">
        <f>((U$20*(100%-$T46))+(U$21*$T46))/100%</f>
        <v>1.1973417456045297E-3</v>
      </c>
      <c r="V46" s="99">
        <f t="shared" ref="V46:Z46" si="55">((V$20*(100%-$T46))+(V$21*$T46))/100%</f>
        <v>1.4973417456045301E-3</v>
      </c>
      <c r="W46" s="99">
        <f t="shared" si="55"/>
        <v>1.79734174560453E-3</v>
      </c>
      <c r="X46" s="99">
        <f t="shared" si="55"/>
        <v>1.9653867664021808E-3</v>
      </c>
      <c r="Y46" s="99">
        <f t="shared" si="55"/>
        <v>2.1653867664021813E-3</v>
      </c>
      <c r="Z46" s="100">
        <f t="shared" si="55"/>
        <v>2.2653867664021812E-3</v>
      </c>
    </row>
    <row r="47" spans="1:44" x14ac:dyDescent="0.55000000000000004">
      <c r="G47" s="6"/>
      <c r="K47" s="7"/>
      <c r="R47" s="109"/>
    </row>
    <row r="55" spans="45:45" x14ac:dyDescent="0.55000000000000004">
      <c r="AS55" s="8"/>
    </row>
  </sheetData>
  <mergeCells count="35">
    <mergeCell ref="AB25:AI25"/>
    <mergeCell ref="AB26:AC26"/>
    <mergeCell ref="A44:H44"/>
    <mergeCell ref="J44:Q44"/>
    <mergeCell ref="S20:T20"/>
    <mergeCell ref="S21:T21"/>
    <mergeCell ref="S23:Z23"/>
    <mergeCell ref="S44:Z44"/>
    <mergeCell ref="A23:H23"/>
    <mergeCell ref="J23:Q23"/>
    <mergeCell ref="AL13:AL17"/>
    <mergeCell ref="A14:H14"/>
    <mergeCell ref="A20:B20"/>
    <mergeCell ref="AL18:AL22"/>
    <mergeCell ref="A21:B21"/>
    <mergeCell ref="A3:B3"/>
    <mergeCell ref="E3:G3"/>
    <mergeCell ref="AC3:AC5"/>
    <mergeCell ref="AL3:AL7"/>
    <mergeCell ref="A4:B4"/>
    <mergeCell ref="A6:H7"/>
    <mergeCell ref="AB6:AI6"/>
    <mergeCell ref="AC7:AC10"/>
    <mergeCell ref="A8:H8"/>
    <mergeCell ref="AL8:AL12"/>
    <mergeCell ref="A1:B1"/>
    <mergeCell ref="E1:G1"/>
    <mergeCell ref="J1:L1"/>
    <mergeCell ref="AB1:AI1"/>
    <mergeCell ref="AK1:AR1"/>
    <mergeCell ref="A2:B2"/>
    <mergeCell ref="E2:G2"/>
    <mergeCell ref="J2:L2"/>
    <mergeCell ref="AB2:AC2"/>
    <mergeCell ref="AK2:AL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vt:lpstr>
      <vt:lpstr>User Guide</vt:lpstr>
      <vt:lpstr>TU863+_1x2116_Preg</vt:lpstr>
      <vt:lpstr>Tachyon100G_2x1078_Core</vt:lpstr>
      <vt:lpstr>SpeedWave300P_1x1035_Preg</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dc:creator>
  <cp:lastModifiedBy>Ahmed Ibrahim</cp:lastModifiedBy>
  <dcterms:created xsi:type="dcterms:W3CDTF">2024-10-04T04:04:47Z</dcterms:created>
  <dcterms:modified xsi:type="dcterms:W3CDTF">2024-12-06T11:04:39Z</dcterms:modified>
</cp:coreProperties>
</file>