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ehibamr\Downloads\"/>
    </mc:Choice>
  </mc:AlternateContent>
  <xr:revisionPtr revIDLastSave="0" documentId="13_ncr:1_{8424B737-7553-488F-97AA-628409B8AD03}" xr6:coauthVersionLast="47" xr6:coauthVersionMax="47" xr10:uidLastSave="{00000000-0000-0000-0000-000000000000}"/>
  <bookViews>
    <workbookView xWindow="-96" yWindow="-96" windowWidth="23232" windowHeight="12432" activeTab="2" xr2:uid="{5EA1DA88-E9FB-4521-A55E-B04EDA6703B2}"/>
  </bookViews>
  <sheets>
    <sheet name="Revision" sheetId="4" r:id="rId1"/>
    <sheet name="User Guide" sheetId="5" r:id="rId2"/>
    <sheet name="Material Modeler" sheetId="12" r:id="rId3"/>
    <sheet name="Material Database" sheetId="13" r:id="rId4"/>
  </sheets>
  <definedNames>
    <definedName name="Google_Sheet_Link_1785581074" localSheetId="2" hidden="1">_EMI_Filter</definedName>
    <definedName name="Google_Sheet_Link_1785581074" localSheetId="1" hidden="1">_EMI_Filter</definedName>
    <definedName name="Google_Sheet_Link_1785581074" hidden="1">_EMI_Filter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2" l="1"/>
  <c r="AV3" i="13"/>
  <c r="AW3" i="13"/>
  <c r="AX3" i="13"/>
  <c r="AY3" i="13"/>
  <c r="AZ3" i="13"/>
  <c r="BC3" i="13"/>
  <c r="BD3" i="13"/>
  <c r="BE3" i="13"/>
  <c r="BF3" i="13"/>
  <c r="BG3" i="13"/>
  <c r="BB3" i="13"/>
  <c r="BA3" i="13"/>
  <c r="AK3" i="13"/>
  <c r="AL3" i="13"/>
  <c r="AM3" i="13"/>
  <c r="AN3" i="13"/>
  <c r="G12" i="12" s="1"/>
  <c r="AO3" i="13"/>
  <c r="AJ3" i="13"/>
  <c r="AE3" i="13"/>
  <c r="AF3" i="13"/>
  <c r="AG3" i="13"/>
  <c r="AH3" i="13"/>
  <c r="G11" i="12" s="1"/>
  <c r="AI3" i="13"/>
  <c r="AD3" i="13"/>
  <c r="A11" i="12"/>
  <c r="B11" i="12"/>
  <c r="C11" i="12"/>
  <c r="D11" i="12"/>
  <c r="E11" i="12"/>
  <c r="F11" i="12"/>
  <c r="H11" i="12"/>
  <c r="A12" i="12"/>
  <c r="B12" i="12"/>
  <c r="C12" i="12"/>
  <c r="D12" i="12"/>
  <c r="E12" i="12"/>
  <c r="F12" i="12"/>
  <c r="H12" i="12"/>
  <c r="C3" i="13"/>
  <c r="B3" i="13"/>
  <c r="H3" i="12" l="1"/>
  <c r="BJ7" i="13"/>
  <c r="BJ6" i="13"/>
  <c r="BJ5" i="13"/>
  <c r="BJ4" i="13"/>
  <c r="BJ3" i="13"/>
  <c r="C1" i="12"/>
  <c r="C2" i="12"/>
  <c r="C4" i="12"/>
  <c r="H1" i="12"/>
  <c r="H2" i="12"/>
  <c r="M3" i="12"/>
  <c r="A10" i="12"/>
  <c r="A25" i="12" s="1"/>
  <c r="S26" i="12"/>
  <c r="S27" i="12"/>
  <c r="B10" i="12"/>
  <c r="K26" i="12"/>
  <c r="T27" i="12"/>
  <c r="C9" i="12"/>
  <c r="C10" i="12"/>
  <c r="D9" i="12"/>
  <c r="D24" i="12" s="1"/>
  <c r="D45" i="12" s="1"/>
  <c r="D10" i="12"/>
  <c r="E9" i="12"/>
  <c r="F9" i="12"/>
  <c r="G9" i="12"/>
  <c r="P24" i="12" s="1"/>
  <c r="H9" i="12"/>
  <c r="E10" i="12"/>
  <c r="F10" i="12"/>
  <c r="G10" i="12"/>
  <c r="H10" i="12"/>
  <c r="A16" i="12"/>
  <c r="A17" i="12"/>
  <c r="A18" i="12"/>
  <c r="B16" i="12"/>
  <c r="B17" i="12"/>
  <c r="B18" i="12"/>
  <c r="C15" i="12"/>
  <c r="D15" i="12"/>
  <c r="E15" i="12"/>
  <c r="F15" i="12"/>
  <c r="G15" i="12"/>
  <c r="H15" i="12"/>
  <c r="C16" i="12"/>
  <c r="D16" i="12"/>
  <c r="E16" i="12"/>
  <c r="F16" i="12"/>
  <c r="G16" i="12"/>
  <c r="C17" i="12"/>
  <c r="D17" i="12"/>
  <c r="E17" i="12"/>
  <c r="F17" i="12"/>
  <c r="G17" i="12"/>
  <c r="H17" i="12"/>
  <c r="C18" i="12"/>
  <c r="D18" i="12"/>
  <c r="E18" i="12"/>
  <c r="F18" i="12"/>
  <c r="G18" i="12"/>
  <c r="H18" i="12"/>
  <c r="H16" i="12"/>
  <c r="C5" i="13"/>
  <c r="M2" i="12" s="1"/>
  <c r="B5" i="13"/>
  <c r="M1" i="12" s="1"/>
  <c r="C4" i="13"/>
  <c r="B4" i="13"/>
  <c r="T24" i="12"/>
  <c r="T45" i="12" s="1"/>
  <c r="S24" i="12"/>
  <c r="S45" i="12" s="1"/>
  <c r="K24" i="12"/>
  <c r="K45" i="12" s="1"/>
  <c r="J24" i="12"/>
  <c r="J45" i="12" s="1"/>
  <c r="B24" i="12"/>
  <c r="B45" i="12" s="1"/>
  <c r="A24" i="12"/>
  <c r="A45" i="12" s="1"/>
  <c r="AL18" i="12"/>
  <c r="AL13" i="12"/>
  <c r="AL8" i="12"/>
  <c r="AL3" i="12"/>
  <c r="AK1" i="12"/>
  <c r="AB1" i="12"/>
  <c r="AC3" i="12" l="1"/>
  <c r="A46" i="12"/>
  <c r="K46" i="12" s="1"/>
  <c r="U24" i="12"/>
  <c r="U45" i="12" s="1"/>
  <c r="A27" i="12"/>
  <c r="B27" i="12"/>
  <c r="X20" i="12"/>
  <c r="X21" i="12" s="1"/>
  <c r="G24" i="12"/>
  <c r="G45" i="12" s="1"/>
  <c r="X24" i="12"/>
  <c r="X45" i="12" s="1"/>
  <c r="E24" i="12"/>
  <c r="E45" i="12" s="1"/>
  <c r="Y20" i="12"/>
  <c r="Y21" i="12" s="1"/>
  <c r="Z20" i="12"/>
  <c r="Z21" i="12" s="1"/>
  <c r="U20" i="12"/>
  <c r="U21" i="12" s="1"/>
  <c r="V20" i="12"/>
  <c r="W20" i="12"/>
  <c r="W21" i="12" s="1"/>
  <c r="K27" i="12"/>
  <c r="D20" i="12"/>
  <c r="D21" i="12" s="1"/>
  <c r="T26" i="12"/>
  <c r="E20" i="12"/>
  <c r="E21" i="12" s="1"/>
  <c r="C20" i="12"/>
  <c r="C21" i="12" s="1"/>
  <c r="F20" i="12"/>
  <c r="F21" i="12" s="1"/>
  <c r="G20" i="12"/>
  <c r="G21" i="12" s="1"/>
  <c r="B25" i="12"/>
  <c r="H20" i="12"/>
  <c r="H21" i="12" s="1"/>
  <c r="K25" i="12"/>
  <c r="T25" i="12"/>
  <c r="B26" i="12"/>
  <c r="J25" i="12"/>
  <c r="A26" i="12"/>
  <c r="J27" i="12"/>
  <c r="J26" i="12"/>
  <c r="S25" i="12"/>
  <c r="Q24" i="12"/>
  <c r="Q45" i="12" s="1"/>
  <c r="Z24" i="12"/>
  <c r="Z45" i="12" s="1"/>
  <c r="O24" i="12"/>
  <c r="AP2" i="12" s="1"/>
  <c r="F24" i="12"/>
  <c r="F45" i="12" s="1"/>
  <c r="N24" i="12"/>
  <c r="AO2" i="12" s="1"/>
  <c r="H24" i="12"/>
  <c r="H45" i="12" s="1"/>
  <c r="P45" i="12"/>
  <c r="AQ2" i="12"/>
  <c r="Y24" i="12"/>
  <c r="Y45" i="12" s="1"/>
  <c r="W24" i="12"/>
  <c r="W45" i="12" s="1"/>
  <c r="V24" i="12"/>
  <c r="V45" i="12" s="1"/>
  <c r="M24" i="12"/>
  <c r="AE2" i="12" s="1"/>
  <c r="C24" i="12"/>
  <c r="C45" i="12" s="1"/>
  <c r="L24" i="12"/>
  <c r="AM2" i="12" s="1"/>
  <c r="AB6" i="12"/>
  <c r="AC7" i="12"/>
  <c r="A44" i="12"/>
  <c r="J44" i="12"/>
  <c r="AH2" i="12"/>
  <c r="J46" i="12" l="1"/>
  <c r="S46" i="12" s="1"/>
  <c r="T46" i="12" s="1"/>
  <c r="Z46" i="12" s="1"/>
  <c r="AR9" i="12" s="1"/>
  <c r="B46" i="12"/>
  <c r="H46" i="12" s="1"/>
  <c r="S44" i="12"/>
  <c r="AQ10" i="12"/>
  <c r="AQ11" i="12" s="1"/>
  <c r="AH3" i="12"/>
  <c r="AH4" i="12" s="1"/>
  <c r="AM20" i="12"/>
  <c r="AM21" i="12" s="1"/>
  <c r="E27" i="12"/>
  <c r="D27" i="12"/>
  <c r="W26" i="12"/>
  <c r="Z25" i="12"/>
  <c r="Y26" i="12"/>
  <c r="X26" i="12"/>
  <c r="C25" i="12"/>
  <c r="N45" i="12"/>
  <c r="V21" i="12"/>
  <c r="V26" i="12" s="1"/>
  <c r="U27" i="12"/>
  <c r="U26" i="12"/>
  <c r="P25" i="12"/>
  <c r="G26" i="12"/>
  <c r="AI2" i="12"/>
  <c r="AI26" i="12" s="1"/>
  <c r="AR2" i="12"/>
  <c r="AR10" i="12" s="1"/>
  <c r="AR11" i="12" s="1"/>
  <c r="AP20" i="12"/>
  <c r="AP21" i="12" s="1"/>
  <c r="AP10" i="12"/>
  <c r="AP11" i="12" s="1"/>
  <c r="AP5" i="12"/>
  <c r="AP6" i="12" s="1"/>
  <c r="AP15" i="12"/>
  <c r="AP16" i="12" s="1"/>
  <c r="AF2" i="12"/>
  <c r="Z26" i="12"/>
  <c r="Z27" i="12"/>
  <c r="U25" i="12"/>
  <c r="H27" i="12"/>
  <c r="O25" i="12"/>
  <c r="G27" i="12"/>
  <c r="O27" i="12"/>
  <c r="O26" i="12"/>
  <c r="H26" i="12"/>
  <c r="F25" i="12"/>
  <c r="G25" i="12"/>
  <c r="P27" i="12"/>
  <c r="P26" i="12"/>
  <c r="O46" i="12"/>
  <c r="F27" i="12"/>
  <c r="F26" i="12"/>
  <c r="H25" i="12"/>
  <c r="Q25" i="12"/>
  <c r="Q27" i="12"/>
  <c r="Q26" i="12"/>
  <c r="AQ5" i="12"/>
  <c r="AQ6" i="12" s="1"/>
  <c r="AH26" i="12"/>
  <c r="O45" i="12"/>
  <c r="AG2" i="12"/>
  <c r="AN2" i="12"/>
  <c r="AN5" i="12" s="1"/>
  <c r="AN6" i="12" s="1"/>
  <c r="AQ20" i="12"/>
  <c r="AQ21" i="12" s="1"/>
  <c r="AQ15" i="12"/>
  <c r="AQ16" i="12" s="1"/>
  <c r="M45" i="12"/>
  <c r="AM5" i="12"/>
  <c r="AM6" i="12" s="1"/>
  <c r="AM10" i="12"/>
  <c r="AM11" i="12" s="1"/>
  <c r="AD2" i="12"/>
  <c r="AD3" i="12" s="1"/>
  <c r="AD4" i="12" s="1"/>
  <c r="L45" i="12"/>
  <c r="AM15" i="12"/>
  <c r="AM16" i="12" s="1"/>
  <c r="Q46" i="12"/>
  <c r="P46" i="12"/>
  <c r="M46" i="12"/>
  <c r="D26" i="12"/>
  <c r="E26" i="12"/>
  <c r="C26" i="12"/>
  <c r="Y25" i="12"/>
  <c r="X25" i="12"/>
  <c r="L25" i="12"/>
  <c r="Y27" i="12"/>
  <c r="X27" i="12"/>
  <c r="AO20" i="12"/>
  <c r="AO21" i="12" s="1"/>
  <c r="AO15" i="12"/>
  <c r="AO16" i="12" s="1"/>
  <c r="AO5" i="12"/>
  <c r="AO6" i="12" s="1"/>
  <c r="AO10" i="12"/>
  <c r="AO11" i="12" s="1"/>
  <c r="AE3" i="12"/>
  <c r="AE4" i="12" s="1"/>
  <c r="AE26" i="12"/>
  <c r="N46" i="12"/>
  <c r="N27" i="12"/>
  <c r="C27" i="12"/>
  <c r="W25" i="12"/>
  <c r="M26" i="12"/>
  <c r="L46" i="12"/>
  <c r="L27" i="12"/>
  <c r="E25" i="12"/>
  <c r="M27" i="12"/>
  <c r="D25" i="12"/>
  <c r="W27" i="12"/>
  <c r="N26" i="12"/>
  <c r="N25" i="12"/>
  <c r="L26" i="12"/>
  <c r="M25" i="12"/>
  <c r="C6" i="4"/>
  <c r="C46" i="12" l="1"/>
  <c r="AM3" i="12" s="1"/>
  <c r="G46" i="12"/>
  <c r="AQ8" i="12" s="1"/>
  <c r="AQ12" i="12" s="1"/>
  <c r="F46" i="12"/>
  <c r="AP3" i="12" s="1"/>
  <c r="AP7" i="12" s="1"/>
  <c r="D46" i="12"/>
  <c r="AN8" i="12" s="1"/>
  <c r="E46" i="12"/>
  <c r="AO18" i="12" s="1"/>
  <c r="X46" i="12"/>
  <c r="AP9" i="12" s="1"/>
  <c r="Y46" i="12"/>
  <c r="AQ4" i="12" s="1"/>
  <c r="W46" i="12"/>
  <c r="U46" i="12"/>
  <c r="AM14" i="12" s="1"/>
  <c r="V27" i="12"/>
  <c r="AF3" i="12"/>
  <c r="AF4" i="12" s="1"/>
  <c r="V25" i="12"/>
  <c r="V46" i="12"/>
  <c r="AN14" i="12" s="1"/>
  <c r="AF26" i="12"/>
  <c r="AR20" i="12"/>
  <c r="AR21" i="12" s="1"/>
  <c r="AR15" i="12"/>
  <c r="AR16" i="12" s="1"/>
  <c r="AR5" i="12"/>
  <c r="AR6" i="12" s="1"/>
  <c r="AI3" i="12"/>
  <c r="AI4" i="12" s="1"/>
  <c r="AR14" i="12"/>
  <c r="AR19" i="12"/>
  <c r="AR4" i="12"/>
  <c r="AR8" i="12"/>
  <c r="AR12" i="12" s="1"/>
  <c r="AI28" i="12" s="1"/>
  <c r="AN15" i="12"/>
  <c r="AN16" i="12" s="1"/>
  <c r="AN20" i="12"/>
  <c r="AN21" i="12" s="1"/>
  <c r="AN10" i="12"/>
  <c r="AN11" i="12" s="1"/>
  <c r="AD26" i="12"/>
  <c r="AR3" i="12"/>
  <c r="AR7" i="12" s="1"/>
  <c r="AI7" i="12"/>
  <c r="AR18" i="12"/>
  <c r="AR22" i="12" s="1"/>
  <c r="AI5" i="12"/>
  <c r="AR13" i="12"/>
  <c r="AR17" i="12" s="1"/>
  <c r="AG3" i="12"/>
  <c r="AG4" i="12" s="1"/>
  <c r="AG26" i="12"/>
  <c r="AH5" i="12" l="1"/>
  <c r="AH8" i="12" s="1"/>
  <c r="AH9" i="12" s="1"/>
  <c r="AQ18" i="12"/>
  <c r="AQ22" i="12" s="1"/>
  <c r="AQ3" i="12"/>
  <c r="AQ7" i="12" s="1"/>
  <c r="AQ13" i="12"/>
  <c r="AQ17" i="12" s="1"/>
  <c r="AM13" i="12"/>
  <c r="AM17" i="12" s="1"/>
  <c r="AD29" i="12" s="1"/>
  <c r="AM18" i="12"/>
  <c r="AM22" i="12" s="1"/>
  <c r="AD5" i="12"/>
  <c r="AD8" i="12" s="1"/>
  <c r="AD9" i="12" s="1"/>
  <c r="AM8" i="12"/>
  <c r="AM12" i="12" s="1"/>
  <c r="AG5" i="12"/>
  <c r="AG8" i="12" s="1"/>
  <c r="AG9" i="12" s="1"/>
  <c r="AP13" i="12"/>
  <c r="AP17" i="12" s="1"/>
  <c r="AP18" i="12"/>
  <c r="AP22" i="12" s="1"/>
  <c r="AP8" i="12"/>
  <c r="AP12" i="12" s="1"/>
  <c r="AO13" i="12"/>
  <c r="AO17" i="12" s="1"/>
  <c r="AN13" i="12"/>
  <c r="AN17" i="12" s="1"/>
  <c r="AE29" i="12" s="1"/>
  <c r="AN3" i="12"/>
  <c r="AN7" i="12" s="1"/>
  <c r="AN18" i="12"/>
  <c r="AN22" i="12" s="1"/>
  <c r="AE5" i="12"/>
  <c r="AE8" i="12" s="1"/>
  <c r="AE9" i="12" s="1"/>
  <c r="AD7" i="12"/>
  <c r="AO3" i="12"/>
  <c r="AO7" i="12" s="1"/>
  <c r="AF5" i="12"/>
  <c r="AF8" i="12" s="1"/>
  <c r="AF9" i="12" s="1"/>
  <c r="AF7" i="12"/>
  <c r="AO8" i="12"/>
  <c r="AO12" i="12" s="1"/>
  <c r="AP14" i="12"/>
  <c r="AQ9" i="12"/>
  <c r="AH28" i="12" s="1"/>
  <c r="AO4" i="12"/>
  <c r="AM4" i="12"/>
  <c r="AO19" i="12"/>
  <c r="AO9" i="12"/>
  <c r="AQ19" i="12"/>
  <c r="AQ14" i="12"/>
  <c r="AH7" i="12"/>
  <c r="AM19" i="12"/>
  <c r="AM9" i="12"/>
  <c r="AO14" i="12"/>
  <c r="AG7" i="12"/>
  <c r="AP19" i="12"/>
  <c r="AP4" i="12"/>
  <c r="AG27" i="12" s="1"/>
  <c r="AE7" i="12"/>
  <c r="AN9" i="12"/>
  <c r="AN4" i="12"/>
  <c r="AN19" i="12"/>
  <c r="AI8" i="12"/>
  <c r="AI9" i="12" s="1"/>
  <c r="AI10" i="12" s="1"/>
  <c r="AI30" i="12"/>
  <c r="AI27" i="12"/>
  <c r="AI29" i="12"/>
  <c r="AM7" i="12"/>
  <c r="AO22" i="12"/>
  <c r="AN12" i="12"/>
  <c r="AH10" i="12" l="1"/>
  <c r="AH27" i="12"/>
  <c r="AH30" i="12"/>
  <c r="AH29" i="12"/>
  <c r="AD30" i="12"/>
  <c r="AD10" i="12"/>
  <c r="AG29" i="12"/>
  <c r="AG28" i="12"/>
  <c r="AG30" i="12"/>
  <c r="AE10" i="12"/>
  <c r="AF10" i="12"/>
  <c r="AF27" i="12"/>
  <c r="AD27" i="12"/>
  <c r="AF28" i="12"/>
  <c r="AF30" i="12"/>
  <c r="AF29" i="12"/>
  <c r="AG10" i="12"/>
  <c r="AD28" i="12"/>
  <c r="AE27" i="12"/>
  <c r="AE30" i="12"/>
  <c r="AE28"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tc={E97AE688-3969-4F50-A487-14FACFE2A845}</author>
    <author>tc={CEBCA5BB-DA04-4CEF-8896-C9B55BB93219}</author>
    <author>tc={34B7EF02-D9A0-4C61-976B-2D605D567AA9}</author>
    <author>tc={2DD58A31-3C5A-46E8-8683-54E646CEB351}</author>
    <author>tc={C7B8FB46-955B-4EAA-AC94-EE48B10ADE49}</author>
    <author>tc={279B2362-8AEC-4225-A348-43B8383E3CDC}</author>
    <author>tc={00A80220-E9FD-4105-BA33-F474A3475211}</author>
    <author>tc={3DA56ABE-6FEF-4BF9-968C-02DB5C890AFE}</author>
    <author>tc={1E493E4C-872F-4B42-8A9E-97358BD8C750}</author>
    <author>tc={A24CF183-AD96-4234-9AE7-C2955C2EA0E7}</author>
    <author>tc={52CE62EB-3E3C-4A84-8AEF-ACB354278495}</author>
    <author>tc={F034D817-1EC2-470C-98D9-0B3489AE4C85}</author>
    <author>tc={33195EFF-F62B-4825-8D58-9832F1292A8C}</author>
    <author>tc={48BE5FDE-F68A-49CD-80D0-197163CD3554}</author>
    <author>tc={8016D416-AA0D-479F-9E76-5229FEE740FF}</author>
    <author>tc={D4093EF6-FA9A-4633-A1B4-754703A5FE08}</author>
    <author>tc={412F86C3-7516-4782-8066-3AF4F5B8D440}</author>
    <author>tc={F678E52A-0452-4D97-A36F-6E533FDD2D29}</author>
    <author>tc={737C9ECB-3F8B-44FC-8859-7983153941A3}</author>
    <author>tc={0352E7A0-5B3E-4D7B-8146-F2FEA717A90F}</author>
    <author>tc={4D034C31-E8E2-47C9-A64B-5D536F7A5046}</author>
    <author>tc={CF3C4527-BB21-41A6-A59A-EE46F4A9A486}</author>
    <author>tc={4DBFE2E7-77E8-4575-867C-A87F6987BFA4}</author>
    <author>tc={E5573892-4454-44B8-9D55-F3B175BBE1B4}</author>
    <author>tc={4DC5EA6A-5255-4BD6-A298-0FAE9172B0A3}</author>
    <author>tc={06BB6BC3-3D01-4E3C-9BFC-1404A62D247F}</author>
    <author>tc={5091EEAE-86CB-4E54-8EEE-E97C8E78C8BD}</author>
    <author>tc={1B17BAF3-4CA2-4846-8C10-3A7A9F47307C}</author>
    <author>tc={7A12ABDE-7C38-484D-BE36-FAEB7C8EBB7A}</author>
  </authors>
  <commentList>
    <comment ref="C1" authorId="0" shapeId="0" xr:uid="{E97AE688-3969-4F50-A487-14FACFE2A845}">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H1" authorId="1" shapeId="0" xr:uid="{CEBCA5BB-DA04-4CEF-8896-C9B55BB93219}">
      <text>
        <t>[Threaded comment]
Your version of Excel allows you to read this threaded comment; however, any edits to it will get removed if the file is opened in a newer version of Excel. Learn more: https://go.microsoft.com/fwlink/?linkid=870924
Comment:
    Conductivity of Copper</t>
      </text>
    </comment>
    <comment ref="M1" authorId="2" shapeId="0" xr:uid="{34B7EF02-D9A0-4C61-976B-2D605D567AA9}">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3" shapeId="0" xr:uid="{2DD58A31-3C5A-46E8-8683-54E646CEB351}">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H2" authorId="4" shapeId="0" xr:uid="{C7B8FB46-955B-4EAA-AC94-EE48B10ADE49}">
      <text>
        <t>[Threaded comment]
Your version of Excel allows you to read this threaded comment; however, any edits to it will get removed if the file is opened in a newer version of Excel. Learn more: https://go.microsoft.com/fwlink/?linkid=870924
Comment:
    Temperature</t>
      </text>
    </comment>
    <comment ref="M2" authorId="5" shapeId="0" xr:uid="{279B2362-8AEC-4225-A348-43B8383E3CDC}">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C3" authorId="6" shapeId="0" xr:uid="{00A80220-E9FD-4105-BA33-F474A3475211}">
      <text>
        <t>[Threaded comment]
Your version of Excel allows you to read this threaded comment; however, any edits to it will get removed if the file is opened in a newer version of Excel. Learn more: https://go.microsoft.com/fwlink/?linkid=870924
Comment:
    Stripline width</t>
      </text>
    </comment>
    <comment ref="H3" authorId="7" shapeId="0" xr:uid="{3DA56ABE-6FEF-4BF9-968C-02DB5C890AFE}">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M3" authorId="8" shapeId="0" xr:uid="{1E493E4C-872F-4B42-8A9E-97358BD8C750}">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AB3" authorId="9" shapeId="0" xr:uid="{A24CF183-AD96-4234-9AE7-C2955C2EA0E7}">
      <text>
        <t>[Threaded comment]
Your version of Excel allows you to read this threaded comment; however, any edits to it will get removed if the file is opened in a newer version of Excel. Learn more: https://go.microsoft.com/fwlink/?linkid=870924
Comment:
    δs = sqrt(2/(σωµ))</t>
      </text>
    </comment>
    <comment ref="C4" authorId="10" shapeId="0" xr:uid="{52CE62EB-3E3C-4A84-8AEF-ACB354278495}">
      <text>
        <t>[Threaded comment]
Your version of Excel allows you to read this threaded comment; however, any edits to it will get removed if the file is opened in a newer version of Excel. Learn more: https://go.microsoft.com/fwlink/?linkid=870924
Comment:
    Stripline spacing</t>
      </text>
    </comment>
    <comment ref="AB4" authorId="11" shapeId="0" xr:uid="{F034D817-1EC2-470C-98D9-0B3489AE4C85}">
      <text>
        <t>[Threaded comment]
Your version of Excel allows you to read this threaded comment; however, any edits to it will get removed if the file is opened in a newer version of Excel. Learn more: https://go.microsoft.com/fwlink/?linkid=870924
Comment:
    R' = Rstrip + Rgnd = 1/(σ δs W) + 0.15/(σ δs W)1`</t>
      </text>
    </comment>
    <comment ref="AB5" authorId="12" shapeId="0" xr:uid="{33195EFF-F62B-4825-8D58-9832F1292A8C}">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5" authorId="13" shapeId="0" xr:uid="{48BE5FDE-F68A-49CD-80D0-197163CD3554}">
      <text>
        <t>[Threaded comment]
Your version of Excel allows you to read this threaded comment; however, any edits to it will get removed if the file is opened in a newer version of Excel. Learn more: https://go.microsoft.com/fwlink/?linkid=870924
Comment:
    δs = sqrt(2/(σωµ))</t>
      </text>
    </comment>
    <comment ref="AK6" authorId="14" shapeId="0" xr:uid="{8016D416-AA0D-479F-9E76-5229FEE740FF}">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7" authorId="15" shapeId="0" xr:uid="{D4093EF6-FA9A-4633-A1B4-754703A5FE08}">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K7" authorId="16" shapeId="0" xr:uid="{412F86C3-7516-4782-8066-3AF4F5B8D440}">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8" authorId="17" shapeId="0" xr:uid="{F678E52A-0452-4D97-A36F-6E533FDD2D29}">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B9" authorId="18" shapeId="0" xr:uid="{737C9ECB-3F8B-44FC-8859-7983153941A3}">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B10" authorId="19" shapeId="0" xr:uid="{0352E7A0-5B3E-4D7B-8146-F2FEA717A90F}">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10" authorId="20" shapeId="0" xr:uid="{4D034C31-E8E2-47C9-A64B-5D536F7A5046}">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1" authorId="21" shapeId="0" xr:uid="{CF3C4527-BB21-41A6-A59A-EE46F4A9A486}">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2" authorId="22" shapeId="0" xr:uid="{4DBFE2E7-77E8-4575-867C-A87F6987BFA4}">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15" authorId="23" shapeId="0" xr:uid="{E5573892-4454-44B8-9D55-F3B175BBE1B4}">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6" authorId="24" shapeId="0" xr:uid="{4DC5EA6A-5255-4BD6-A298-0FAE9172B0A3}">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7" authorId="25" shapeId="0" xr:uid="{06BB6BC3-3D01-4E3C-9BFC-1404A62D247F}">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20" authorId="26" shapeId="0" xr:uid="{5091EEAE-86CB-4E54-8EEE-E97C8E78C8BD}">
      <text>
        <t>[Threaded comment]
Your version of Excel allows you to read this threaded comment; however, any edits to it will get removed if the file is opened in a newer version of Excel. Learn more: https://go.microsoft.com/fwlink/?linkid=870924
Comment:
    δs = sqrt(2/(σωµ))</t>
      </text>
    </comment>
    <comment ref="AK21" authorId="27" shapeId="0" xr:uid="{1B17BAF3-4CA2-4846-8C10-3A7A9F47307C}">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22" authorId="28" shapeId="0" xr:uid="{7A12ABDE-7C38-484D-BE36-FAEB7C8EBB7A}">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tc={DA3A8A89-34AB-4C90-8EF9-C1DB1D48FD32}</author>
    <author>tc={8D22B870-DEEF-4577-8F62-C02DEDE49307}</author>
    <author>tc={9BA8CB9F-027F-4019-870C-E19AB2615A09}</author>
    <author>tc={B9DA68C6-6F68-4427-A0DD-EC94F9ECA19D}</author>
    <author>tc={9D859DB6-2A73-437C-B08C-39F36360EBAF}</author>
    <author>tc={AF6BB9F7-C89F-4C7E-BD6B-134C5FFAC4CC}</author>
    <author>tc={74C09A0D-20EC-45EA-859C-642CFD5C8385}</author>
    <author>tc={B6F6F324-6FF3-452A-9D8D-0037EC90FC12}</author>
    <author>tc={96381BDA-6030-42D5-A33B-3467E9414F6A}</author>
    <author>tc={43FCD850-5AA7-4C28-850A-94AC8C23A507}</author>
  </authors>
  <commentList>
    <comment ref="B2" authorId="0" shapeId="0" xr:uid="{DA3A8A89-34AB-4C90-8EF9-C1DB1D48FD32}">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1" shapeId="0" xr:uid="{8D22B870-DEEF-4577-8F62-C02DEDE49307}">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D2" authorId="2" shapeId="0" xr:uid="{9BA8CB9F-027F-4019-870C-E19AB2615A09}">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E2" authorId="3" shapeId="0" xr:uid="{B9DA68C6-6F68-4427-A0DD-EC94F9ECA19D}">
      <text>
        <t>[Threaded comment]
Your version of Excel allows you to read this threaded comment; however, any edits to it will get removed if the file is opened in a newer version of Excel. Learn more: https://go.microsoft.com/fwlink/?linkid=870924
Comment:
    Metal conductivity</t>
      </text>
    </comment>
    <comment ref="F2" authorId="4" shapeId="0" xr:uid="{9D859DB6-2A73-437C-B08C-39F36360EBAF}">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H2" authorId="5" shapeId="0" xr:uid="{AF6BB9F7-C89F-4C7E-BD6B-134C5FFAC4CC}">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I2" authorId="6" shapeId="0" xr:uid="{74C09A0D-20EC-45EA-859C-642CFD5C8385}">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J2" authorId="7" shapeId="0" xr:uid="{B6F6F324-6FF3-452A-9D8D-0037EC90FC12}">
      <text>
        <t>[Threaded comment]
Your version of Excel allows you to read this threaded comment; however, any edits to it will get removed if the file is opened in a newer version of Excel. Learn more: https://go.microsoft.com/fwlink/?linkid=870924
Comment:
    Stripline width</t>
      </text>
    </comment>
    <comment ref="K2" authorId="8" shapeId="0" xr:uid="{96381BDA-6030-42D5-A33B-3467E9414F6A}">
      <text>
        <t>[Threaded comment]
Your version of Excel allows you to read this threaded comment; however, any edits to it will get removed if the file is opened in a newer version of Excel. Learn more: https://go.microsoft.com/fwlink/?linkid=870924
Comment:
    Stripline spacing</t>
      </text>
    </comment>
    <comment ref="BJ2" authorId="9" shapeId="0" xr:uid="{43FCD850-5AA7-4C28-850A-94AC8C23A507}">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List>
</comments>
</file>

<file path=xl/sharedStrings.xml><?xml version="1.0" encoding="utf-8"?>
<sst xmlns="http://schemas.openxmlformats.org/spreadsheetml/2006/main" count="190" uniqueCount="163">
  <si>
    <t>User Input</t>
  </si>
  <si>
    <t>Output</t>
  </si>
  <si>
    <t>Temp (°C)</t>
  </si>
  <si>
    <t xml:space="preserve">Trace Width W (µm): </t>
  </si>
  <si>
    <t>Skin Depth δs (µm)</t>
  </si>
  <si>
    <t>Dk_avg</t>
  </si>
  <si>
    <t xml:space="preserve">Trace Spacing S (µm): </t>
  </si>
  <si>
    <t>Df</t>
  </si>
  <si>
    <t>δs (µm)</t>
  </si>
  <si>
    <t>Note: When Dk is measured by an in-plane method (SPC or Cylindrical Resonator), effective Dk is linear to resin content for a given glass style.</t>
  </si>
  <si>
    <t>Zdiff (Ω)</t>
  </si>
  <si>
    <t>DK_Inplane (From the Datasheet)</t>
  </si>
  <si>
    <t>Thickness (um)</t>
  </si>
  <si>
    <t>RC (%)</t>
  </si>
  <si>
    <t>DF (From the Datasheet)</t>
  </si>
  <si>
    <t>Intercept (DK_glass)</t>
  </si>
  <si>
    <t>DK_Resin</t>
  </si>
  <si>
    <t>DK_InPlane (From Dk_Glass, DK_Resin, and RC)</t>
  </si>
  <si>
    <t>DK_OutofPlane (From Dk_Glass, DK_Resin, and RC)</t>
  </si>
  <si>
    <t>Stripline Total Loss vs. Temperature (dB/m)</t>
  </si>
  <si>
    <r>
      <t>R' (</t>
    </r>
    <r>
      <rPr>
        <sz val="11"/>
        <color theme="0"/>
        <rFont val="Calibri"/>
        <family val="2"/>
      </rPr>
      <t>Ω</t>
    </r>
    <r>
      <rPr>
        <sz val="11"/>
        <color theme="0"/>
        <rFont val="Calibri"/>
        <family val="2"/>
        <scheme val="minor"/>
      </rPr>
      <t>)</t>
    </r>
  </si>
  <si>
    <r>
      <rPr>
        <sz val="11"/>
        <color theme="0"/>
        <rFont val="Calibri"/>
        <family val="2"/>
      </rPr>
      <t>α_</t>
    </r>
    <r>
      <rPr>
        <sz val="8"/>
        <color theme="0"/>
        <rFont val="Calibri"/>
        <family val="2"/>
        <scheme val="minor"/>
      </rPr>
      <t>RoughMetal</t>
    </r>
  </si>
  <si>
    <r>
      <rPr>
        <sz val="11"/>
        <color theme="0"/>
        <rFont val="Calibri"/>
        <family val="2"/>
      </rPr>
      <t>α_</t>
    </r>
    <r>
      <rPr>
        <sz val="8"/>
        <color theme="0"/>
        <rFont val="Calibri"/>
        <family val="2"/>
        <scheme val="minor"/>
      </rPr>
      <t>Total</t>
    </r>
  </si>
  <si>
    <r>
      <rPr>
        <sz val="11"/>
        <color theme="0"/>
        <rFont val="Calibri"/>
        <family val="2"/>
      </rPr>
      <t>α_</t>
    </r>
    <r>
      <rPr>
        <sz val="8"/>
        <color theme="0"/>
        <rFont val="Calibri"/>
        <family val="2"/>
        <scheme val="minor"/>
      </rPr>
      <t>Dielectric</t>
    </r>
    <r>
      <rPr>
        <sz val="11"/>
        <color theme="0"/>
        <rFont val="Calibri"/>
        <family val="2"/>
        <scheme val="minor"/>
      </rPr>
      <t xml:space="preserve"> </t>
    </r>
    <r>
      <rPr>
        <b/>
        <sz val="9"/>
        <color theme="0"/>
        <rFont val="Calibri"/>
        <family val="2"/>
        <scheme val="minor"/>
      </rPr>
      <t>(Verified)</t>
    </r>
  </si>
  <si>
    <r>
      <rPr>
        <sz val="11"/>
        <color theme="0"/>
        <rFont val="Calibri"/>
        <family val="2"/>
      </rPr>
      <t>α_</t>
    </r>
    <r>
      <rPr>
        <sz val="8"/>
        <color theme="0"/>
        <rFont val="Calibri"/>
        <family val="2"/>
        <scheme val="minor"/>
      </rPr>
      <t>SmoothMetal</t>
    </r>
    <r>
      <rPr>
        <b/>
        <sz val="9"/>
        <color theme="0"/>
        <rFont val="Calibri"/>
        <family val="2"/>
        <scheme val="minor"/>
      </rPr>
      <t xml:space="preserve"> (Verified)</t>
    </r>
  </si>
  <si>
    <r>
      <t xml:space="preserve">Zdiff (Ω)  </t>
    </r>
    <r>
      <rPr>
        <b/>
        <sz val="9"/>
        <color theme="0"/>
        <rFont val="Calibri"/>
        <family val="2"/>
        <scheme val="minor"/>
      </rPr>
      <t>(Verified)</t>
    </r>
  </si>
  <si>
    <r>
      <t>Resistance/u.l R' (</t>
    </r>
    <r>
      <rPr>
        <sz val="11"/>
        <color theme="0"/>
        <rFont val="Calibri"/>
        <family val="2"/>
      </rPr>
      <t>Ω</t>
    </r>
    <r>
      <rPr>
        <sz val="11"/>
        <color theme="0"/>
        <rFont val="Calibri"/>
        <family val="2"/>
        <scheme val="minor"/>
      </rPr>
      <t>)</t>
    </r>
  </si>
  <si>
    <r>
      <t>DK Coeffcient Tc</t>
    </r>
    <r>
      <rPr>
        <sz val="8"/>
        <color theme="0"/>
        <rFont val="Calibri"/>
        <family val="2"/>
        <scheme val="minor"/>
      </rPr>
      <t>_DK</t>
    </r>
    <r>
      <rPr>
        <sz val="11"/>
        <color theme="0"/>
        <rFont val="Calibri"/>
        <family val="2"/>
        <scheme val="minor"/>
      </rPr>
      <t xml:space="preserve"> (1/°C):</t>
    </r>
  </si>
  <si>
    <r>
      <t>DF Coeffcient Tc</t>
    </r>
    <r>
      <rPr>
        <sz val="8"/>
        <color theme="0"/>
        <rFont val="Calibri"/>
        <family val="2"/>
        <scheme val="minor"/>
      </rPr>
      <t>_DF</t>
    </r>
    <r>
      <rPr>
        <sz val="11"/>
        <color theme="0"/>
        <rFont val="Calibri"/>
        <family val="2"/>
        <scheme val="minor"/>
      </rPr>
      <t xml:space="preserve"> (1/°C):</t>
    </r>
  </si>
  <si>
    <r>
      <t>Conductivity σ</t>
    </r>
    <r>
      <rPr>
        <sz val="8"/>
        <color theme="0"/>
        <rFont val="Calibri"/>
        <family val="2"/>
        <scheme val="minor"/>
      </rPr>
      <t>o</t>
    </r>
    <r>
      <rPr>
        <sz val="11"/>
        <color theme="0"/>
        <rFont val="Calibri"/>
        <family val="2"/>
        <scheme val="minor"/>
      </rPr>
      <t xml:space="preserve"> (S/m):</t>
    </r>
  </si>
  <si>
    <r>
      <t>Metal Coeffcient α</t>
    </r>
    <r>
      <rPr>
        <sz val="8"/>
        <color theme="0"/>
        <rFont val="Calibri"/>
        <family val="2"/>
        <scheme val="minor"/>
      </rPr>
      <t xml:space="preserve">_M </t>
    </r>
    <r>
      <rPr>
        <sz val="11"/>
        <color theme="0"/>
        <rFont val="Calibri"/>
        <family val="2"/>
        <scheme val="minor"/>
      </rPr>
      <t>(1/°C):</t>
    </r>
  </si>
  <si>
    <r>
      <t>Temperature T</t>
    </r>
    <r>
      <rPr>
        <sz val="8"/>
        <color theme="0"/>
        <rFont val="Calibri"/>
        <family val="2"/>
        <scheme val="minor"/>
      </rPr>
      <t>o</t>
    </r>
    <r>
      <rPr>
        <sz val="11"/>
        <color theme="0"/>
        <rFont val="Calibri"/>
        <family val="2"/>
        <scheme val="minor"/>
      </rPr>
      <t xml:space="preserve"> (°C):</t>
    </r>
  </si>
  <si>
    <r>
      <t xml:space="preserve">Roughness_RMS </t>
    </r>
    <r>
      <rPr>
        <sz val="11"/>
        <color theme="0"/>
        <rFont val="Calibri"/>
        <family val="2"/>
      </rPr>
      <t xml:space="preserve">Δ </t>
    </r>
    <r>
      <rPr>
        <sz val="11"/>
        <color theme="0"/>
        <rFont val="Calibri"/>
        <family val="2"/>
        <scheme val="minor"/>
      </rPr>
      <t>(µm):</t>
    </r>
  </si>
  <si>
    <t>About this tool…</t>
  </si>
  <si>
    <t>Version Number</t>
  </si>
  <si>
    <t>Created by</t>
  </si>
  <si>
    <t>Ahmed Ibrahim</t>
  </si>
  <si>
    <t>LICENSE INFORMATION:</t>
  </si>
  <si>
    <t>Copyright © 2024 Teramesh Incorporated</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</si>
  <si>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t>
  </si>
  <si>
    <t>IMPORTANT:</t>
  </si>
  <si>
    <t>1. Do NOT delete this worksheet!</t>
  </si>
  <si>
    <t>2. Redistibutions must retain the above copyright and the following disclaimer</t>
  </si>
  <si>
    <t>DISCLAIMER:</t>
  </si>
  <si>
    <t>THIS SOFTWARE IS PROVIDED BY TERAMESH  "AS IS" AND ANY EXPRESS OR IMPLIED WARRANTIES, INCLUDING, BUT NOT LIMITED TO, THE IMPLIED WARRANTIES OF MERCHANTABILITY AND FIRNESS FOR A PARTICULAR PURPOSE ARE DISCLAIMED. IN NO EVENT SHALL TERAMESH BE LIABLE FOR ANY CLAIM, DAMAGES OR OTHER LIABILITY, WHETHER IN AN ACTION OF CONTRACT, TORT OR OTHERWISE, ARISING FROM, OUT OF OR IN CONNECTION WITH THE SOFTWARE OR THE USE OR OTHER DEALINGS IN THE SOFTWARE.</t>
  </si>
  <si>
    <t>Version History</t>
  </si>
  <si>
    <t>Version</t>
  </si>
  <si>
    <t>Change List Description</t>
  </si>
  <si>
    <t>1.0.0</t>
  </si>
  <si>
    <t>Initial Release</t>
  </si>
  <si>
    <t>PCB MATERIAL MODELER</t>
  </si>
  <si>
    <t>Chosen Thickness (µm) :</t>
  </si>
  <si>
    <t>Metal Thickness t (µm) :</t>
  </si>
  <si>
    <t>USER GUIDE</t>
  </si>
  <si>
    <t>NOTES:</t>
  </si>
  <si>
    <t>Do enter user input ONLY in the yellow-highlighted cells</t>
  </si>
  <si>
    <t>Stripline dimensions</t>
  </si>
  <si>
    <t xml:space="preserve">        PCB process constants</t>
  </si>
  <si>
    <t>Temperature coefficients</t>
  </si>
  <si>
    <t>4- The tool also calculate the stripline loss components (Dielectric loss, smooth metal, and loss due to roughness). Calculation steps are shown as comments on each cell.</t>
  </si>
  <si>
    <t>5- Input up to 4 values of temperature to calculate the stripline loss vs temperature.
The tool takes into consideration the effect of temperature on DK, DF, and Copper conductivity.</t>
  </si>
  <si>
    <t>Intercept (DF_glass)</t>
  </si>
  <si>
    <t>DF_Resin</t>
  </si>
  <si>
    <t>DF (From DF_Glass, DF_Resin, and RC)</t>
  </si>
  <si>
    <t>3- The tool will calculate the DK/DF of the resin and the glass separately, then it will use them to calculate the in-plane effective dielectric constant, the out-of-plane value, and the loss tangent for the chosen dielectric thickness. These are the values that should be fed into field simulators. Calculation steps are detailed in the linked reference (PCB Laminate Material Out-of-plane Dielectric Constant Extraction Methodology)https://ieeexplore.ieee.org/document/9874947</t>
  </si>
  <si>
    <t>1.0.1</t>
  </si>
  <si>
    <t>Added the calculation of loss tangent from the input resin content</t>
  </si>
  <si>
    <t>1.0.2</t>
  </si>
  <si>
    <t>Added more materials</t>
  </si>
  <si>
    <t>C</t>
  </si>
  <si>
    <t>Material</t>
  </si>
  <si>
    <t>W (µm)</t>
  </si>
  <si>
    <t>S (µm)</t>
  </si>
  <si>
    <t>f1 (GHz)</t>
  </si>
  <si>
    <t>f2 (GHz)</t>
  </si>
  <si>
    <t>f3 (GHz)</t>
  </si>
  <si>
    <t>f4 (GHz)</t>
  </si>
  <si>
    <t>f5 (GHz)</t>
  </si>
  <si>
    <t>f6 (GHz)</t>
  </si>
  <si>
    <t>t1 (µm)</t>
  </si>
  <si>
    <t>t2 (µm)</t>
  </si>
  <si>
    <t>t3 (µm)</t>
  </si>
  <si>
    <t>RC1 (%)</t>
  </si>
  <si>
    <t>RC2 (%)</t>
  </si>
  <si>
    <t>RC3 (%)</t>
  </si>
  <si>
    <t>TU863+_1x2116_Preg</t>
  </si>
  <si>
    <t>Tachyon100G_2x1078_Core</t>
  </si>
  <si>
    <t>SpeedWave300P_1x1035_Preg</t>
  </si>
  <si>
    <r>
      <t>T</t>
    </r>
    <r>
      <rPr>
        <sz val="8"/>
        <color theme="0"/>
        <rFont val="Calibri"/>
        <family val="2"/>
        <scheme val="minor"/>
      </rPr>
      <t>o</t>
    </r>
    <r>
      <rPr>
        <sz val="11"/>
        <color theme="0"/>
        <rFont val="Calibri"/>
        <family val="2"/>
        <scheme val="minor"/>
      </rPr>
      <t xml:space="preserve"> (°C)</t>
    </r>
  </si>
  <si>
    <t>t_M (µm)</t>
  </si>
  <si>
    <t>t_D (µm)</t>
  </si>
  <si>
    <t>DK11</t>
  </si>
  <si>
    <t>DK12</t>
  </si>
  <si>
    <t>DK13</t>
  </si>
  <si>
    <t>DK14</t>
  </si>
  <si>
    <t>DK15</t>
  </si>
  <si>
    <t>DK16</t>
  </si>
  <si>
    <t>DK21</t>
  </si>
  <si>
    <t>DK22</t>
  </si>
  <si>
    <t>DK23</t>
  </si>
  <si>
    <t>DK24</t>
  </si>
  <si>
    <t>DK25</t>
  </si>
  <si>
    <t>DK26</t>
  </si>
  <si>
    <t>DK31</t>
  </si>
  <si>
    <t>DK32</t>
  </si>
  <si>
    <t>DK33</t>
  </si>
  <si>
    <t>DK34</t>
  </si>
  <si>
    <t>DK36</t>
  </si>
  <si>
    <t>DK35</t>
  </si>
  <si>
    <t>DF12</t>
  </si>
  <si>
    <t>DF13</t>
  </si>
  <si>
    <t>DF11</t>
  </si>
  <si>
    <t>DF14</t>
  </si>
  <si>
    <t>DF15</t>
  </si>
  <si>
    <t>DF16</t>
  </si>
  <si>
    <t>DF21</t>
  </si>
  <si>
    <t>DF22</t>
  </si>
  <si>
    <t>DF23</t>
  </si>
  <si>
    <t>DF24</t>
  </si>
  <si>
    <t>DF25</t>
  </si>
  <si>
    <t>DF26</t>
  </si>
  <si>
    <t>DF31</t>
  </si>
  <si>
    <t>DF32</t>
  </si>
  <si>
    <t>DF33</t>
  </si>
  <si>
    <t>DF34</t>
  </si>
  <si>
    <t>DF35</t>
  </si>
  <si>
    <t>DF36</t>
  </si>
  <si>
    <t>Tc_DK (1/°C)</t>
  </si>
  <si>
    <t>Tc_DF (1/°C)</t>
  </si>
  <si>
    <t>α_M (1/°C)</t>
  </si>
  <si>
    <t>σo (S/m)</t>
  </si>
  <si>
    <t>Material Constants</t>
  </si>
  <si>
    <t>Base Temperature</t>
  </si>
  <si>
    <t>Δ (µm)</t>
  </si>
  <si>
    <t xml:space="preserve">Stripline geometry for Zdiff=100Ohm </t>
  </si>
  <si>
    <t>6 Frequency Points</t>
  </si>
  <si>
    <t>Dielectric Thickness (Datasheet)</t>
  </si>
  <si>
    <t>Resin Content (Datasheet)</t>
  </si>
  <si>
    <t>In-plane DK value vs frequency (Datasheet) for t1, RC1</t>
  </si>
  <si>
    <t>In-plane DK value vs frequency (Datasheet) for t2, RC2</t>
  </si>
  <si>
    <t>In-plane DK value vs frequency (Datasheet) for t3, RC3</t>
  </si>
  <si>
    <t>DF value vs frequency (Datasheet) for t3, RC3</t>
  </si>
  <si>
    <t>DF value vs frequency (Datasheet) for t2, RC2</t>
  </si>
  <si>
    <t>DF value vs frequency (Datasheet) for t1, RC1</t>
  </si>
  <si>
    <t>A</t>
  </si>
  <si>
    <t>B</t>
  </si>
  <si>
    <t>Database</t>
  </si>
  <si>
    <t>1.1.0</t>
  </si>
  <si>
    <t>Database format</t>
  </si>
  <si>
    <t>Copper Foil</t>
  </si>
  <si>
    <t>Dielectric Material</t>
  </si>
  <si>
    <t>RTF</t>
  </si>
  <si>
    <t>VLP</t>
  </si>
  <si>
    <t>Roughness</t>
  </si>
  <si>
    <t>STD</t>
  </si>
  <si>
    <t>HVLP</t>
  </si>
  <si>
    <t>HVLP2</t>
  </si>
  <si>
    <t>Table2</t>
  </si>
  <si>
    <t>IT170GT_2x1506 (Datasheet not available)</t>
  </si>
  <si>
    <r>
      <t xml:space="preserve">1- Input the stripline dimensions, PCB process constants, and temperature coefficients in the </t>
    </r>
    <r>
      <rPr>
        <b/>
        <u/>
        <sz val="10"/>
        <color theme="0"/>
        <rFont val="Arial"/>
        <family val="2"/>
      </rPr>
      <t>Material Database</t>
    </r>
    <r>
      <rPr>
        <sz val="10"/>
        <color theme="0"/>
        <rFont val="Arial"/>
        <family val="2"/>
      </rPr>
      <t xml:space="preserve"> tab, then select the material and desired copper foil process, and observe the values being read in the </t>
    </r>
    <r>
      <rPr>
        <b/>
        <u/>
        <sz val="10"/>
        <color theme="0"/>
        <rFont val="Arial"/>
        <family val="2"/>
      </rPr>
      <t>Material Modeler</t>
    </r>
    <r>
      <rPr>
        <sz val="10"/>
        <color theme="0"/>
        <rFont val="Arial"/>
        <family val="2"/>
      </rPr>
      <t xml:space="preserve"> tab.</t>
    </r>
  </si>
  <si>
    <t>2- The dielectric constant (DK) in-plane values versus frequency (GHz) for different thicknesses/resin contents. In-plane values are those that were characterized by SPC or Cylindrical resonator. When Dk is measured by an in-plane method (SPC or Cylindrical Resonator), effective Dk is linear to resin content for a given glass style. Then enter DF value as well, the DF value should be almost independent from the dielectric thickness.</t>
  </si>
  <si>
    <t>1.1.1</t>
  </si>
  <si>
    <t>Added a selector for copper foil treatment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</si>
</sst>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E+00"/>
    <numFmt numFmtId="165" formatCode="0.0000"/>
    <numFmt numFmtId="166" formatCode="0.0%"/>
    <numFmt numFmtId="167" formatCode="0.0000E+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8"/>
      <color theme="0"/>
      <name val="Calibri"/>
      <family val="2"/>
      <scheme val="minor"/>
    </font>
    <font>
      <sz val="11"/>
      <color theme="0"/>
      <name val="Calibri"/>
      <family val="2"/>
    </font>
    <font>
      <sz val="8"/>
      <color theme="0"/>
      <name val="Calibri"/>
      <family val="2"/>
      <scheme val="minor"/>
    </font>
    <font>
      <b/>
      <sz val="9"/>
      <color theme="0"/>
      <name val="Calibri"/>
      <family val="2"/>
      <scheme val="minor"/>
    </font>
    <font>
      <b/>
      <sz val="20"/>
      <color theme="0"/>
      <name val="Arial"/>
      <family val="2"/>
    </font>
    <font>
      <sz val="11"/>
      <color rgb="FF000000"/>
      <name val="Calibri"/>
      <family val="2"/>
      <scheme val="minor"/>
    </font>
    <font>
      <sz val="11"/>
      <color theme="1"/>
      <name val="Arial"/>
      <family val="2"/>
    </font>
    <font>
      <b/>
      <sz val="14"/>
      <color theme="0"/>
      <name val="Arial"/>
      <family val="2"/>
    </font>
    <font>
      <u/>
      <sz val="11"/>
      <color theme="10"/>
      <name val="Calibri"/>
      <family val="2"/>
      <scheme val="minor"/>
    </font>
    <font>
      <b/>
      <u/>
      <sz val="11"/>
      <color theme="10"/>
      <name val="Arial"/>
      <family val="2"/>
    </font>
    <font>
      <b/>
      <sz val="16"/>
      <color theme="0"/>
      <name val="Calibri"/>
      <family val="2"/>
      <scheme val="minor"/>
    </font>
    <font>
      <sz val="11"/>
      <color theme="0"/>
      <name val="Arial"/>
      <family val="2"/>
    </font>
    <font>
      <b/>
      <sz val="11"/>
      <name val="Arial"/>
      <family val="2"/>
    </font>
    <font>
      <b/>
      <sz val="10"/>
      <color theme="0"/>
      <name val="Arial"/>
      <family val="2"/>
    </font>
    <font>
      <sz val="10"/>
      <color theme="0"/>
      <name val="Arial"/>
      <family val="2"/>
    </font>
    <font>
      <b/>
      <sz val="10"/>
      <color theme="5"/>
      <name val="Arial"/>
      <family val="2"/>
    </font>
    <font>
      <sz val="8"/>
      <name val="Calibri"/>
      <family val="2"/>
      <scheme val="minor"/>
    </font>
    <font>
      <sz val="11"/>
      <name val="Calibri"/>
      <family val="2"/>
      <scheme val="minor"/>
    </font>
    <font>
      <b/>
      <sz val="14"/>
      <name val="Calibri"/>
      <family val="2"/>
      <scheme val="minor"/>
    </font>
    <font>
      <sz val="11"/>
      <color theme="5"/>
      <name val="Calibri"/>
      <family val="2"/>
      <scheme val="minor"/>
    </font>
    <font>
      <b/>
      <u/>
      <sz val="10"/>
      <color theme="0"/>
      <name val="Arial"/>
      <family val="2"/>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s>
  <borders count="19">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theme="0"/>
      </bottom>
      <diagonal/>
    </border>
    <border>
      <left/>
      <right/>
      <top style="thin">
        <color theme="0"/>
      </top>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top style="thin">
        <color theme="0"/>
      </top>
      <bottom/>
      <diagonal/>
    </border>
    <border>
      <left/>
      <right style="medium">
        <color theme="0"/>
      </right>
      <top style="thin">
        <color theme="0"/>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s>
  <cellStyleXfs count="5">
    <xf numFmtId="0" fontId="0" fillId="0" borderId="0"/>
    <xf numFmtId="9" fontId="1" fillId="0" borderId="0" applyFont="0" applyFill="0" applyBorder="0" applyAlignment="0" applyProtection="0"/>
    <xf numFmtId="0" fontId="1" fillId="0" borderId="0"/>
    <xf numFmtId="0" fontId="10" fillId="0" borderId="0"/>
    <xf numFmtId="0" fontId="13" fillId="0" borderId="0" applyNumberFormat="0" applyFill="0" applyBorder="0" applyAlignment="0" applyProtection="0"/>
  </cellStyleXfs>
  <cellXfs count="218">
    <xf numFmtId="0" fontId="0" fillId="0" borderId="0" xfId="0"/>
    <xf numFmtId="0" fontId="4" fillId="3" borderId="0" xfId="0" applyFont="1" applyFill="1"/>
    <xf numFmtId="0" fontId="4" fillId="3" borderId="0" xfId="0" applyFont="1" applyFill="1" applyAlignment="1">
      <alignment vertical="center"/>
    </xf>
    <xf numFmtId="0" fontId="10" fillId="3" borderId="0" xfId="3" applyFill="1"/>
    <xf numFmtId="0" fontId="12" fillId="3" borderId="0" xfId="2" applyFont="1" applyFill="1" applyAlignment="1">
      <alignment horizontal="left"/>
    </xf>
    <xf numFmtId="0" fontId="1" fillId="3" borderId="0" xfId="2" applyFill="1"/>
    <xf numFmtId="0" fontId="14" fillId="3" borderId="0" xfId="4" applyFont="1" applyFill="1" applyBorder="1" applyAlignment="1">
      <alignment vertical="center"/>
    </xf>
    <xf numFmtId="0" fontId="14" fillId="3" borderId="5" xfId="4" applyFont="1" applyFill="1" applyBorder="1" applyAlignment="1">
      <alignment horizontal="right" vertical="center"/>
    </xf>
    <xf numFmtId="0" fontId="14" fillId="3" borderId="0" xfId="4" applyFont="1" applyFill="1" applyBorder="1" applyAlignment="1">
      <alignment horizontal="right" vertical="center"/>
    </xf>
    <xf numFmtId="0" fontId="4" fillId="3" borderId="4" xfId="3" applyFont="1" applyFill="1" applyBorder="1"/>
    <xf numFmtId="0" fontId="4" fillId="3" borderId="0" xfId="3" applyFont="1" applyFill="1"/>
    <xf numFmtId="0" fontId="4" fillId="3" borderId="5" xfId="3" applyFont="1" applyFill="1" applyBorder="1"/>
    <xf numFmtId="0" fontId="4" fillId="3" borderId="4" xfId="2" applyFont="1" applyFill="1" applyBorder="1"/>
    <xf numFmtId="0" fontId="16" fillId="3" borderId="0" xfId="2" applyFont="1" applyFill="1" applyAlignment="1">
      <alignment horizontal="left"/>
    </xf>
    <xf numFmtId="0" fontId="4" fillId="3" borderId="0" xfId="2" applyFont="1" applyFill="1"/>
    <xf numFmtId="0" fontId="4" fillId="3" borderId="5" xfId="2" applyFont="1" applyFill="1" applyBorder="1"/>
    <xf numFmtId="0" fontId="16" fillId="3" borderId="4" xfId="2" applyFont="1" applyFill="1" applyBorder="1" applyAlignment="1">
      <alignment horizontal="center"/>
    </xf>
    <xf numFmtId="0" fontId="16" fillId="3" borderId="0" xfId="2" applyFont="1" applyFill="1"/>
    <xf numFmtId="0" fontId="1" fillId="3" borderId="5" xfId="2" applyFill="1" applyBorder="1"/>
    <xf numFmtId="0" fontId="17" fillId="5" borderId="4" xfId="2" applyFont="1" applyFill="1" applyBorder="1" applyAlignment="1">
      <alignment horizontal="center"/>
    </xf>
    <xf numFmtId="0" fontId="2" fillId="5" borderId="5" xfId="2" applyFont="1" applyFill="1" applyBorder="1"/>
    <xf numFmtId="0" fontId="16" fillId="3" borderId="6" xfId="2" applyFont="1" applyFill="1" applyBorder="1" applyAlignment="1">
      <alignment horizontal="center"/>
    </xf>
    <xf numFmtId="0" fontId="16" fillId="3" borderId="7" xfId="2" applyFont="1" applyFill="1" applyBorder="1" applyAlignment="1">
      <alignment horizontal="left"/>
    </xf>
    <xf numFmtId="0" fontId="4" fillId="3" borderId="7" xfId="2" applyFont="1" applyFill="1" applyBorder="1"/>
    <xf numFmtId="0" fontId="1" fillId="3" borderId="8" xfId="2" applyFill="1" applyBorder="1"/>
    <xf numFmtId="0" fontId="16" fillId="3" borderId="4" xfId="2" applyFont="1" applyFill="1" applyBorder="1" applyAlignment="1">
      <alignment horizontal="right"/>
    </xf>
    <xf numFmtId="0" fontId="16" fillId="2" borderId="0" xfId="2" applyFont="1" applyFill="1" applyAlignment="1">
      <alignment vertical="top"/>
    </xf>
    <xf numFmtId="0" fontId="16" fillId="3" borderId="0" xfId="2" applyFont="1" applyFill="1" applyAlignment="1">
      <alignment vertical="top"/>
    </xf>
    <xf numFmtId="0" fontId="12" fillId="3" borderId="4" xfId="2" applyFont="1" applyFill="1" applyBorder="1" applyAlignment="1">
      <alignment horizontal="center"/>
    </xf>
    <xf numFmtId="0" fontId="12" fillId="3" borderId="0" xfId="2" applyFont="1" applyFill="1" applyAlignment="1">
      <alignment horizontal="center"/>
    </xf>
    <xf numFmtId="0" fontId="2" fillId="3" borderId="0" xfId="2" applyFont="1" applyFill="1"/>
    <xf numFmtId="0" fontId="19" fillId="3" borderId="0" xfId="2" applyFont="1" applyFill="1"/>
    <xf numFmtId="0" fontId="19" fillId="3" borderId="4" xfId="2" applyFont="1" applyFill="1" applyBorder="1"/>
    <xf numFmtId="0" fontId="4" fillId="3" borderId="4" xfId="3" applyFont="1" applyFill="1" applyBorder="1" applyAlignment="1">
      <alignment vertical="top" wrapText="1"/>
    </xf>
    <xf numFmtId="0" fontId="4" fillId="3" borderId="0" xfId="3" applyFont="1" applyFill="1" applyAlignment="1">
      <alignment vertical="top" wrapText="1"/>
    </xf>
    <xf numFmtId="0" fontId="4" fillId="3" borderId="5" xfId="3" applyFont="1" applyFill="1" applyBorder="1" applyAlignment="1">
      <alignment vertical="top" wrapText="1"/>
    </xf>
    <xf numFmtId="0" fontId="15" fillId="3" borderId="4" xfId="3" applyFont="1" applyFill="1" applyBorder="1"/>
    <xf numFmtId="0" fontId="15" fillId="3" borderId="0" xfId="3" applyFont="1" applyFill="1"/>
    <xf numFmtId="0" fontId="15" fillId="3" borderId="5" xfId="3" applyFont="1" applyFill="1" applyBorder="1"/>
    <xf numFmtId="0" fontId="0" fillId="2" borderId="0" xfId="0" applyFill="1"/>
    <xf numFmtId="0" fontId="0" fillId="2" borderId="7" xfId="0" applyFill="1" applyBorder="1"/>
    <xf numFmtId="0" fontId="18" fillId="3" borderId="4" xfId="2" applyFont="1" applyFill="1" applyBorder="1" applyAlignment="1">
      <alignment vertical="top" wrapText="1"/>
    </xf>
    <xf numFmtId="0" fontId="18" fillId="3" borderId="0" xfId="2" applyFont="1" applyFill="1" applyAlignment="1">
      <alignment vertical="top" wrapText="1"/>
    </xf>
    <xf numFmtId="0" fontId="19" fillId="3" borderId="0" xfId="2" applyFont="1" applyFill="1" applyAlignment="1">
      <alignment horizontal="left" vertical="top" wrapText="1"/>
    </xf>
    <xf numFmtId="0" fontId="19" fillId="3" borderId="0" xfId="2" applyFont="1" applyFill="1" applyAlignment="1">
      <alignment vertical="top" wrapText="1"/>
    </xf>
    <xf numFmtId="0" fontId="18" fillId="3" borderId="5" xfId="2" applyFont="1" applyFill="1" applyBorder="1" applyAlignment="1">
      <alignment vertical="top" wrapText="1"/>
    </xf>
    <xf numFmtId="0" fontId="19" fillId="3" borderId="5" xfId="2" applyFont="1" applyFill="1" applyBorder="1" applyAlignment="1">
      <alignment vertical="top" wrapText="1"/>
    </xf>
    <xf numFmtId="0" fontId="4" fillId="3" borderId="0" xfId="0" applyFont="1" applyFill="1" applyAlignment="1">
      <alignment horizontal="center" vertical="center" wrapText="1"/>
    </xf>
    <xf numFmtId="0" fontId="4"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15" xfId="0" applyFont="1" applyFill="1" applyBorder="1" applyAlignment="1">
      <alignment horizontal="center" vertical="center"/>
    </xf>
    <xf numFmtId="164" fontId="3" fillId="3" borderId="0" xfId="0" applyNumberFormat="1" applyFont="1" applyFill="1" applyAlignment="1">
      <alignment horizontal="center"/>
    </xf>
    <xf numFmtId="164" fontId="3" fillId="3" borderId="0" xfId="0" applyNumberFormat="1" applyFont="1" applyFill="1" applyAlignment="1">
      <alignment horizontal="center" vertical="center" wrapText="1"/>
    </xf>
    <xf numFmtId="11" fontId="3" fillId="3" borderId="0" xfId="0" applyNumberFormat="1" applyFont="1" applyFill="1" applyAlignment="1">
      <alignment horizontal="center" vertical="center" wrapText="1"/>
    </xf>
    <xf numFmtId="0" fontId="22" fillId="3" borderId="0" xfId="0" applyFont="1" applyFill="1"/>
    <xf numFmtId="0" fontId="22" fillId="3" borderId="0" xfId="0" applyFont="1" applyFill="1" applyAlignment="1">
      <alignment horizontal="center"/>
    </xf>
    <xf numFmtId="0" fontId="22" fillId="2" borderId="1" xfId="0" applyFont="1" applyFill="1" applyBorder="1" applyAlignment="1">
      <alignment vertical="center"/>
    </xf>
    <xf numFmtId="167" fontId="22" fillId="2" borderId="2" xfId="0" applyNumberFormat="1" applyFont="1" applyFill="1" applyBorder="1" applyAlignment="1">
      <alignment vertical="center"/>
    </xf>
    <xf numFmtId="11" fontId="22" fillId="2" borderId="2" xfId="0" applyNumberFormat="1" applyFont="1" applyFill="1" applyBorder="1" applyAlignment="1">
      <alignment vertical="center"/>
    </xf>
    <xf numFmtId="0" fontId="22" fillId="2" borderId="2" xfId="0" applyFont="1" applyFill="1" applyBorder="1" applyAlignment="1">
      <alignment vertical="center"/>
    </xf>
    <xf numFmtId="0" fontId="22" fillId="2" borderId="2" xfId="0" applyFont="1" applyFill="1" applyBorder="1" applyAlignment="1">
      <alignment vertical="center" wrapText="1"/>
    </xf>
    <xf numFmtId="2" fontId="22" fillId="2" borderId="2" xfId="0" applyNumberFormat="1" applyFont="1" applyFill="1" applyBorder="1" applyAlignment="1">
      <alignment horizontal="right" vertical="center"/>
    </xf>
    <xf numFmtId="9" fontId="22" fillId="2" borderId="2" xfId="1" applyFont="1" applyFill="1" applyBorder="1" applyAlignment="1">
      <alignment vertical="center"/>
    </xf>
    <xf numFmtId="2" fontId="22" fillId="2" borderId="2" xfId="0" applyNumberFormat="1" applyFont="1" applyFill="1" applyBorder="1" applyAlignment="1">
      <alignment vertical="center"/>
    </xf>
    <xf numFmtId="165" fontId="22" fillId="2" borderId="2" xfId="0" applyNumberFormat="1" applyFont="1" applyFill="1" applyBorder="1" applyAlignment="1">
      <alignment vertical="center"/>
    </xf>
    <xf numFmtId="165" fontId="22" fillId="2" borderId="3" xfId="0" applyNumberFormat="1" applyFont="1" applyFill="1" applyBorder="1" applyAlignment="1">
      <alignment vertical="center"/>
    </xf>
    <xf numFmtId="0" fontId="22" fillId="2" borderId="4" xfId="0" applyFont="1" applyFill="1" applyBorder="1" applyAlignment="1">
      <alignment vertical="center"/>
    </xf>
    <xf numFmtId="167" fontId="22" fillId="2" borderId="0" xfId="0" applyNumberFormat="1" applyFont="1" applyFill="1" applyAlignment="1">
      <alignment vertical="center"/>
    </xf>
    <xf numFmtId="11" fontId="22" fillId="2" borderId="0" xfId="0" applyNumberFormat="1" applyFont="1" applyFill="1" applyAlignment="1">
      <alignment vertical="center"/>
    </xf>
    <xf numFmtId="0" fontId="22" fillId="2" borderId="0" xfId="0" applyFont="1" applyFill="1" applyAlignment="1">
      <alignment vertical="center"/>
    </xf>
    <xf numFmtId="0" fontId="22" fillId="2" borderId="0" xfId="0" applyFont="1" applyFill="1" applyAlignment="1">
      <alignment horizontal="right" vertical="center"/>
    </xf>
    <xf numFmtId="0" fontId="22" fillId="2" borderId="0" xfId="0" applyFont="1" applyFill="1" applyAlignment="1">
      <alignment horizontal="right" vertical="center" wrapText="1"/>
    </xf>
    <xf numFmtId="2" fontId="22" fillId="2" borderId="0" xfId="0" applyNumberFormat="1" applyFont="1" applyFill="1" applyAlignment="1">
      <alignment horizontal="right" vertical="center"/>
    </xf>
    <xf numFmtId="9" fontId="22" fillId="2" borderId="0" xfId="1" applyFont="1" applyFill="1" applyBorder="1" applyAlignment="1">
      <alignment vertical="center"/>
    </xf>
    <xf numFmtId="2" fontId="22" fillId="2" borderId="0" xfId="0" applyNumberFormat="1" applyFont="1" applyFill="1" applyAlignment="1">
      <alignment vertical="center"/>
    </xf>
    <xf numFmtId="165" fontId="22" fillId="2" borderId="0" xfId="0" applyNumberFormat="1" applyFont="1" applyFill="1" applyAlignment="1">
      <alignment vertical="center"/>
    </xf>
    <xf numFmtId="165" fontId="22" fillId="2" borderId="5" xfId="0" applyNumberFormat="1" applyFont="1" applyFill="1" applyBorder="1" applyAlignment="1">
      <alignment vertical="center"/>
    </xf>
    <xf numFmtId="0" fontId="22" fillId="2" borderId="6" xfId="0" applyFont="1" applyFill="1" applyBorder="1" applyAlignment="1">
      <alignment vertical="center"/>
    </xf>
    <xf numFmtId="167" fontId="22" fillId="2" borderId="7" xfId="0" applyNumberFormat="1" applyFont="1" applyFill="1" applyBorder="1" applyAlignment="1">
      <alignment vertical="center"/>
    </xf>
    <xf numFmtId="11" fontId="22" fillId="2" borderId="7" xfId="0" applyNumberFormat="1" applyFont="1" applyFill="1" applyBorder="1" applyAlignment="1">
      <alignment vertical="center"/>
    </xf>
    <xf numFmtId="0" fontId="22" fillId="2" borderId="7" xfId="0" applyFont="1" applyFill="1" applyBorder="1" applyAlignment="1">
      <alignment vertical="center"/>
    </xf>
    <xf numFmtId="0" fontId="22" fillId="2" borderId="7" xfId="0" applyFont="1" applyFill="1" applyBorder="1" applyAlignment="1">
      <alignment horizontal="right" vertical="center"/>
    </xf>
    <xf numFmtId="0" fontId="22" fillId="2" borderId="7" xfId="0" applyFont="1" applyFill="1" applyBorder="1" applyAlignment="1">
      <alignment horizontal="right" vertical="center" wrapText="1"/>
    </xf>
    <xf numFmtId="2" fontId="22" fillId="2" borderId="7" xfId="0" applyNumberFormat="1" applyFont="1" applyFill="1" applyBorder="1" applyAlignment="1">
      <alignment horizontal="right" vertical="center"/>
    </xf>
    <xf numFmtId="9" fontId="22" fillId="2" borderId="7" xfId="1" applyFont="1" applyFill="1" applyBorder="1" applyAlignment="1">
      <alignment vertical="center"/>
    </xf>
    <xf numFmtId="2" fontId="22" fillId="2" borderId="7" xfId="0" applyNumberFormat="1" applyFont="1" applyFill="1" applyBorder="1" applyAlignment="1">
      <alignment vertical="center"/>
    </xf>
    <xf numFmtId="165" fontId="22" fillId="2" borderId="7" xfId="0" applyNumberFormat="1" applyFont="1" applyFill="1" applyBorder="1" applyAlignment="1">
      <alignment vertical="center"/>
    </xf>
    <xf numFmtId="165" fontId="22" fillId="2" borderId="8" xfId="0" applyNumberFormat="1" applyFont="1" applyFill="1" applyBorder="1" applyAlignment="1">
      <alignment vertical="center"/>
    </xf>
    <xf numFmtId="0" fontId="3" fillId="3" borderId="5" xfId="0" applyFont="1" applyFill="1" applyBorder="1" applyAlignment="1">
      <alignment horizontal="center" vertical="center"/>
    </xf>
    <xf numFmtId="0" fontId="0" fillId="3" borderId="0" xfId="0" applyFill="1" applyAlignment="1">
      <alignment horizontal="center"/>
    </xf>
    <xf numFmtId="11" fontId="22" fillId="2" borderId="2" xfId="0" applyNumberFormat="1" applyFont="1" applyFill="1" applyBorder="1" applyAlignment="1">
      <alignment horizontal="center" vertical="center"/>
    </xf>
    <xf numFmtId="11" fontId="22" fillId="2" borderId="0" xfId="0" applyNumberFormat="1" applyFont="1" applyFill="1" applyAlignment="1">
      <alignment horizontal="center" vertical="center"/>
    </xf>
    <xf numFmtId="11" fontId="22" fillId="2" borderId="7" xfId="0" applyNumberFormat="1" applyFont="1" applyFill="1" applyBorder="1" applyAlignment="1">
      <alignment horizontal="center" vertical="center"/>
    </xf>
    <xf numFmtId="2" fontId="2" fillId="4" borderId="2" xfId="0" applyNumberFormat="1" applyFont="1" applyFill="1" applyBorder="1" applyProtection="1">
      <protection hidden="1"/>
    </xf>
    <xf numFmtId="2" fontId="2" fillId="4" borderId="3" xfId="0" applyNumberFormat="1" applyFont="1" applyFill="1" applyBorder="1" applyProtection="1">
      <protection hidden="1"/>
    </xf>
    <xf numFmtId="2" fontId="2" fillId="4" borderId="7" xfId="0" applyNumberFormat="1" applyFont="1" applyFill="1" applyBorder="1" applyProtection="1">
      <protection hidden="1"/>
    </xf>
    <xf numFmtId="2" fontId="2" fillId="4" borderId="8" xfId="0" applyNumberFormat="1" applyFont="1" applyFill="1" applyBorder="1" applyProtection="1">
      <protection hidden="1"/>
    </xf>
    <xf numFmtId="0" fontId="4" fillId="3" borderId="0" xfId="0" applyFont="1" applyFill="1" applyProtection="1">
      <protection hidden="1"/>
    </xf>
    <xf numFmtId="9" fontId="4" fillId="3" borderId="0" xfId="0" applyNumberFormat="1" applyFont="1" applyFill="1" applyProtection="1">
      <protection hidden="1"/>
    </xf>
    <xf numFmtId="11" fontId="4" fillId="3" borderId="0" xfId="0" applyNumberFormat="1" applyFont="1" applyFill="1" applyProtection="1">
      <protection hidden="1"/>
    </xf>
    <xf numFmtId="2" fontId="4" fillId="3" borderId="0" xfId="0" applyNumberFormat="1" applyFont="1" applyFill="1" applyProtection="1">
      <protection hidden="1"/>
    </xf>
    <xf numFmtId="0" fontId="3" fillId="3" borderId="0" xfId="0" applyFont="1" applyFill="1" applyAlignment="1" applyProtection="1">
      <alignment horizontal="center"/>
      <protection hidden="1"/>
    </xf>
    <xf numFmtId="0" fontId="5" fillId="3" borderId="0" xfId="0" applyFont="1" applyFill="1" applyProtection="1">
      <protection hidden="1"/>
    </xf>
    <xf numFmtId="0" fontId="4" fillId="3" borderId="4" xfId="0" applyFont="1" applyFill="1" applyBorder="1" applyProtection="1">
      <protection hidden="1"/>
    </xf>
    <xf numFmtId="0" fontId="4" fillId="3" borderId="0" xfId="0" applyFont="1" applyFill="1" applyAlignment="1" applyProtection="1">
      <alignment horizontal="center"/>
      <protection hidden="1"/>
    </xf>
    <xf numFmtId="2" fontId="4" fillId="3" borderId="5" xfId="0" applyNumberFormat="1" applyFont="1" applyFill="1" applyBorder="1" applyProtection="1">
      <protection hidden="1"/>
    </xf>
    <xf numFmtId="0" fontId="4" fillId="3" borderId="6" xfId="0" applyFont="1" applyFill="1" applyBorder="1" applyProtection="1">
      <protection hidden="1"/>
    </xf>
    <xf numFmtId="166" fontId="4" fillId="3" borderId="7" xfId="1" applyNumberFormat="1" applyFont="1" applyFill="1" applyBorder="1" applyProtection="1">
      <protection hidden="1"/>
    </xf>
    <xf numFmtId="2" fontId="0" fillId="4" borderId="7" xfId="0" applyNumberFormat="1" applyFill="1" applyBorder="1" applyProtection="1">
      <protection hidden="1"/>
    </xf>
    <xf numFmtId="2" fontId="0" fillId="4" borderId="8" xfId="0" applyNumberFormat="1" applyFill="1" applyBorder="1" applyProtection="1">
      <protection hidden="1"/>
    </xf>
    <xf numFmtId="165" fontId="0" fillId="4" borderId="7" xfId="0" applyNumberFormat="1" applyFill="1" applyBorder="1" applyProtection="1">
      <protection hidden="1"/>
    </xf>
    <xf numFmtId="165" fontId="0" fillId="4" borderId="8" xfId="0" applyNumberFormat="1" applyFill="1" applyBorder="1" applyProtection="1">
      <protection hidden="1"/>
    </xf>
    <xf numFmtId="10" fontId="4" fillId="3" borderId="0" xfId="1" applyNumberFormat="1" applyFont="1" applyFill="1" applyProtection="1">
      <protection hidden="1"/>
    </xf>
    <xf numFmtId="2" fontId="0" fillId="4" borderId="0" xfId="0" applyNumberFormat="1" applyFill="1" applyProtection="1">
      <protection hidden="1"/>
    </xf>
    <xf numFmtId="2" fontId="0" fillId="4" borderId="5" xfId="0" applyNumberFormat="1" applyFill="1" applyBorder="1" applyProtection="1">
      <protection hidden="1"/>
    </xf>
    <xf numFmtId="2" fontId="4" fillId="3" borderId="6" xfId="0" applyNumberFormat="1" applyFont="1" applyFill="1" applyBorder="1" applyProtection="1">
      <protection hidden="1"/>
    </xf>
    <xf numFmtId="166" fontId="4" fillId="3" borderId="7" xfId="0" applyNumberFormat="1" applyFont="1" applyFill="1" applyBorder="1" applyProtection="1">
      <protection hidden="1"/>
    </xf>
    <xf numFmtId="0" fontId="24" fillId="3" borderId="0" xfId="0" applyFont="1" applyFill="1" applyAlignment="1" applyProtection="1">
      <alignment horizontal="center" vertical="center" wrapText="1"/>
      <protection hidden="1"/>
    </xf>
    <xf numFmtId="0" fontId="4" fillId="3" borderId="0" xfId="0" applyFont="1" applyFill="1" applyAlignment="1" applyProtection="1">
      <alignment horizontal="center" vertical="center" wrapText="1"/>
      <protection hidden="1"/>
    </xf>
    <xf numFmtId="11" fontId="24" fillId="3" borderId="0" xfId="0" applyNumberFormat="1" applyFont="1" applyFill="1" applyAlignment="1" applyProtection="1">
      <alignment horizontal="center" vertical="center" wrapText="1"/>
      <protection hidden="1"/>
    </xf>
    <xf numFmtId="0" fontId="4" fillId="3" borderId="0" xfId="0" applyFont="1" applyFill="1" applyAlignment="1" applyProtection="1">
      <alignment horizontal="right"/>
      <protection hidden="1"/>
    </xf>
    <xf numFmtId="164" fontId="24" fillId="3" borderId="0" xfId="0" applyNumberFormat="1" applyFont="1" applyFill="1" applyProtection="1">
      <protection hidden="1"/>
    </xf>
    <xf numFmtId="0" fontId="0" fillId="2" borderId="0" xfId="0" applyFill="1" applyAlignment="1" applyProtection="1">
      <alignment horizontal="center"/>
      <protection hidden="1"/>
    </xf>
    <xf numFmtId="1" fontId="24" fillId="3" borderId="0" xfId="0" applyNumberFormat="1" applyFont="1" applyFill="1" applyAlignment="1" applyProtection="1">
      <alignment horizontal="center" vertical="center" wrapText="1"/>
      <protection hidden="1"/>
    </xf>
    <xf numFmtId="164" fontId="24" fillId="3" borderId="0" xfId="0" applyNumberFormat="1" applyFont="1" applyFill="1" applyAlignment="1" applyProtection="1">
      <alignment horizontal="right" vertical="center" wrapText="1"/>
      <protection hidden="1"/>
    </xf>
    <xf numFmtId="0" fontId="2" fillId="4" borderId="0" xfId="0" applyFont="1" applyFill="1" applyAlignment="1" applyProtection="1">
      <alignment horizontal="center"/>
      <protection hidden="1"/>
    </xf>
    <xf numFmtId="2" fontId="4" fillId="3" borderId="9" xfId="0" applyNumberFormat="1" applyFont="1" applyFill="1" applyBorder="1" applyAlignment="1" applyProtection="1">
      <alignment horizontal="center"/>
      <protection hidden="1"/>
    </xf>
    <xf numFmtId="2" fontId="4" fillId="3" borderId="12" xfId="0" applyNumberFormat="1" applyFont="1" applyFill="1" applyBorder="1" applyAlignment="1" applyProtection="1">
      <alignment horizontal="center"/>
      <protection hidden="1"/>
    </xf>
    <xf numFmtId="11" fontId="24" fillId="3" borderId="0" xfId="0" applyNumberFormat="1" applyFont="1" applyFill="1" applyAlignment="1" applyProtection="1">
      <alignment horizontal="right" vertical="center" wrapText="1"/>
      <protection hidden="1"/>
    </xf>
    <xf numFmtId="165" fontId="4" fillId="3" borderId="0" xfId="0" applyNumberFormat="1" applyFont="1" applyFill="1" applyProtection="1">
      <protection hidden="1"/>
    </xf>
    <xf numFmtId="165" fontId="4" fillId="3" borderId="5" xfId="0" applyNumberFormat="1" applyFont="1" applyFill="1" applyBorder="1" applyProtection="1">
      <protection hidden="1"/>
    </xf>
    <xf numFmtId="0" fontId="4" fillId="3" borderId="11" xfId="0" applyFont="1" applyFill="1" applyBorder="1" applyProtection="1">
      <protection hidden="1"/>
    </xf>
    <xf numFmtId="2" fontId="4" fillId="3" borderId="9" xfId="0" applyNumberFormat="1" applyFont="1" applyFill="1" applyBorder="1" applyProtection="1">
      <protection hidden="1"/>
    </xf>
    <xf numFmtId="2" fontId="4" fillId="3" borderId="12" xfId="0" applyNumberFormat="1" applyFont="1" applyFill="1" applyBorder="1" applyProtection="1">
      <protection hidden="1"/>
    </xf>
    <xf numFmtId="0" fontId="4" fillId="3" borderId="13" xfId="0" applyFont="1" applyFill="1" applyBorder="1" applyProtection="1">
      <protection hidden="1"/>
    </xf>
    <xf numFmtId="2" fontId="4" fillId="3" borderId="10" xfId="0" applyNumberFormat="1" applyFont="1" applyFill="1" applyBorder="1" applyProtection="1">
      <protection hidden="1"/>
    </xf>
    <xf numFmtId="2" fontId="4" fillId="3" borderId="14" xfId="0" applyNumberFormat="1" applyFont="1" applyFill="1" applyBorder="1" applyProtection="1">
      <protection hidden="1"/>
    </xf>
    <xf numFmtId="0" fontId="4" fillId="3" borderId="4" xfId="0" applyFont="1" applyFill="1" applyBorder="1" applyAlignment="1" applyProtection="1">
      <alignment horizontal="center"/>
      <protection hidden="1"/>
    </xf>
    <xf numFmtId="2" fontId="24" fillId="3" borderId="0" xfId="0" applyNumberFormat="1" applyFont="1" applyFill="1" applyAlignment="1" applyProtection="1">
      <alignment horizontal="right"/>
      <protection hidden="1"/>
    </xf>
    <xf numFmtId="2" fontId="24" fillId="3" borderId="5" xfId="0" applyNumberFormat="1" applyFont="1" applyFill="1" applyBorder="1" applyAlignment="1" applyProtection="1">
      <alignment horizontal="right"/>
      <protection hidden="1"/>
    </xf>
    <xf numFmtId="2" fontId="24" fillId="3" borderId="4" xfId="0" applyNumberFormat="1" applyFont="1" applyFill="1" applyBorder="1" applyProtection="1">
      <protection hidden="1"/>
    </xf>
    <xf numFmtId="166" fontId="24" fillId="3" borderId="0" xfId="0" applyNumberFormat="1" applyFont="1" applyFill="1" applyProtection="1">
      <protection hidden="1"/>
    </xf>
    <xf numFmtId="2" fontId="24" fillId="3" borderId="0" xfId="0" applyNumberFormat="1" applyFont="1" applyFill="1" applyProtection="1">
      <protection hidden="1"/>
    </xf>
    <xf numFmtId="2" fontId="24" fillId="3" borderId="5" xfId="0" applyNumberFormat="1" applyFont="1" applyFill="1" applyBorder="1" applyProtection="1">
      <protection hidden="1"/>
    </xf>
    <xf numFmtId="2" fontId="24" fillId="3" borderId="6" xfId="0" applyNumberFormat="1" applyFont="1" applyFill="1" applyBorder="1" applyProtection="1">
      <protection hidden="1"/>
    </xf>
    <xf numFmtId="166" fontId="24" fillId="3" borderId="7" xfId="0" applyNumberFormat="1" applyFont="1" applyFill="1" applyBorder="1" applyProtection="1">
      <protection hidden="1"/>
    </xf>
    <xf numFmtId="2" fontId="24" fillId="3" borderId="7" xfId="0" applyNumberFormat="1" applyFont="1" applyFill="1" applyBorder="1" applyProtection="1">
      <protection hidden="1"/>
    </xf>
    <xf numFmtId="2" fontId="24" fillId="3" borderId="8" xfId="0" applyNumberFormat="1" applyFont="1" applyFill="1" applyBorder="1" applyProtection="1">
      <protection hidden="1"/>
    </xf>
    <xf numFmtId="165" fontId="24" fillId="3" borderId="0" xfId="0" applyNumberFormat="1" applyFont="1" applyFill="1" applyProtection="1">
      <protection hidden="1"/>
    </xf>
    <xf numFmtId="165" fontId="24" fillId="3" borderId="5" xfId="0" applyNumberFormat="1" applyFont="1" applyFill="1" applyBorder="1" applyProtection="1">
      <protection hidden="1"/>
    </xf>
    <xf numFmtId="165" fontId="24" fillId="3" borderId="7" xfId="0" applyNumberFormat="1" applyFont="1" applyFill="1" applyBorder="1" applyProtection="1">
      <protection hidden="1"/>
    </xf>
    <xf numFmtId="165" fontId="24" fillId="3" borderId="8" xfId="0" applyNumberFormat="1" applyFont="1" applyFill="1" applyBorder="1" applyProtection="1">
      <protection hidden="1"/>
    </xf>
    <xf numFmtId="165" fontId="2" fillId="4" borderId="2" xfId="0" applyNumberFormat="1" applyFont="1" applyFill="1" applyBorder="1" applyProtection="1">
      <protection hidden="1"/>
    </xf>
    <xf numFmtId="165" fontId="2" fillId="4" borderId="3" xfId="0" applyNumberFormat="1" applyFont="1" applyFill="1" applyBorder="1" applyProtection="1">
      <protection hidden="1"/>
    </xf>
    <xf numFmtId="0" fontId="4" fillId="3" borderId="0" xfId="0" applyFont="1" applyFill="1" applyAlignment="1" applyProtection="1">
      <alignment vertical="center"/>
      <protection hidden="1"/>
    </xf>
    <xf numFmtId="165" fontId="2" fillId="4" borderId="7" xfId="0" applyNumberFormat="1" applyFont="1" applyFill="1" applyBorder="1" applyProtection="1">
      <protection hidden="1"/>
    </xf>
    <xf numFmtId="165" fontId="2" fillId="4" borderId="8" xfId="0" applyNumberFormat="1" applyFont="1" applyFill="1" applyBorder="1" applyProtection="1">
      <protection hidden="1"/>
    </xf>
    <xf numFmtId="2" fontId="4" fillId="3" borderId="7" xfId="0" applyNumberFormat="1" applyFont="1" applyFill="1" applyBorder="1" applyProtection="1">
      <protection hidden="1"/>
    </xf>
    <xf numFmtId="2" fontId="4" fillId="3" borderId="8" xfId="0" applyNumberFormat="1" applyFont="1" applyFill="1" applyBorder="1" applyProtection="1">
      <protection hidden="1"/>
    </xf>
    <xf numFmtId="2" fontId="4" fillId="3" borderId="0" xfId="0" applyNumberFormat="1" applyFont="1" applyFill="1" applyAlignment="1" applyProtection="1">
      <alignment horizontal="center"/>
      <protection hidden="1"/>
    </xf>
    <xf numFmtId="2" fontId="4" fillId="3" borderId="5" xfId="0" applyNumberFormat="1" applyFont="1" applyFill="1" applyBorder="1" applyAlignment="1" applyProtection="1">
      <alignment horizontal="center"/>
      <protection hidden="1"/>
    </xf>
    <xf numFmtId="2" fontId="4" fillId="3" borderId="4" xfId="0" applyNumberFormat="1" applyFont="1" applyFill="1" applyBorder="1" applyProtection="1">
      <protection hidden="1"/>
    </xf>
    <xf numFmtId="166" fontId="4" fillId="3" borderId="0" xfId="0" applyNumberFormat="1" applyFont="1" applyFill="1" applyProtection="1">
      <protection hidden="1"/>
    </xf>
    <xf numFmtId="165" fontId="0" fillId="4" borderId="0" xfId="0" applyNumberFormat="1" applyFill="1" applyProtection="1">
      <protection hidden="1"/>
    </xf>
    <xf numFmtId="165" fontId="0" fillId="4" borderId="5" xfId="0" applyNumberFormat="1" applyFill="1" applyBorder="1" applyProtection="1">
      <protection hidden="1"/>
    </xf>
    <xf numFmtId="0" fontId="17" fillId="5" borderId="0" xfId="2" applyFont="1" applyFill="1" applyAlignment="1">
      <alignment horizontal="left"/>
    </xf>
    <xf numFmtId="0" fontId="4" fillId="3" borderId="4" xfId="3" applyFont="1" applyFill="1" applyBorder="1" applyAlignment="1">
      <alignment horizontal="left" vertical="top" wrapText="1"/>
    </xf>
    <xf numFmtId="0" fontId="4" fillId="3" borderId="0" xfId="3" applyFont="1" applyFill="1" applyAlignment="1">
      <alignment horizontal="left" vertical="top" wrapText="1"/>
    </xf>
    <xf numFmtId="0" fontId="4" fillId="3" borderId="5" xfId="3" applyFont="1" applyFill="1" applyBorder="1" applyAlignment="1">
      <alignment horizontal="left" vertical="top" wrapText="1"/>
    </xf>
    <xf numFmtId="0" fontId="15" fillId="3" borderId="4" xfId="3" applyFont="1" applyFill="1" applyBorder="1" applyAlignment="1">
      <alignment horizontal="left"/>
    </xf>
    <xf numFmtId="0" fontId="15" fillId="3" borderId="0" xfId="3" applyFont="1" applyFill="1" applyAlignment="1">
      <alignment horizontal="left"/>
    </xf>
    <xf numFmtId="0" fontId="15" fillId="3" borderId="5" xfId="3" applyFont="1" applyFill="1" applyBorder="1" applyAlignment="1">
      <alignment horizontal="left"/>
    </xf>
    <xf numFmtId="0" fontId="4" fillId="3" borderId="4" xfId="3" applyFont="1" applyFill="1" applyBorder="1" applyAlignment="1">
      <alignment horizontal="left"/>
    </xf>
    <xf numFmtId="0" fontId="4" fillId="3" borderId="0" xfId="3" applyFont="1" applyFill="1" applyAlignment="1">
      <alignment horizontal="left"/>
    </xf>
    <xf numFmtId="0" fontId="4" fillId="3" borderId="5" xfId="3" applyFont="1" applyFill="1" applyBorder="1" applyAlignment="1">
      <alignment horizontal="left"/>
    </xf>
    <xf numFmtId="0" fontId="9" fillId="3" borderId="1" xfId="2" applyFont="1" applyFill="1" applyBorder="1" applyAlignment="1">
      <alignment horizontal="center" vertical="center"/>
    </xf>
    <xf numFmtId="0" fontId="9" fillId="3" borderId="2" xfId="2" applyFont="1" applyFill="1" applyBorder="1" applyAlignment="1">
      <alignment horizontal="center" vertical="center"/>
    </xf>
    <xf numFmtId="0" fontId="9" fillId="3" borderId="3" xfId="2" applyFont="1" applyFill="1" applyBorder="1" applyAlignment="1">
      <alignment horizontal="center" vertical="center"/>
    </xf>
    <xf numFmtId="0" fontId="9" fillId="3" borderId="4" xfId="2" applyFont="1" applyFill="1" applyBorder="1" applyAlignment="1">
      <alignment horizontal="center" vertical="center"/>
    </xf>
    <xf numFmtId="0" fontId="9" fillId="3" borderId="0" xfId="2" applyFont="1" applyFill="1" applyAlignment="1">
      <alignment horizontal="center" vertical="center"/>
    </xf>
    <xf numFmtId="0" fontId="9" fillId="3" borderId="5" xfId="2" applyFont="1" applyFill="1" applyBorder="1" applyAlignment="1">
      <alignment horizontal="center" vertical="center"/>
    </xf>
    <xf numFmtId="0" fontId="11" fillId="5" borderId="4" xfId="2" applyFont="1" applyFill="1" applyBorder="1" applyAlignment="1">
      <alignment horizontal="center"/>
    </xf>
    <xf numFmtId="0" fontId="11" fillId="5" borderId="0" xfId="2" applyFont="1" applyFill="1" applyAlignment="1">
      <alignment horizontal="center"/>
    </xf>
    <xf numFmtId="0" fontId="11" fillId="5" borderId="5" xfId="2" applyFont="1" applyFill="1" applyBorder="1" applyAlignment="1">
      <alignment horizontal="center"/>
    </xf>
    <xf numFmtId="0" fontId="12" fillId="3" borderId="0" xfId="2" applyFont="1" applyFill="1" applyAlignment="1">
      <alignment horizontal="center"/>
    </xf>
    <xf numFmtId="0" fontId="12" fillId="3" borderId="5" xfId="2" applyFont="1" applyFill="1" applyBorder="1" applyAlignment="1">
      <alignment horizontal="center"/>
    </xf>
    <xf numFmtId="0" fontId="19" fillId="3" borderId="0" xfId="2" applyFont="1" applyFill="1" applyAlignment="1">
      <alignment horizontal="left" vertical="top" wrapText="1"/>
    </xf>
    <xf numFmtId="0" fontId="12" fillId="3" borderId="4" xfId="2" applyFont="1" applyFill="1" applyBorder="1" applyAlignment="1">
      <alignment horizontal="center"/>
    </xf>
    <xf numFmtId="0" fontId="16" fillId="3" borderId="0" xfId="2" applyFont="1" applyFill="1" applyAlignment="1">
      <alignment horizontal="left" vertical="top"/>
    </xf>
    <xf numFmtId="0" fontId="20" fillId="3" borderId="4" xfId="2" applyFont="1" applyFill="1" applyBorder="1" applyAlignment="1">
      <alignment horizontal="center" vertical="top" wrapText="1"/>
    </xf>
    <xf numFmtId="0" fontId="20" fillId="3" borderId="0" xfId="2" applyFont="1" applyFill="1" applyAlignment="1">
      <alignment horizontal="center" vertical="top" wrapText="1"/>
    </xf>
    <xf numFmtId="0" fontId="19" fillId="3" borderId="4" xfId="2" applyFont="1" applyFill="1" applyBorder="1" applyAlignment="1">
      <alignment horizontal="left" vertical="top" wrapText="1"/>
    </xf>
    <xf numFmtId="0" fontId="4" fillId="3" borderId="4" xfId="0" applyFont="1" applyFill="1" applyBorder="1" applyAlignment="1" applyProtection="1">
      <alignment horizontal="right"/>
      <protection hidden="1"/>
    </xf>
    <xf numFmtId="0" fontId="4" fillId="3" borderId="0" xfId="0" applyFont="1" applyFill="1" applyAlignment="1" applyProtection="1">
      <alignment horizontal="right"/>
      <protection hidden="1"/>
    </xf>
    <xf numFmtId="0" fontId="3" fillId="3" borderId="1" xfId="0" applyFont="1" applyFill="1" applyBorder="1" applyAlignment="1" applyProtection="1">
      <alignment horizontal="center"/>
      <protection hidden="1"/>
    </xf>
    <xf numFmtId="0" fontId="3" fillId="3" borderId="2" xfId="0" applyFont="1" applyFill="1" applyBorder="1" applyAlignment="1" applyProtection="1">
      <alignment horizontal="center"/>
      <protection hidden="1"/>
    </xf>
    <xf numFmtId="0" fontId="3" fillId="3" borderId="3" xfId="0" applyFont="1" applyFill="1" applyBorder="1" applyAlignment="1" applyProtection="1">
      <alignment horizontal="center"/>
      <protection hidden="1"/>
    </xf>
    <xf numFmtId="0" fontId="4" fillId="3" borderId="10" xfId="0" applyFont="1" applyFill="1" applyBorder="1" applyAlignment="1" applyProtection="1">
      <alignment horizontal="center" vertical="center"/>
      <protection hidden="1"/>
    </xf>
    <xf numFmtId="0" fontId="4" fillId="3" borderId="0" xfId="0" applyFont="1" applyFill="1" applyAlignment="1" applyProtection="1">
      <alignment horizontal="center" vertical="center"/>
      <protection hidden="1"/>
    </xf>
    <xf numFmtId="0" fontId="4" fillId="3" borderId="9" xfId="0" applyFont="1" applyFill="1" applyBorder="1" applyAlignment="1" applyProtection="1">
      <alignment horizontal="center" vertical="center"/>
      <protection hidden="1"/>
    </xf>
    <xf numFmtId="0" fontId="4" fillId="3" borderId="7" xfId="0" applyFont="1" applyFill="1" applyBorder="1" applyAlignment="1" applyProtection="1">
      <alignment horizontal="center" vertical="center"/>
      <protection hidden="1"/>
    </xf>
    <xf numFmtId="0" fontId="3" fillId="3" borderId="1" xfId="0" applyFont="1" applyFill="1" applyBorder="1" applyAlignment="1" applyProtection="1">
      <alignment horizontal="right"/>
      <protection hidden="1"/>
    </xf>
    <xf numFmtId="0" fontId="3" fillId="3" borderId="2" xfId="0" applyFont="1" applyFill="1" applyBorder="1" applyAlignment="1" applyProtection="1">
      <alignment horizontal="right"/>
      <protection hidden="1"/>
    </xf>
    <xf numFmtId="0" fontId="3" fillId="3" borderId="6" xfId="0" applyFont="1" applyFill="1" applyBorder="1" applyAlignment="1" applyProtection="1">
      <alignment horizontal="right"/>
      <protection hidden="1"/>
    </xf>
    <xf numFmtId="0" fontId="3" fillId="3" borderId="7" xfId="0" applyFont="1" applyFill="1" applyBorder="1" applyAlignment="1" applyProtection="1">
      <alignment horizontal="right"/>
      <protection hidden="1"/>
    </xf>
    <xf numFmtId="0" fontId="4" fillId="3" borderId="0" xfId="0" applyFont="1" applyFill="1" applyAlignment="1" applyProtection="1">
      <alignment horizontal="right" vertical="center"/>
      <protection hidden="1"/>
    </xf>
    <xf numFmtId="0" fontId="4" fillId="3" borderId="0" xfId="0" applyFont="1" applyFill="1" applyAlignment="1" applyProtection="1">
      <alignment horizontal="center" vertical="center" wrapText="1"/>
      <protection hidden="1"/>
    </xf>
    <xf numFmtId="0" fontId="4" fillId="3" borderId="7" xfId="0" applyFont="1" applyFill="1" applyBorder="1" applyAlignment="1" applyProtection="1">
      <alignment horizontal="center" vertical="center" wrapText="1"/>
      <protection hidden="1"/>
    </xf>
    <xf numFmtId="0" fontId="4" fillId="3" borderId="0" xfId="0" applyFont="1" applyFill="1" applyAlignment="1" applyProtection="1">
      <alignment horizontal="right" vertical="center" wrapText="1"/>
      <protection hidden="1"/>
    </xf>
    <xf numFmtId="0" fontId="4" fillId="3" borderId="11" xfId="0" applyFont="1" applyFill="1" applyBorder="1" applyAlignment="1" applyProtection="1">
      <alignment horizontal="right"/>
      <protection hidden="1"/>
    </xf>
    <xf numFmtId="0" fontId="4" fillId="3" borderId="9" xfId="0" applyFont="1" applyFill="1" applyBorder="1" applyAlignment="1" applyProtection="1">
      <alignment horizontal="right"/>
      <protection hidden="1"/>
    </xf>
    <xf numFmtId="0" fontId="23" fillId="2" borderId="0" xfId="0" applyFont="1" applyFill="1" applyAlignment="1" applyProtection="1">
      <alignment horizontal="center" vertical="center"/>
      <protection hidden="1"/>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cellXfs>
  <cellStyles count="5">
    <cellStyle name="Hyperlink" xfId="4" builtinId="8"/>
    <cellStyle name="Normal" xfId="0" builtinId="0"/>
    <cellStyle name="Normal 2" xfId="2" xr:uid="{ECC7F8FD-029B-405F-A15B-ED6EB57D1952}"/>
    <cellStyle name="Normal 3" xfId="3" xr:uid="{A5FE047F-F6F0-45A2-9ED0-28AE905AA596}"/>
    <cellStyle name="Percent" xfId="1" builtinId="5"/>
  </cellStyles>
  <dxfs count="64">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border diagonalUp="0" diagonalDown="0">
        <left style="medium">
          <color theme="0"/>
        </left>
        <right/>
        <top/>
        <bottom/>
        <vertical/>
        <horizontal/>
      </border>
    </dxf>
    <dxf>
      <border outline="0">
        <bottom style="medium">
          <color theme="0"/>
        </bottom>
      </border>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border diagonalUp="0" diagonalDown="0">
        <left/>
        <right style="medium">
          <color theme="0"/>
        </right>
        <top/>
        <bottom/>
        <vertical/>
        <horizontal/>
      </border>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border diagonalUp="0" diagonalDown="0" outline="0">
        <left style="medium">
          <color theme="0"/>
        </left>
        <right/>
        <top/>
        <bottom/>
      </border>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Modeler'!$A$23:$H$23</c:f>
          <c:strCache>
            <c:ptCount val="8"/>
            <c:pt idx="0">
              <c:v>DK_InPlane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'Material Modeler'!$C$24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Modeler'!$C$25:$C$27</c:f>
              <c:numCache>
                <c:formatCode>0.00</c:formatCode>
                <c:ptCount val="3"/>
                <c:pt idx="0">
                  <c:v>4.0476315789473682</c:v>
                </c:pt>
                <c:pt idx="1">
                  <c:v>3.9839473684210525</c:v>
                </c:pt>
                <c:pt idx="2">
                  <c:v>3.8884210526315792</c:v>
                </c:pt>
              </c:numCache>
            </c:numRef>
          </c:yVal>
          <c:smooth val="0"/>
          <c:extLst>
            <c:ext xmlns:c16="http://schemas.microsoft.com/office/drawing/2014/chart" uri="{C3380CC4-5D6E-409C-BE32-E72D297353CC}">
              <c16:uniqueId val="{00000000-E8F2-4BC5-B561-CCE1E60D5638}"/>
            </c:ext>
          </c:extLst>
        </c:ser>
        <c:ser>
          <c:idx val="1"/>
          <c:order val="1"/>
          <c:tx>
            <c:strRef>
              <c:f>'Material Modeler'!$D$24</c:f>
              <c:strCache>
                <c:ptCount val="1"/>
                <c:pt idx="0">
                  <c:v>3.00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Modeler'!$D$25:$D$27</c:f>
              <c:numCache>
                <c:formatCode>0.00</c:formatCode>
                <c:ptCount val="3"/>
                <c:pt idx="0">
                  <c:v>4.0376315789473685</c:v>
                </c:pt>
                <c:pt idx="1">
                  <c:v>3.9739473684210522</c:v>
                </c:pt>
                <c:pt idx="2">
                  <c:v>3.8784210526315785</c:v>
                </c:pt>
              </c:numCache>
            </c:numRef>
          </c:yVal>
          <c:smooth val="0"/>
          <c:extLst>
            <c:ext xmlns:c16="http://schemas.microsoft.com/office/drawing/2014/chart" uri="{C3380CC4-5D6E-409C-BE32-E72D297353CC}">
              <c16:uniqueId val="{00000001-E8F2-4BC5-B561-CCE1E60D5638}"/>
            </c:ext>
          </c:extLst>
        </c:ser>
        <c:ser>
          <c:idx val="2"/>
          <c:order val="2"/>
          <c:tx>
            <c:strRef>
              <c:f>'Material Modeler'!$E$24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Modeler'!$E$25:$E$27</c:f>
              <c:numCache>
                <c:formatCode>0.00</c:formatCode>
                <c:ptCount val="3"/>
                <c:pt idx="0">
                  <c:v>4.0076315789473682</c:v>
                </c:pt>
                <c:pt idx="1">
                  <c:v>3.9439473684210524</c:v>
                </c:pt>
                <c:pt idx="2">
                  <c:v>3.8484210526315792</c:v>
                </c:pt>
              </c:numCache>
            </c:numRef>
          </c:yVal>
          <c:smooth val="0"/>
          <c:extLst>
            <c:ext xmlns:c16="http://schemas.microsoft.com/office/drawing/2014/chart" uri="{C3380CC4-5D6E-409C-BE32-E72D297353CC}">
              <c16:uniqueId val="{00000002-E8F2-4BC5-B561-CCE1E60D5638}"/>
            </c:ext>
          </c:extLst>
        </c:ser>
        <c:ser>
          <c:idx val="3"/>
          <c:order val="3"/>
          <c:tx>
            <c:strRef>
              <c:f>'Material Modeler'!$F$24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Modeler'!$F$25:$F$27</c:f>
              <c:numCache>
                <c:formatCode>0.00</c:formatCode>
                <c:ptCount val="3"/>
                <c:pt idx="0">
                  <c:v>3.9600000000000004</c:v>
                </c:pt>
                <c:pt idx="1">
                  <c:v>3.9000000000000004</c:v>
                </c:pt>
                <c:pt idx="2">
                  <c:v>3.8100000000000005</c:v>
                </c:pt>
              </c:numCache>
            </c:numRef>
          </c:yVal>
          <c:smooth val="0"/>
          <c:extLst>
            <c:ext xmlns:c16="http://schemas.microsoft.com/office/drawing/2014/chart" uri="{C3380CC4-5D6E-409C-BE32-E72D297353CC}">
              <c16:uniqueId val="{00000003-E8F2-4BC5-B561-CCE1E60D5638}"/>
            </c:ext>
          </c:extLst>
        </c:ser>
        <c:ser>
          <c:idx val="4"/>
          <c:order val="4"/>
          <c:tx>
            <c:strRef>
              <c:f>'Material Modeler'!$H$24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Modeler'!$H$25:$H$27</c:f>
              <c:numCache>
                <c:formatCode>0.00</c:formatCode>
                <c:ptCount val="3"/>
                <c:pt idx="0">
                  <c:v>3.8999999999999995</c:v>
                </c:pt>
                <c:pt idx="1">
                  <c:v>3.84</c:v>
                </c:pt>
                <c:pt idx="2">
                  <c:v>3.75</c:v>
                </c:pt>
              </c:numCache>
            </c:numRef>
          </c:yVal>
          <c:smooth val="0"/>
          <c:extLst>
            <c:ext xmlns:c16="http://schemas.microsoft.com/office/drawing/2014/chart" uri="{C3380CC4-5D6E-409C-BE32-E72D297353CC}">
              <c16:uniqueId val="{00000004-E8F2-4BC5-B561-CCE1E60D5638}"/>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a:t>Df vs. Temperature</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03790684700997"/>
          <c:y val="0.19910914687196135"/>
          <c:w val="0.68940918054281297"/>
          <c:h val="0.56182637685609627"/>
        </c:manualLayout>
      </c:layout>
      <c:scatterChart>
        <c:scatterStyle val="smoothMarker"/>
        <c:varyColors val="0"/>
        <c:ser>
          <c:idx val="0"/>
          <c:order val="0"/>
          <c:tx>
            <c:strRef>
              <c:f>'Material Modeler'!$AL$3</c:f>
              <c:strCache>
                <c:ptCount val="1"/>
                <c:pt idx="0">
                  <c:v>-40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Modeler'!$AM$4:$AR$4</c:f>
              <c:numCache>
                <c:formatCode>0.0000</c:formatCode>
                <c:ptCount val="6"/>
                <c:pt idx="0">
                  <c:v>2.8741608149540103E-3</c:v>
                </c:pt>
                <c:pt idx="1">
                  <c:v>2.9806112155078626E-3</c:v>
                </c:pt>
                <c:pt idx="2">
                  <c:v>3.2467372168924935E-3</c:v>
                </c:pt>
                <c:pt idx="3">
                  <c:v>3.6612145385368916E-3</c:v>
                </c:pt>
                <c:pt idx="4">
                  <c:v>3.9805657401984487E-3</c:v>
                </c:pt>
                <c:pt idx="5">
                  <c:v>4.3112412224310158E-3</c:v>
                </c:pt>
              </c:numCache>
            </c:numRef>
          </c:yVal>
          <c:smooth val="1"/>
          <c:extLst>
            <c:ext xmlns:c16="http://schemas.microsoft.com/office/drawing/2014/chart" uri="{C3380CC4-5D6E-409C-BE32-E72D297353CC}">
              <c16:uniqueId val="{00000000-C37B-4423-860D-66EA48D8C0DF}"/>
            </c:ext>
          </c:extLst>
        </c:ser>
        <c:ser>
          <c:idx val="1"/>
          <c:order val="1"/>
          <c:tx>
            <c:strRef>
              <c:f>'Material Modeler'!$AL$8</c:f>
              <c:strCache>
                <c:ptCount val="1"/>
                <c:pt idx="0">
                  <c:v>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Modeler'!$AM$9:$AR$9</c:f>
              <c:numCache>
                <c:formatCode>0.0000</c:formatCode>
                <c:ptCount val="6"/>
                <c:pt idx="0">
                  <c:v>4.4285233903669265E-3</c:v>
                </c:pt>
                <c:pt idx="1">
                  <c:v>4.5925427751953313E-3</c:v>
                </c:pt>
                <c:pt idx="2">
                  <c:v>5.0025912372663435E-3</c:v>
                </c:pt>
                <c:pt idx="3">
                  <c:v>5.6412202604333109E-3</c:v>
                </c:pt>
                <c:pt idx="4">
                  <c:v>6.1332784149185247E-3</c:v>
                </c:pt>
                <c:pt idx="5">
                  <c:v>6.6427850855503897E-3</c:v>
                </c:pt>
              </c:numCache>
            </c:numRef>
          </c:yVal>
          <c:smooth val="1"/>
          <c:extLst>
            <c:ext xmlns:c16="http://schemas.microsoft.com/office/drawing/2014/chart" uri="{C3380CC4-5D6E-409C-BE32-E72D297353CC}">
              <c16:uniqueId val="{00000001-C37B-4423-860D-66EA48D8C0DF}"/>
            </c:ext>
          </c:extLst>
        </c:ser>
        <c:ser>
          <c:idx val="2"/>
          <c:order val="2"/>
          <c:tx>
            <c:strRef>
              <c:f>'Material Modeler'!$AL$13</c:f>
              <c:strCache>
                <c:ptCount val="1"/>
                <c:pt idx="0">
                  <c:v>25</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Modeler'!$AM$14:$AR$14</c:f>
              <c:numCache>
                <c:formatCode>0.0000</c:formatCode>
                <c:ptCount val="6"/>
                <c:pt idx="0">
                  <c:v>5.3999999999999994E-3</c:v>
                </c:pt>
                <c:pt idx="1">
                  <c:v>5.5999999999999999E-3</c:v>
                </c:pt>
                <c:pt idx="2">
                  <c:v>6.1000000000000004E-3</c:v>
                </c:pt>
                <c:pt idx="3">
                  <c:v>6.8787238366185728E-3</c:v>
                </c:pt>
                <c:pt idx="4">
                  <c:v>7.4787238366185727E-3</c:v>
                </c:pt>
                <c:pt idx="5">
                  <c:v>8.0999999999999996E-3</c:v>
                </c:pt>
              </c:numCache>
            </c:numRef>
          </c:yVal>
          <c:smooth val="1"/>
          <c:extLst>
            <c:ext xmlns:c16="http://schemas.microsoft.com/office/drawing/2014/chart" uri="{C3380CC4-5D6E-409C-BE32-E72D297353CC}">
              <c16:uniqueId val="{00000002-C37B-4423-860D-66EA48D8C0DF}"/>
            </c:ext>
          </c:extLst>
        </c:ser>
        <c:ser>
          <c:idx val="3"/>
          <c:order val="3"/>
          <c:tx>
            <c:strRef>
              <c:f>'Material Modeler'!$AL$18</c:f>
              <c:strCache>
                <c:ptCount val="1"/>
                <c:pt idx="0">
                  <c:v>90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Modeler'!$AM$19:$AR$19</c:f>
              <c:numCache>
                <c:formatCode>0.0000</c:formatCode>
                <c:ptCount val="6"/>
                <c:pt idx="0">
                  <c:v>7.9258391850459894E-3</c:v>
                </c:pt>
                <c:pt idx="1">
                  <c:v>8.2193887844921373E-3</c:v>
                </c:pt>
                <c:pt idx="2">
                  <c:v>8.9532627831075077E-3</c:v>
                </c:pt>
                <c:pt idx="3">
                  <c:v>1.0096233134700254E-2</c:v>
                </c:pt>
                <c:pt idx="4">
                  <c:v>1.0976881933038697E-2</c:v>
                </c:pt>
                <c:pt idx="5">
                  <c:v>1.1888758777568984E-2</c:v>
                </c:pt>
              </c:numCache>
            </c:numRef>
          </c:yVal>
          <c:smooth val="1"/>
          <c:extLst>
            <c:ext xmlns:c16="http://schemas.microsoft.com/office/drawing/2014/chart" uri="{C3380CC4-5D6E-409C-BE32-E72D297353CC}">
              <c16:uniqueId val="{00000003-C37B-4423-860D-66EA48D8C0DF}"/>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t"/>
      <c:layout>
        <c:manualLayout>
          <c:xMode val="edge"/>
          <c:yMode val="edge"/>
          <c:x val="0.87363507628484061"/>
          <c:y val="0.21686140485168856"/>
          <c:w val="0.10557346740919443"/>
          <c:h val="0.49975038479750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Modeler'!$J$23:$Q$23</c:f>
          <c:strCache>
            <c:ptCount val="8"/>
            <c:pt idx="0">
              <c:v>DK_OutofPlane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'Material Modeler'!$L$24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Modeler'!$L$25:$L$27</c:f>
              <c:numCache>
                <c:formatCode>0.00</c:formatCode>
                <c:ptCount val="3"/>
                <c:pt idx="0">
                  <c:v>3.4517688615280053</c:v>
                </c:pt>
                <c:pt idx="1">
                  <c:v>3.4006753350438306</c:v>
                </c:pt>
                <c:pt idx="2">
                  <c:v>3.3268095412058152</c:v>
                </c:pt>
              </c:numCache>
            </c:numRef>
          </c:yVal>
          <c:smooth val="0"/>
          <c:extLst>
            <c:ext xmlns:c16="http://schemas.microsoft.com/office/drawing/2014/chart" uri="{C3380CC4-5D6E-409C-BE32-E72D297353CC}">
              <c16:uniqueId val="{00000000-BF33-43FE-8578-32CFAFDE4D7E}"/>
            </c:ext>
          </c:extLst>
        </c:ser>
        <c:ser>
          <c:idx val="1"/>
          <c:order val="1"/>
          <c:tx>
            <c:strRef>
              <c:f>'Material Modeler'!$M$24</c:f>
              <c:strCache>
                <c:ptCount val="1"/>
                <c:pt idx="0">
                  <c:v>3.00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Modeler'!$M$25:$M$27</c:f>
              <c:numCache>
                <c:formatCode>0.00</c:formatCode>
                <c:ptCount val="3"/>
                <c:pt idx="0">
                  <c:v>3.4403597643059016</c:v>
                </c:pt>
                <c:pt idx="1">
                  <c:v>3.3893164767722106</c:v>
                </c:pt>
                <c:pt idx="2">
                  <c:v>3.3155296301206385</c:v>
                </c:pt>
              </c:numCache>
            </c:numRef>
          </c:yVal>
          <c:smooth val="0"/>
          <c:extLst>
            <c:ext xmlns:c16="http://schemas.microsoft.com/office/drawing/2014/chart" uri="{C3380CC4-5D6E-409C-BE32-E72D297353CC}">
              <c16:uniqueId val="{00000001-BF33-43FE-8578-32CFAFDE4D7E}"/>
            </c:ext>
          </c:extLst>
        </c:ser>
        <c:ser>
          <c:idx val="2"/>
          <c:order val="2"/>
          <c:tx>
            <c:strRef>
              <c:f>'Material Modeler'!$N$24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Modeler'!$N$25:$N$27</c:f>
              <c:numCache>
                <c:formatCode>0.00</c:formatCode>
                <c:ptCount val="3"/>
                <c:pt idx="0">
                  <c:v>3.4060922001022615</c:v>
                </c:pt>
                <c:pt idx="1">
                  <c:v>3.3552016455288993</c:v>
                </c:pt>
                <c:pt idx="2">
                  <c:v>3.2816546529366897</c:v>
                </c:pt>
              </c:numCache>
            </c:numRef>
          </c:yVal>
          <c:smooth val="0"/>
          <c:extLst>
            <c:ext xmlns:c16="http://schemas.microsoft.com/office/drawing/2014/chart" uri="{C3380CC4-5D6E-409C-BE32-E72D297353CC}">
              <c16:uniqueId val="{00000002-BF33-43FE-8578-32CFAFDE4D7E}"/>
            </c:ext>
          </c:extLst>
        </c:ser>
        <c:ser>
          <c:idx val="3"/>
          <c:order val="3"/>
          <c:tx>
            <c:strRef>
              <c:f>'Material Modeler'!$O$24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Modeler'!$O$25:$O$27</c:f>
              <c:numCache>
                <c:formatCode>0.00</c:formatCode>
                <c:ptCount val="3"/>
                <c:pt idx="0">
                  <c:v>3.4184782608695645</c:v>
                </c:pt>
                <c:pt idx="1">
                  <c:v>3.3696428571428569</c:v>
                </c:pt>
                <c:pt idx="2">
                  <c:v>3.2989510489510487</c:v>
                </c:pt>
              </c:numCache>
            </c:numRef>
          </c:yVal>
          <c:smooth val="0"/>
          <c:extLst>
            <c:ext xmlns:c16="http://schemas.microsoft.com/office/drawing/2014/chart" uri="{C3380CC4-5D6E-409C-BE32-E72D297353CC}">
              <c16:uniqueId val="{00000003-BF33-43FE-8578-32CFAFDE4D7E}"/>
            </c:ext>
          </c:extLst>
        </c:ser>
        <c:ser>
          <c:idx val="4"/>
          <c:order val="4"/>
          <c:tx>
            <c:strRef>
              <c:f>'Material Modeler'!$Q$24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Modeler'!$Q$25:$Q$27</c:f>
              <c:numCache>
                <c:formatCode>0.00</c:formatCode>
                <c:ptCount val="3"/>
                <c:pt idx="0">
                  <c:v>3.3505147058823526</c:v>
                </c:pt>
                <c:pt idx="1">
                  <c:v>3.3019565217391298</c:v>
                </c:pt>
                <c:pt idx="2">
                  <c:v>3.2317021276595734</c:v>
                </c:pt>
              </c:numCache>
            </c:numRef>
          </c:yVal>
          <c:smooth val="0"/>
          <c:extLst>
            <c:ext xmlns:c16="http://schemas.microsoft.com/office/drawing/2014/chart" uri="{C3380CC4-5D6E-409C-BE32-E72D297353CC}">
              <c16:uniqueId val="{00000004-BF33-43FE-8578-32CFAFDE4D7E}"/>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DK Values at Base</a:t>
            </a:r>
            <a:r>
              <a:rPr lang="en-US" sz="1200" baseline="0"/>
              <a:t> Temperature</a:t>
            </a:r>
            <a:endParaRPr lang="en-US" sz="1200"/>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'Material Modeler'!$A$44:$H$44</c:f>
              <c:strCache>
                <c:ptCount val="8"/>
                <c:pt idx="0">
                  <c:v>DK_InPlane (Thickness = 120µm)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'Material Modeler'!$C$45:$H$45</c:f>
              <c:numCache>
                <c:formatCode>0.00</c:formatCode>
                <c:ptCount val="6"/>
                <c:pt idx="0">
                  <c:v>1</c:v>
                </c:pt>
                <c:pt idx="1">
                  <c:v>3</c:v>
                </c:pt>
                <c:pt idx="2">
                  <c:v>5</c:v>
                </c:pt>
                <c:pt idx="3">
                  <c:v>10</c:v>
                </c:pt>
                <c:pt idx="4">
                  <c:v>15</c:v>
                </c:pt>
                <c:pt idx="5">
                  <c:v>20</c:v>
                </c:pt>
              </c:numCache>
            </c:numRef>
          </c:xVal>
          <c:yVal>
            <c:numRef>
              <c:f>'Material Modeler'!$C$46:$H$46</c:f>
              <c:numCache>
                <c:formatCode>0.00</c:formatCode>
                <c:ptCount val="6"/>
                <c:pt idx="0">
                  <c:v>4.0559301971144066</c:v>
                </c:pt>
                <c:pt idx="1">
                  <c:v>4.0459301971144068</c:v>
                </c:pt>
                <c:pt idx="2">
                  <c:v>4.0159301971144075</c:v>
                </c:pt>
                <c:pt idx="3">
                  <c:v>3.9678185328185331</c:v>
                </c:pt>
                <c:pt idx="4">
                  <c:v>3.9378185328185324</c:v>
                </c:pt>
                <c:pt idx="5">
                  <c:v>3.9078185328185322</c:v>
                </c:pt>
              </c:numCache>
            </c:numRef>
          </c:yVal>
          <c:smooth val="0"/>
          <c:extLst>
            <c:ext xmlns:c16="http://schemas.microsoft.com/office/drawing/2014/chart" uri="{C3380CC4-5D6E-409C-BE32-E72D297353CC}">
              <c16:uniqueId val="{00000000-B245-40D8-BFFC-965B6C1855E7}"/>
            </c:ext>
          </c:extLst>
        </c:ser>
        <c:ser>
          <c:idx val="1"/>
          <c:order val="1"/>
          <c:tx>
            <c:strRef>
              <c:f>'Material Modeler'!$J$44:$Q$44</c:f>
              <c:strCache>
                <c:ptCount val="8"/>
                <c:pt idx="0">
                  <c:v>DK_OutofPlane (Thickness = 120µm)</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'Material Modeler'!$L$45:$Q$45</c:f>
              <c:numCache>
                <c:formatCode>0.00</c:formatCode>
                <c:ptCount val="6"/>
                <c:pt idx="0">
                  <c:v>1</c:v>
                </c:pt>
                <c:pt idx="1">
                  <c:v>3</c:v>
                </c:pt>
                <c:pt idx="2">
                  <c:v>5</c:v>
                </c:pt>
                <c:pt idx="3">
                  <c:v>10</c:v>
                </c:pt>
                <c:pt idx="4">
                  <c:v>15</c:v>
                </c:pt>
                <c:pt idx="5">
                  <c:v>20</c:v>
                </c:pt>
              </c:numCache>
            </c:numRef>
          </c:xVal>
          <c:yVal>
            <c:numRef>
              <c:f>'Material Modeler'!$L$46:$Q$46</c:f>
              <c:numCache>
                <c:formatCode>0.00</c:formatCode>
                <c:ptCount val="6"/>
                <c:pt idx="0">
                  <c:v>3.4585400910429773</c:v>
                </c:pt>
                <c:pt idx="1">
                  <c:v>3.4471246040146015</c:v>
                </c:pt>
                <c:pt idx="2">
                  <c:v>3.4128376076518481</c:v>
                </c:pt>
                <c:pt idx="3">
                  <c:v>3.4249463902787705</c:v>
                </c:pt>
                <c:pt idx="4">
                  <c:v>3.390976267453512</c:v>
                </c:pt>
                <c:pt idx="5">
                  <c:v>3.3569476483722775</c:v>
                </c:pt>
              </c:numCache>
            </c:numRef>
          </c:yVal>
          <c:smooth val="0"/>
          <c:extLst>
            <c:ext xmlns:c16="http://schemas.microsoft.com/office/drawing/2014/chart" uri="{C3380CC4-5D6E-409C-BE32-E72D297353CC}">
              <c16:uniqueId val="{00000001-B245-40D8-BFFC-965B6C1855E7}"/>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min val="2.5"/>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Modeler'!$AB$6:$AH$6</c:f>
          <c:strCache>
            <c:ptCount val="7"/>
            <c:pt idx="0">
              <c:v>Stripline Loss Decomposition at Temp = 25°C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5571626031953106"/>
          <c:y val="0.18470153084420821"/>
          <c:w val="0.73397630029974059"/>
          <c:h val="0.49575668741286782"/>
        </c:manualLayout>
      </c:layout>
      <c:scatterChart>
        <c:scatterStyle val="lineMarker"/>
        <c:varyColors val="0"/>
        <c:ser>
          <c:idx val="0"/>
          <c:order val="0"/>
          <c:tx>
            <c:strRef>
              <c:f>'Material Modeler'!$AB$7</c:f>
              <c:strCache>
                <c:ptCount val="1"/>
                <c:pt idx="0">
                  <c:v>α_Dielectric (Verified)</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Modeler'!$AD$2:$AI$2</c:f>
              <c:numCache>
                <c:formatCode>0.00</c:formatCode>
                <c:ptCount val="6"/>
                <c:pt idx="0">
                  <c:v>1</c:v>
                </c:pt>
                <c:pt idx="1">
                  <c:v>3</c:v>
                </c:pt>
                <c:pt idx="2">
                  <c:v>5</c:v>
                </c:pt>
                <c:pt idx="3">
                  <c:v>10</c:v>
                </c:pt>
                <c:pt idx="4">
                  <c:v>15</c:v>
                </c:pt>
                <c:pt idx="5">
                  <c:v>20</c:v>
                </c:pt>
              </c:numCache>
            </c:numRef>
          </c:xVal>
          <c:yVal>
            <c:numRef>
              <c:f>'Material Modeler'!$AD$7:$AI$7</c:f>
              <c:numCache>
                <c:formatCode>0.00</c:formatCode>
                <c:ptCount val="6"/>
                <c:pt idx="0">
                  <c:v>0.95272336963681148</c:v>
                </c:pt>
                <c:pt idx="1">
                  <c:v>2.9598016558868414</c:v>
                </c:pt>
                <c:pt idx="2">
                  <c:v>5.3503489060531626</c:v>
                </c:pt>
                <c:pt idx="3">
                  <c:v>12.037469367047326</c:v>
                </c:pt>
                <c:pt idx="4">
                  <c:v>19.546045672950971</c:v>
                </c:pt>
                <c:pt idx="5">
                  <c:v>28.102807443751743</c:v>
                </c:pt>
              </c:numCache>
            </c:numRef>
          </c:yVal>
          <c:smooth val="0"/>
          <c:extLst>
            <c:ext xmlns:c16="http://schemas.microsoft.com/office/drawing/2014/chart" uri="{C3380CC4-5D6E-409C-BE32-E72D297353CC}">
              <c16:uniqueId val="{00000000-52F4-4FF2-8262-6851F7BEE136}"/>
            </c:ext>
          </c:extLst>
        </c:ser>
        <c:ser>
          <c:idx val="1"/>
          <c:order val="1"/>
          <c:tx>
            <c:strRef>
              <c:f>'Material Modeler'!$AB$8</c:f>
              <c:strCache>
                <c:ptCount val="1"/>
                <c:pt idx="0">
                  <c:v>α_SmoothMetal (Verified)</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Modeler'!$AD$2:$AI$2</c:f>
              <c:numCache>
                <c:formatCode>0.00</c:formatCode>
                <c:ptCount val="6"/>
                <c:pt idx="0">
                  <c:v>1</c:v>
                </c:pt>
                <c:pt idx="1">
                  <c:v>3</c:v>
                </c:pt>
                <c:pt idx="2">
                  <c:v>5</c:v>
                </c:pt>
                <c:pt idx="3">
                  <c:v>10</c:v>
                </c:pt>
                <c:pt idx="4">
                  <c:v>15</c:v>
                </c:pt>
                <c:pt idx="5">
                  <c:v>20</c:v>
                </c:pt>
              </c:numCache>
            </c:numRef>
          </c:xVal>
          <c:yVal>
            <c:numRef>
              <c:f>'Material Modeler'!$AD$8:$AI$8</c:f>
              <c:numCache>
                <c:formatCode>0.00</c:formatCode>
                <c:ptCount val="6"/>
                <c:pt idx="0">
                  <c:v>5.897910886776331</c:v>
                </c:pt>
                <c:pt idx="1">
                  <c:v>10.20091437958488</c:v>
                </c:pt>
                <c:pt idx="2">
                  <c:v>13.11270874227341</c:v>
                </c:pt>
                <c:pt idx="3">
                  <c:v>18.49917960479609</c:v>
                </c:pt>
                <c:pt idx="4">
                  <c:v>22.558537020849037</c:v>
                </c:pt>
                <c:pt idx="5">
                  <c:v>25.934318426290481</c:v>
                </c:pt>
              </c:numCache>
            </c:numRef>
          </c:yVal>
          <c:smooth val="0"/>
          <c:extLst>
            <c:ext xmlns:c16="http://schemas.microsoft.com/office/drawing/2014/chart" uri="{C3380CC4-5D6E-409C-BE32-E72D297353CC}">
              <c16:uniqueId val="{00000001-52F4-4FF2-8262-6851F7BEE136}"/>
            </c:ext>
          </c:extLst>
        </c:ser>
        <c:ser>
          <c:idx val="2"/>
          <c:order val="2"/>
          <c:tx>
            <c:strRef>
              <c:f>'Material Modeler'!$AB$9</c:f>
              <c:strCache>
                <c:ptCount val="1"/>
                <c:pt idx="0">
                  <c:v>α_RoughMetal</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Modeler'!$AD$2:$AI$2</c:f>
              <c:numCache>
                <c:formatCode>0.00</c:formatCode>
                <c:ptCount val="6"/>
                <c:pt idx="0">
                  <c:v>1</c:v>
                </c:pt>
                <c:pt idx="1">
                  <c:v>3</c:v>
                </c:pt>
                <c:pt idx="2">
                  <c:v>5</c:v>
                </c:pt>
                <c:pt idx="3">
                  <c:v>10</c:v>
                </c:pt>
                <c:pt idx="4">
                  <c:v>15</c:v>
                </c:pt>
                <c:pt idx="5">
                  <c:v>20</c:v>
                </c:pt>
              </c:numCache>
            </c:numRef>
          </c:xVal>
          <c:yVal>
            <c:numRef>
              <c:f>'Material Modeler'!$AD$9:$AI$9</c:f>
              <c:numCache>
                <c:formatCode>0.00</c:formatCode>
                <c:ptCount val="6"/>
                <c:pt idx="0">
                  <c:v>6.0597478033780394</c:v>
                </c:pt>
                <c:pt idx="1">
                  <c:v>11.036522619350984</c:v>
                </c:pt>
                <c:pt idx="2">
                  <c:v>14.885717369158032</c:v>
                </c:pt>
                <c:pt idx="3">
                  <c:v>23.294578571405943</c:v>
                </c:pt>
                <c:pt idx="4">
                  <c:v>30.804980154021973</c:v>
                </c:pt>
                <c:pt idx="5">
                  <c:v>37.685541005354196</c:v>
                </c:pt>
              </c:numCache>
            </c:numRef>
          </c:yVal>
          <c:smooth val="0"/>
          <c:extLst>
            <c:ext xmlns:c16="http://schemas.microsoft.com/office/drawing/2014/chart" uri="{C3380CC4-5D6E-409C-BE32-E72D297353CC}">
              <c16:uniqueId val="{00000002-52F4-4FF2-8262-6851F7BEE136}"/>
            </c:ext>
          </c:extLst>
        </c:ser>
        <c:ser>
          <c:idx val="3"/>
          <c:order val="3"/>
          <c:tx>
            <c:strRef>
              <c:f>'Material Modeler'!$AB$10</c:f>
              <c:strCache>
                <c:ptCount val="1"/>
                <c:pt idx="0">
                  <c:v>α_Total</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'Material Modeler'!$AD$2:$AI$2</c:f>
              <c:numCache>
                <c:formatCode>0.00</c:formatCode>
                <c:ptCount val="6"/>
                <c:pt idx="0">
                  <c:v>1</c:v>
                </c:pt>
                <c:pt idx="1">
                  <c:v>3</c:v>
                </c:pt>
                <c:pt idx="2">
                  <c:v>5</c:v>
                </c:pt>
                <c:pt idx="3">
                  <c:v>10</c:v>
                </c:pt>
                <c:pt idx="4">
                  <c:v>15</c:v>
                </c:pt>
                <c:pt idx="5">
                  <c:v>20</c:v>
                </c:pt>
              </c:numCache>
            </c:numRef>
          </c:xVal>
          <c:yVal>
            <c:numRef>
              <c:f>'Material Modeler'!$AD$10:$AI$10</c:f>
              <c:numCache>
                <c:formatCode>0.00</c:formatCode>
                <c:ptCount val="6"/>
                <c:pt idx="0">
                  <c:v>7.012471173014851</c:v>
                </c:pt>
                <c:pt idx="1">
                  <c:v>13.996324275237825</c:v>
                </c:pt>
                <c:pt idx="2">
                  <c:v>20.236066275211193</c:v>
                </c:pt>
                <c:pt idx="3">
                  <c:v>35.332047938453272</c:v>
                </c:pt>
                <c:pt idx="4">
                  <c:v>50.351025826972943</c:v>
                </c:pt>
                <c:pt idx="5">
                  <c:v>65.788348449105939</c:v>
                </c:pt>
              </c:numCache>
            </c:numRef>
          </c:yVal>
          <c:smooth val="0"/>
          <c:extLst>
            <c:ext xmlns:c16="http://schemas.microsoft.com/office/drawing/2014/chart" uri="{C3380CC4-5D6E-409C-BE32-E72D297353CC}">
              <c16:uniqueId val="{00000003-52F4-4FF2-8262-6851F7BEE13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6.6865549221882342E-2"/>
          <c:y val="0.8258194875172904"/>
          <c:w val="0.87470576173332526"/>
          <c:h val="0.17162568338640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44967807167815"/>
          <c:y val="0.20029705892107996"/>
          <c:w val="0.55600688387005515"/>
          <c:h val="0.55991184332161714"/>
        </c:manualLayout>
      </c:layout>
      <c:scatterChart>
        <c:scatterStyle val="lineMarker"/>
        <c:varyColors val="0"/>
        <c:ser>
          <c:idx val="0"/>
          <c:order val="0"/>
          <c:tx>
            <c:strRef>
              <c:f>'Material Modeler'!$AD$26</c:f>
              <c:strCache>
                <c:ptCount val="1"/>
                <c:pt idx="0">
                  <c:v>1.00</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Modeler'!$AD$27:$AD$30</c:f>
              <c:numCache>
                <c:formatCode>0.00</c:formatCode>
                <c:ptCount val="4"/>
                <c:pt idx="0">
                  <c:v>5.8238452830809528</c:v>
                </c:pt>
                <c:pt idx="1">
                  <c:v>6.5720720457515807</c:v>
                </c:pt>
                <c:pt idx="2">
                  <c:v>7.012471173014851</c:v>
                </c:pt>
                <c:pt idx="3">
                  <c:v>8.0782229665236134</c:v>
                </c:pt>
              </c:numCache>
            </c:numRef>
          </c:yVal>
          <c:smooth val="0"/>
          <c:extLst>
            <c:ext xmlns:c16="http://schemas.microsoft.com/office/drawing/2014/chart" uri="{C3380CC4-5D6E-409C-BE32-E72D297353CC}">
              <c16:uniqueId val="{00000001-A5C3-4E39-BBC9-B8FF93DF1593}"/>
            </c:ext>
          </c:extLst>
        </c:ser>
        <c:ser>
          <c:idx val="1"/>
          <c:order val="1"/>
          <c:tx>
            <c:strRef>
              <c:f>'Material Modeler'!$AE$26</c:f>
              <c:strCache>
                <c:ptCount val="1"/>
                <c:pt idx="0">
                  <c:v>3.00</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Modeler'!$AE$27:$AE$30</c:f>
              <c:numCache>
                <c:formatCode>0.00</c:formatCode>
                <c:ptCount val="4"/>
                <c:pt idx="0">
                  <c:v>11.428800000304451</c:v>
                </c:pt>
                <c:pt idx="1">
                  <c:v>13.034960562206864</c:v>
                </c:pt>
                <c:pt idx="2">
                  <c:v>13.996324275237825</c:v>
                </c:pt>
                <c:pt idx="3">
                  <c:v>16.366532030722691</c:v>
                </c:pt>
              </c:numCache>
            </c:numRef>
          </c:yVal>
          <c:smooth val="0"/>
          <c:extLst>
            <c:ext xmlns:c16="http://schemas.microsoft.com/office/drawing/2014/chart" uri="{C3380CC4-5D6E-409C-BE32-E72D297353CC}">
              <c16:uniqueId val="{00000003-A5C3-4E39-BBC9-B8FF93DF1593}"/>
            </c:ext>
          </c:extLst>
        </c:ser>
        <c:ser>
          <c:idx val="2"/>
          <c:order val="2"/>
          <c:tx>
            <c:strRef>
              <c:f>'Material Modeler'!$AF$26</c:f>
              <c:strCache>
                <c:ptCount val="1"/>
                <c:pt idx="0">
                  <c:v>5.00</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trendline>
            <c:spPr>
              <a:ln w="25400" cap="rnd">
                <a:solidFill>
                  <a:schemeClr val="accent3">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Modeler'!$AF$27:$AF$30</c:f>
              <c:numCache>
                <c:formatCode>0.00</c:formatCode>
                <c:ptCount val="4"/>
                <c:pt idx="0">
                  <c:v>16.326013271102166</c:v>
                </c:pt>
                <c:pt idx="1">
                  <c:v>18.763869411401878</c:v>
                </c:pt>
                <c:pt idx="2">
                  <c:v>20.236066275211193</c:v>
                </c:pt>
                <c:pt idx="3">
                  <c:v>23.903383752672973</c:v>
                </c:pt>
              </c:numCache>
            </c:numRef>
          </c:yVal>
          <c:smooth val="0"/>
          <c:extLst>
            <c:ext xmlns:c16="http://schemas.microsoft.com/office/drawing/2014/chart" uri="{C3380CC4-5D6E-409C-BE32-E72D297353CC}">
              <c16:uniqueId val="{00000005-A5C3-4E39-BBC9-B8FF93DF1593}"/>
            </c:ext>
          </c:extLst>
        </c:ser>
        <c:ser>
          <c:idx val="3"/>
          <c:order val="3"/>
          <c:tx>
            <c:strRef>
              <c:f>'Material Modeler'!$AG$26</c:f>
              <c:strCache>
                <c:ptCount val="1"/>
                <c:pt idx="0">
                  <c:v>10.00</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trendline>
            <c:spPr>
              <a:ln w="25400" cap="rnd">
                <a:solidFill>
                  <a:schemeClr val="accent4">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Modeler'!$AG$27:$AG$30</c:f>
              <c:numCache>
                <c:formatCode>0.00</c:formatCode>
                <c:ptCount val="4"/>
                <c:pt idx="0">
                  <c:v>27.950593440232488</c:v>
                </c:pt>
                <c:pt idx="1">
                  <c:v>32.545234756959836</c:v>
                </c:pt>
                <c:pt idx="2">
                  <c:v>35.332047938453272</c:v>
                </c:pt>
                <c:pt idx="3">
                  <c:v>42.331513239098996</c:v>
                </c:pt>
              </c:numCache>
            </c:numRef>
          </c:yVal>
          <c:smooth val="0"/>
          <c:extLst>
            <c:ext xmlns:c16="http://schemas.microsoft.com/office/drawing/2014/chart" uri="{C3380CC4-5D6E-409C-BE32-E72D297353CC}">
              <c16:uniqueId val="{00000007-A5C3-4E39-BBC9-B8FF93DF1593}"/>
            </c:ext>
          </c:extLst>
        </c:ser>
        <c:ser>
          <c:idx val="4"/>
          <c:order val="4"/>
          <c:tx>
            <c:strRef>
              <c:f>'Material Modeler'!$AH$26</c:f>
              <c:strCache>
                <c:ptCount val="1"/>
                <c:pt idx="0">
                  <c:v>15.00</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trendline>
            <c:spPr>
              <a:ln w="25400" cap="rnd">
                <a:solidFill>
                  <a:schemeClr val="accent5">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Modeler'!$AH$27:$AH$30</c:f>
              <c:numCache>
                <c:formatCode>0.00</c:formatCode>
                <c:ptCount val="4"/>
                <c:pt idx="0">
                  <c:v>39.083587611292742</c:v>
                </c:pt>
                <c:pt idx="1">
                  <c:v>46.108384277138633</c:v>
                </c:pt>
                <c:pt idx="2">
                  <c:v>50.351025826972943</c:v>
                </c:pt>
                <c:pt idx="3">
                  <c:v>60.987513209864744</c:v>
                </c:pt>
              </c:numCache>
            </c:numRef>
          </c:yVal>
          <c:smooth val="0"/>
          <c:extLst>
            <c:ext xmlns:c16="http://schemas.microsoft.com/office/drawing/2014/chart" uri="{C3380CC4-5D6E-409C-BE32-E72D297353CC}">
              <c16:uniqueId val="{00000009-A5C3-4E39-BBC9-B8FF93DF1593}"/>
            </c:ext>
          </c:extLst>
        </c:ser>
        <c:ser>
          <c:idx val="5"/>
          <c:order val="5"/>
          <c:tx>
            <c:strRef>
              <c:f>'Material Modeler'!$AI$26</c:f>
              <c:strCache>
                <c:ptCount val="1"/>
                <c:pt idx="0">
                  <c:v>20.00</c:v>
                </c:pt>
              </c:strCache>
            </c:strRef>
          </c:tx>
          <c:spPr>
            <a:ln w="25400" cap="rnd">
              <a:no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trendline>
            <c:spPr>
              <a:ln w="25400" cap="rnd">
                <a:solidFill>
                  <a:schemeClr val="accent6">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Modeler'!$AI$27:$AI$30</c:f>
              <c:numCache>
                <c:formatCode>0.00</c:formatCode>
                <c:ptCount val="4"/>
                <c:pt idx="0">
                  <c:v>50.017625484382272</c:v>
                </c:pt>
                <c:pt idx="1">
                  <c:v>59.862623867432617</c:v>
                </c:pt>
                <c:pt idx="2">
                  <c:v>65.788348449105939</c:v>
                </c:pt>
                <c:pt idx="3">
                  <c:v>80.596034493372827</c:v>
                </c:pt>
              </c:numCache>
            </c:numRef>
          </c:yVal>
          <c:smooth val="0"/>
          <c:extLst>
            <c:ext xmlns:c16="http://schemas.microsoft.com/office/drawing/2014/chart" uri="{C3380CC4-5D6E-409C-BE32-E72D297353CC}">
              <c16:uniqueId val="{0000000B-A5C3-4E39-BBC9-B8FF93DF1593}"/>
            </c:ext>
          </c:extLst>
        </c:ser>
        <c:dLbls>
          <c:showLegendKey val="0"/>
          <c:showVal val="0"/>
          <c:showCatName val="0"/>
          <c:showSerName val="0"/>
          <c:showPercent val="0"/>
          <c:showBubbleSize val="0"/>
        </c:dLbls>
        <c:axId val="599681023"/>
        <c:axId val="599694463"/>
      </c:scatterChart>
      <c:valAx>
        <c:axId val="59968102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94463"/>
        <c:crosses val="autoZero"/>
        <c:crossBetween val="midCat"/>
      </c:valAx>
      <c:valAx>
        <c:axId val="59969446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81023"/>
        <c:crossesAt val="-50"/>
        <c:crossBetween val="midCat"/>
        <c:majorUnit val="20"/>
      </c:valAx>
      <c:spPr>
        <a:noFill/>
        <a:ln>
          <a:noFill/>
        </a:ln>
        <a:effectLst/>
      </c:spPr>
    </c:plotArea>
    <c:legend>
      <c:legendPos val="t"/>
      <c:layout>
        <c:manualLayout>
          <c:xMode val="edge"/>
          <c:yMode val="edge"/>
          <c:x val="0.73800131136947611"/>
          <c:y val="0.16639264111771396"/>
          <c:w val="0.24992932243777008"/>
          <c:h val="0.59111373319152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03790684700997"/>
          <c:y val="0.19910914687196135"/>
          <c:w val="0.67909096357360677"/>
          <c:h val="0.56182637685609627"/>
        </c:manualLayout>
      </c:layout>
      <c:scatterChart>
        <c:scatterStyle val="smoothMarker"/>
        <c:varyColors val="0"/>
        <c:ser>
          <c:idx val="0"/>
          <c:order val="0"/>
          <c:tx>
            <c:strRef>
              <c:f>'Material Modeler'!$AC$27</c:f>
              <c:strCache>
                <c:ptCount val="1"/>
                <c:pt idx="0">
                  <c:v>-40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'Material Modeler'!$AD$26:$AI$26</c:f>
              <c:numCache>
                <c:formatCode>0.00</c:formatCode>
                <c:ptCount val="6"/>
                <c:pt idx="0">
                  <c:v>1</c:v>
                </c:pt>
                <c:pt idx="1">
                  <c:v>3</c:v>
                </c:pt>
                <c:pt idx="2">
                  <c:v>5</c:v>
                </c:pt>
                <c:pt idx="3">
                  <c:v>10</c:v>
                </c:pt>
                <c:pt idx="4">
                  <c:v>15</c:v>
                </c:pt>
                <c:pt idx="5">
                  <c:v>20</c:v>
                </c:pt>
              </c:numCache>
            </c:numRef>
          </c:xVal>
          <c:yVal>
            <c:numRef>
              <c:f>'Material Modeler'!$AD$27:$AI$27</c:f>
              <c:numCache>
                <c:formatCode>0.00</c:formatCode>
                <c:ptCount val="6"/>
                <c:pt idx="0">
                  <c:v>5.8238452830809528</c:v>
                </c:pt>
                <c:pt idx="1">
                  <c:v>11.428800000304451</c:v>
                </c:pt>
                <c:pt idx="2">
                  <c:v>16.326013271102166</c:v>
                </c:pt>
                <c:pt idx="3">
                  <c:v>27.950593440232488</c:v>
                </c:pt>
                <c:pt idx="4">
                  <c:v>39.083587611292742</c:v>
                </c:pt>
                <c:pt idx="5">
                  <c:v>50.017625484382272</c:v>
                </c:pt>
              </c:numCache>
            </c:numRef>
          </c:yVal>
          <c:smooth val="1"/>
          <c:extLst>
            <c:ext xmlns:c16="http://schemas.microsoft.com/office/drawing/2014/chart" uri="{C3380CC4-5D6E-409C-BE32-E72D297353CC}">
              <c16:uniqueId val="{00000000-A2F6-4439-8069-BF38D0952ECC}"/>
            </c:ext>
          </c:extLst>
        </c:ser>
        <c:ser>
          <c:idx val="1"/>
          <c:order val="1"/>
          <c:tx>
            <c:strRef>
              <c:f>'Material Modeler'!$AC$28</c:f>
              <c:strCache>
                <c:ptCount val="1"/>
                <c:pt idx="0">
                  <c:v>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Modeler'!$AD$26:$AI$26</c:f>
              <c:numCache>
                <c:formatCode>0.00</c:formatCode>
                <c:ptCount val="6"/>
                <c:pt idx="0">
                  <c:v>1</c:v>
                </c:pt>
                <c:pt idx="1">
                  <c:v>3</c:v>
                </c:pt>
                <c:pt idx="2">
                  <c:v>5</c:v>
                </c:pt>
                <c:pt idx="3">
                  <c:v>10</c:v>
                </c:pt>
                <c:pt idx="4">
                  <c:v>15</c:v>
                </c:pt>
                <c:pt idx="5">
                  <c:v>20</c:v>
                </c:pt>
              </c:numCache>
            </c:numRef>
          </c:xVal>
          <c:yVal>
            <c:numRef>
              <c:f>'Material Modeler'!$AD$28:$AI$28</c:f>
              <c:numCache>
                <c:formatCode>0.00</c:formatCode>
                <c:ptCount val="6"/>
                <c:pt idx="0">
                  <c:v>6.5720720457515807</c:v>
                </c:pt>
                <c:pt idx="1">
                  <c:v>13.034960562206864</c:v>
                </c:pt>
                <c:pt idx="2">
                  <c:v>18.763869411401878</c:v>
                </c:pt>
                <c:pt idx="3">
                  <c:v>32.545234756959836</c:v>
                </c:pt>
                <c:pt idx="4">
                  <c:v>46.108384277138633</c:v>
                </c:pt>
                <c:pt idx="5">
                  <c:v>59.862623867432617</c:v>
                </c:pt>
              </c:numCache>
            </c:numRef>
          </c:yVal>
          <c:smooth val="1"/>
          <c:extLst>
            <c:ext xmlns:c16="http://schemas.microsoft.com/office/drawing/2014/chart" uri="{C3380CC4-5D6E-409C-BE32-E72D297353CC}">
              <c16:uniqueId val="{00000001-A2F6-4439-8069-BF38D0952ECC}"/>
            </c:ext>
          </c:extLst>
        </c:ser>
        <c:ser>
          <c:idx val="2"/>
          <c:order val="2"/>
          <c:tx>
            <c:strRef>
              <c:f>'Material Modeler'!$AC$29</c:f>
              <c:strCache>
                <c:ptCount val="1"/>
                <c:pt idx="0">
                  <c:v>25</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Modeler'!$AD$26:$AI$26</c:f>
              <c:numCache>
                <c:formatCode>0.00</c:formatCode>
                <c:ptCount val="6"/>
                <c:pt idx="0">
                  <c:v>1</c:v>
                </c:pt>
                <c:pt idx="1">
                  <c:v>3</c:v>
                </c:pt>
                <c:pt idx="2">
                  <c:v>5</c:v>
                </c:pt>
                <c:pt idx="3">
                  <c:v>10</c:v>
                </c:pt>
                <c:pt idx="4">
                  <c:v>15</c:v>
                </c:pt>
                <c:pt idx="5">
                  <c:v>20</c:v>
                </c:pt>
              </c:numCache>
            </c:numRef>
          </c:xVal>
          <c:yVal>
            <c:numRef>
              <c:f>'Material Modeler'!$AD$29:$AI$29</c:f>
              <c:numCache>
                <c:formatCode>0.00</c:formatCode>
                <c:ptCount val="6"/>
                <c:pt idx="0">
                  <c:v>7.012471173014851</c:v>
                </c:pt>
                <c:pt idx="1">
                  <c:v>13.996324275237825</c:v>
                </c:pt>
                <c:pt idx="2">
                  <c:v>20.236066275211193</c:v>
                </c:pt>
                <c:pt idx="3">
                  <c:v>35.332047938453272</c:v>
                </c:pt>
                <c:pt idx="4">
                  <c:v>50.351025826972943</c:v>
                </c:pt>
                <c:pt idx="5">
                  <c:v>65.788348449105939</c:v>
                </c:pt>
              </c:numCache>
            </c:numRef>
          </c:yVal>
          <c:smooth val="1"/>
          <c:extLst>
            <c:ext xmlns:c16="http://schemas.microsoft.com/office/drawing/2014/chart" uri="{C3380CC4-5D6E-409C-BE32-E72D297353CC}">
              <c16:uniqueId val="{00000002-A2F6-4439-8069-BF38D0952ECC}"/>
            </c:ext>
          </c:extLst>
        </c:ser>
        <c:ser>
          <c:idx val="3"/>
          <c:order val="3"/>
          <c:tx>
            <c:strRef>
              <c:f>'Material Modeler'!$AC$30</c:f>
              <c:strCache>
                <c:ptCount val="1"/>
                <c:pt idx="0">
                  <c:v>90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'Material Modeler'!$AD$26:$AI$26</c:f>
              <c:numCache>
                <c:formatCode>0.00</c:formatCode>
                <c:ptCount val="6"/>
                <c:pt idx="0">
                  <c:v>1</c:v>
                </c:pt>
                <c:pt idx="1">
                  <c:v>3</c:v>
                </c:pt>
                <c:pt idx="2">
                  <c:v>5</c:v>
                </c:pt>
                <c:pt idx="3">
                  <c:v>10</c:v>
                </c:pt>
                <c:pt idx="4">
                  <c:v>15</c:v>
                </c:pt>
                <c:pt idx="5">
                  <c:v>20</c:v>
                </c:pt>
              </c:numCache>
            </c:numRef>
          </c:xVal>
          <c:yVal>
            <c:numRef>
              <c:f>'Material Modeler'!$AD$30:$AI$30</c:f>
              <c:numCache>
                <c:formatCode>0.00</c:formatCode>
                <c:ptCount val="6"/>
                <c:pt idx="0">
                  <c:v>8.0782229665236134</c:v>
                </c:pt>
                <c:pt idx="1">
                  <c:v>16.366532030722691</c:v>
                </c:pt>
                <c:pt idx="2">
                  <c:v>23.903383752672973</c:v>
                </c:pt>
                <c:pt idx="3">
                  <c:v>42.331513239098996</c:v>
                </c:pt>
                <c:pt idx="4">
                  <c:v>60.987513209864744</c:v>
                </c:pt>
                <c:pt idx="5">
                  <c:v>80.596034493372827</c:v>
                </c:pt>
              </c:numCache>
            </c:numRef>
          </c:yVal>
          <c:smooth val="1"/>
          <c:extLst>
            <c:ext xmlns:c16="http://schemas.microsoft.com/office/drawing/2014/chart" uri="{C3380CC4-5D6E-409C-BE32-E72D297353CC}">
              <c16:uniqueId val="{00000003-A2F6-4439-8069-BF38D0952ECC}"/>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t"/>
      <c:layout>
        <c:manualLayout>
          <c:xMode val="edge"/>
          <c:yMode val="edge"/>
          <c:x val="0.84146437038128175"/>
          <c:y val="0.21686140485168856"/>
          <c:w val="0.13774419399544396"/>
          <c:h val="0.49975038479750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Modeler'!$S$23</c:f>
          <c:strCache>
            <c:ptCount val="1"/>
            <c:pt idx="0">
              <c:v>DF (From DF_Glass, DF_Resin,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'Material Modeler'!$U$24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Modeler'!$U$25:$U$27</c:f>
              <c:numCache>
                <c:formatCode>0.0000</c:formatCode>
                <c:ptCount val="3"/>
                <c:pt idx="0">
                  <c:v>5.3999999999999994E-3</c:v>
                </c:pt>
                <c:pt idx="1">
                  <c:v>5.3999999999999994E-3</c:v>
                </c:pt>
                <c:pt idx="2">
                  <c:v>5.3999999999999994E-3</c:v>
                </c:pt>
              </c:numCache>
            </c:numRef>
          </c:yVal>
          <c:smooth val="0"/>
          <c:extLst>
            <c:ext xmlns:c16="http://schemas.microsoft.com/office/drawing/2014/chart" uri="{C3380CC4-5D6E-409C-BE32-E72D297353CC}">
              <c16:uniqueId val="{00000000-1851-4F34-A56C-EB4F6F571AFF}"/>
            </c:ext>
          </c:extLst>
        </c:ser>
        <c:ser>
          <c:idx val="1"/>
          <c:order val="1"/>
          <c:tx>
            <c:strRef>
              <c:f>'Material Modeler'!$V$24</c:f>
              <c:strCache>
                <c:ptCount val="1"/>
                <c:pt idx="0">
                  <c:v>3.00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Modeler'!$V$25:$V$27</c:f>
              <c:numCache>
                <c:formatCode>0.0000</c:formatCode>
                <c:ptCount val="3"/>
                <c:pt idx="0">
                  <c:v>5.5999999999999999E-3</c:v>
                </c:pt>
                <c:pt idx="1">
                  <c:v>5.5999999999999999E-3</c:v>
                </c:pt>
                <c:pt idx="2">
                  <c:v>5.5999999999999999E-3</c:v>
                </c:pt>
              </c:numCache>
            </c:numRef>
          </c:yVal>
          <c:smooth val="0"/>
          <c:extLst>
            <c:ext xmlns:c16="http://schemas.microsoft.com/office/drawing/2014/chart" uri="{C3380CC4-5D6E-409C-BE32-E72D297353CC}">
              <c16:uniqueId val="{00000001-1851-4F34-A56C-EB4F6F571AFF}"/>
            </c:ext>
          </c:extLst>
        </c:ser>
        <c:ser>
          <c:idx val="2"/>
          <c:order val="2"/>
          <c:tx>
            <c:strRef>
              <c:f>'Material Modeler'!$W$24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Modeler'!$W$25:$W$27</c:f>
              <c:numCache>
                <c:formatCode>0.0000</c:formatCode>
                <c:ptCount val="3"/>
                <c:pt idx="0">
                  <c:v>6.1000000000000004E-3</c:v>
                </c:pt>
                <c:pt idx="1">
                  <c:v>6.1000000000000004E-3</c:v>
                </c:pt>
                <c:pt idx="2">
                  <c:v>6.1000000000000004E-3</c:v>
                </c:pt>
              </c:numCache>
            </c:numRef>
          </c:yVal>
          <c:smooth val="0"/>
          <c:extLst>
            <c:ext xmlns:c16="http://schemas.microsoft.com/office/drawing/2014/chart" uri="{C3380CC4-5D6E-409C-BE32-E72D297353CC}">
              <c16:uniqueId val="{00000002-1851-4F34-A56C-EB4F6F571AFF}"/>
            </c:ext>
          </c:extLst>
        </c:ser>
        <c:ser>
          <c:idx val="3"/>
          <c:order val="3"/>
          <c:tx>
            <c:strRef>
              <c:f>'Material Modeler'!$X$24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Modeler'!$X$25:$X$27</c:f>
              <c:numCache>
                <c:formatCode>0.0000</c:formatCode>
                <c:ptCount val="3"/>
                <c:pt idx="0">
                  <c:v>6.8842105263157895E-3</c:v>
                </c:pt>
                <c:pt idx="1">
                  <c:v>6.9263157894736841E-3</c:v>
                </c:pt>
                <c:pt idx="2">
                  <c:v>6.9894736842105263E-3</c:v>
                </c:pt>
              </c:numCache>
            </c:numRef>
          </c:yVal>
          <c:smooth val="0"/>
          <c:extLst>
            <c:ext xmlns:c16="http://schemas.microsoft.com/office/drawing/2014/chart" uri="{C3380CC4-5D6E-409C-BE32-E72D297353CC}">
              <c16:uniqueId val="{00000003-1851-4F34-A56C-EB4F6F571AFF}"/>
            </c:ext>
          </c:extLst>
        </c:ser>
        <c:ser>
          <c:idx val="4"/>
          <c:order val="4"/>
          <c:tx>
            <c:strRef>
              <c:f>'Material Modeler'!$Z$24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'Material Modeler'!$B$25:$B$27</c:f>
              <c:numCache>
                <c:formatCode>0.0%</c:formatCode>
                <c:ptCount val="3"/>
                <c:pt idx="0">
                  <c:v>0.53</c:v>
                </c:pt>
                <c:pt idx="1">
                  <c:v>0.55000000000000004</c:v>
                </c:pt>
                <c:pt idx="2">
                  <c:v>0.57999999999999996</c:v>
                </c:pt>
              </c:numCache>
            </c:numRef>
          </c:xVal>
          <c:yVal>
            <c:numRef>
              <c:f>'Material Modeler'!$Z$25:$Z$27</c:f>
              <c:numCache>
                <c:formatCode>0.0000</c:formatCode>
                <c:ptCount val="3"/>
                <c:pt idx="0">
                  <c:v>8.0999999999999996E-3</c:v>
                </c:pt>
                <c:pt idx="1">
                  <c:v>8.0999999999999996E-3</c:v>
                </c:pt>
                <c:pt idx="2">
                  <c:v>8.0999999999999996E-3</c:v>
                </c:pt>
              </c:numCache>
            </c:numRef>
          </c:yVal>
          <c:smooth val="0"/>
          <c:extLst>
            <c:ext xmlns:c16="http://schemas.microsoft.com/office/drawing/2014/chart" uri="{C3380CC4-5D6E-409C-BE32-E72D297353CC}">
              <c16:uniqueId val="{00000004-1851-4F34-A56C-EB4F6F571AFF}"/>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DF Values at Base Temperature</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3585844234985628"/>
          <c:y val="0.13148475909537857"/>
          <c:w val="0.74256299971629225"/>
          <c:h val="0.56569096014430276"/>
        </c:manualLayout>
      </c:layout>
      <c:scatterChart>
        <c:scatterStyle val="lineMarker"/>
        <c:varyColors val="0"/>
        <c:ser>
          <c:idx val="0"/>
          <c:order val="0"/>
          <c:tx>
            <c:strRef>
              <c:f>'Material Modeler'!$S$44:$Z$44</c:f>
              <c:strCache>
                <c:ptCount val="8"/>
                <c:pt idx="0">
                  <c:v>DF (Thickness = 120µm)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'Material Modeler'!$U$45:$Z$45</c:f>
              <c:numCache>
                <c:formatCode>0.00</c:formatCode>
                <c:ptCount val="6"/>
                <c:pt idx="0">
                  <c:v>1</c:v>
                </c:pt>
                <c:pt idx="1">
                  <c:v>3</c:v>
                </c:pt>
                <c:pt idx="2">
                  <c:v>5</c:v>
                </c:pt>
                <c:pt idx="3">
                  <c:v>10</c:v>
                </c:pt>
                <c:pt idx="4">
                  <c:v>15</c:v>
                </c:pt>
                <c:pt idx="5">
                  <c:v>20</c:v>
                </c:pt>
              </c:numCache>
            </c:numRef>
          </c:xVal>
          <c:yVal>
            <c:numRef>
              <c:f>'Material Modeler'!$U$46:$Z$46</c:f>
              <c:numCache>
                <c:formatCode>0.0000</c:formatCode>
                <c:ptCount val="6"/>
                <c:pt idx="0">
                  <c:v>5.3999999999999994E-3</c:v>
                </c:pt>
                <c:pt idx="1">
                  <c:v>5.5999999999999999E-3</c:v>
                </c:pt>
                <c:pt idx="2">
                  <c:v>6.1000000000000004E-3</c:v>
                </c:pt>
                <c:pt idx="3">
                  <c:v>6.8787238366185728E-3</c:v>
                </c:pt>
                <c:pt idx="4">
                  <c:v>7.4787238366185727E-3</c:v>
                </c:pt>
                <c:pt idx="5">
                  <c:v>8.0999999999999996E-3</c:v>
                </c:pt>
              </c:numCache>
            </c:numRef>
          </c:yVal>
          <c:smooth val="0"/>
          <c:extLst>
            <c:ext xmlns:c16="http://schemas.microsoft.com/office/drawing/2014/chart" uri="{C3380CC4-5D6E-409C-BE32-E72D297353CC}">
              <c16:uniqueId val="{00000000-D32E-4B15-A560-41C27EC59517}"/>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a:t>Dk_anisotropic vs. Temperature</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03790684700997"/>
          <c:y val="0.19910914687196135"/>
          <c:w val="0.67851743699715594"/>
          <c:h val="0.56182637685609627"/>
        </c:manualLayout>
      </c:layout>
      <c:scatterChart>
        <c:scatterStyle val="smoothMarker"/>
        <c:varyColors val="0"/>
        <c:ser>
          <c:idx val="0"/>
          <c:order val="0"/>
          <c:tx>
            <c:strRef>
              <c:f>'Material Modeler'!$AL$3</c:f>
              <c:strCache>
                <c:ptCount val="1"/>
                <c:pt idx="0">
                  <c:v>-40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Modeler'!$AM$3:$AR$3</c:f>
              <c:numCache>
                <c:formatCode>0.00</c:formatCode>
                <c:ptCount val="6"/>
                <c:pt idx="0">
                  <c:v>3.8408450002633345</c:v>
                </c:pt>
                <c:pt idx="1">
                  <c:v>3.8298989770405441</c:v>
                </c:pt>
                <c:pt idx="2">
                  <c:v>3.7970401887170397</c:v>
                </c:pt>
                <c:pt idx="3">
                  <c:v>3.7786381613284696</c:v>
                </c:pt>
                <c:pt idx="4">
                  <c:v>3.7459413354714504</c:v>
                </c:pt>
                <c:pt idx="5">
                  <c:v>3.7132146106270532</c:v>
                </c:pt>
              </c:numCache>
            </c:numRef>
          </c:yVal>
          <c:smooth val="1"/>
          <c:extLst>
            <c:ext xmlns:c16="http://schemas.microsoft.com/office/drawing/2014/chart" uri="{C3380CC4-5D6E-409C-BE32-E72D297353CC}">
              <c16:uniqueId val="{00000000-2AC6-4BC2-91E3-21D714551588}"/>
            </c:ext>
          </c:extLst>
        </c:ser>
        <c:ser>
          <c:idx val="1"/>
          <c:order val="1"/>
          <c:tx>
            <c:strRef>
              <c:f>'Material Modeler'!$AL$8</c:f>
              <c:strCache>
                <c:ptCount val="1"/>
                <c:pt idx="0">
                  <c:v>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Modeler'!$AM$8:$AR$8</c:f>
              <c:numCache>
                <c:formatCode>0.00</c:formatCode>
                <c:ptCount val="6"/>
                <c:pt idx="0">
                  <c:v>3.7893927810727845</c:v>
                </c:pt>
                <c:pt idx="1">
                  <c:v>3.7785933915168268</c:v>
                </c:pt>
                <c:pt idx="2">
                  <c:v>3.7461747817423245</c:v>
                </c:pt>
                <c:pt idx="3">
                  <c:v>3.7280192691562735</c:v>
                </c:pt>
                <c:pt idx="4">
                  <c:v>3.6957604521881096</c:v>
                </c:pt>
                <c:pt idx="5">
                  <c:v>3.6634721367614231</c:v>
                </c:pt>
              </c:numCache>
            </c:numRef>
          </c:yVal>
          <c:smooth val="1"/>
          <c:extLst>
            <c:ext xmlns:c16="http://schemas.microsoft.com/office/drawing/2014/chart" uri="{C3380CC4-5D6E-409C-BE32-E72D297353CC}">
              <c16:uniqueId val="{00000001-2AC6-4BC2-91E3-21D714551588}"/>
            </c:ext>
          </c:extLst>
        </c:ser>
        <c:ser>
          <c:idx val="2"/>
          <c:order val="2"/>
          <c:tx>
            <c:strRef>
              <c:f>'Material Modeler'!$AL$13</c:f>
              <c:strCache>
                <c:ptCount val="1"/>
                <c:pt idx="0">
                  <c:v>25</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Modeler'!$AM$13:$AR$13</c:f>
              <c:numCache>
                <c:formatCode>0.00</c:formatCode>
                <c:ptCount val="6"/>
                <c:pt idx="0">
                  <c:v>3.7572351440786917</c:v>
                </c:pt>
                <c:pt idx="1">
                  <c:v>3.7465274005645042</c:v>
                </c:pt>
                <c:pt idx="2">
                  <c:v>3.714383902383128</c:v>
                </c:pt>
                <c:pt idx="3">
                  <c:v>3.6963824615486516</c:v>
                </c:pt>
                <c:pt idx="4">
                  <c:v>3.6643974001360222</c:v>
                </c:pt>
                <c:pt idx="5">
                  <c:v>3.6323830905954049</c:v>
                </c:pt>
              </c:numCache>
            </c:numRef>
          </c:yVal>
          <c:smooth val="1"/>
          <c:extLst>
            <c:ext xmlns:c16="http://schemas.microsoft.com/office/drawing/2014/chart" uri="{C3380CC4-5D6E-409C-BE32-E72D297353CC}">
              <c16:uniqueId val="{00000002-2AC6-4BC2-91E3-21D714551588}"/>
            </c:ext>
          </c:extLst>
        </c:ser>
        <c:ser>
          <c:idx val="3"/>
          <c:order val="3"/>
          <c:tx>
            <c:strRef>
              <c:f>'Material Modeler'!$AL$18</c:f>
              <c:strCache>
                <c:ptCount val="1"/>
                <c:pt idx="0">
                  <c:v>90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Modeler'!$AM$18:$AR$18</c:f>
              <c:numCache>
                <c:formatCode>0.00</c:formatCode>
                <c:ptCount val="6"/>
                <c:pt idx="0">
                  <c:v>3.6736252878940494</c:v>
                </c:pt>
                <c:pt idx="1">
                  <c:v>3.6631558240884647</c:v>
                </c:pt>
                <c:pt idx="2">
                  <c:v>3.6317276160492167</c:v>
                </c:pt>
                <c:pt idx="3">
                  <c:v>3.614126761768834</c:v>
                </c:pt>
                <c:pt idx="4">
                  <c:v>3.5828534648005945</c:v>
                </c:pt>
                <c:pt idx="5">
                  <c:v>3.551551570563757</c:v>
                </c:pt>
              </c:numCache>
            </c:numRef>
          </c:yVal>
          <c:smooth val="1"/>
          <c:extLst>
            <c:ext xmlns:c16="http://schemas.microsoft.com/office/drawing/2014/chart" uri="{C3380CC4-5D6E-409C-BE32-E72D297353CC}">
              <c16:uniqueId val="{00000003-2AC6-4BC2-91E3-21D714551588}"/>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Dk_avg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t"/>
      <c:layout>
        <c:manualLayout>
          <c:xMode val="edge"/>
          <c:yMode val="edge"/>
          <c:x val="0.87110027658460387"/>
          <c:y val="0.21686140485168856"/>
          <c:w val="0.10810829601722516"/>
          <c:h val="0.49975038479750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331471</xdr:colOff>
      <xdr:row>2</xdr:row>
      <xdr:rowOff>161059</xdr:rowOff>
    </xdr:to>
    <xdr:grpSp>
      <xdr:nvGrpSpPr>
        <xdr:cNvPr id="2" name="Group 1">
          <a:extLst>
            <a:ext uri="{FF2B5EF4-FFF2-40B4-BE49-F238E27FC236}">
              <a16:creationId xmlns:a16="http://schemas.microsoft.com/office/drawing/2014/main" id="{68901F04-F9CB-42C9-A4FE-BBABA3E7D404}"/>
            </a:ext>
          </a:extLst>
        </xdr:cNvPr>
        <xdr:cNvGrpSpPr/>
      </xdr:nvGrpSpPr>
      <xdr:grpSpPr>
        <a:xfrm>
          <a:off x="1" y="0"/>
          <a:ext cx="2213610" cy="526819"/>
          <a:chOff x="9467849" y="3581400"/>
          <a:chExt cx="2447926" cy="581026"/>
        </a:xfrm>
      </xdr:grpSpPr>
      <xdr:pic>
        <xdr:nvPicPr>
          <xdr:cNvPr id="3" name="Picture 2">
            <a:extLst>
              <a:ext uri="{FF2B5EF4-FFF2-40B4-BE49-F238E27FC236}">
                <a16:creationId xmlns:a16="http://schemas.microsoft.com/office/drawing/2014/main" id="{595A78A4-DD74-F34A-F69E-617327442C5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26FD78D2-63AA-BBA3-11E8-2CE8D685027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192854</xdr:colOff>
      <xdr:row>10</xdr:row>
      <xdr:rowOff>127001</xdr:rowOff>
    </xdr:from>
    <xdr:to>
      <xdr:col>18</xdr:col>
      <xdr:colOff>437446</xdr:colOff>
      <xdr:row>13</xdr:row>
      <xdr:rowOff>138616</xdr:rowOff>
    </xdr:to>
    <xdr:pic>
      <xdr:nvPicPr>
        <xdr:cNvPr id="18" name="Picture 17">
          <a:extLst>
            <a:ext uri="{FF2B5EF4-FFF2-40B4-BE49-F238E27FC236}">
              <a16:creationId xmlns:a16="http://schemas.microsoft.com/office/drawing/2014/main" id="{0D0FCC2C-8F16-59E6-909F-C7BA09A6F3B8}"/>
            </a:ext>
          </a:extLst>
        </xdr:cNvPr>
        <xdr:cNvPicPr>
          <a:picLocks noChangeAspect="1"/>
        </xdr:cNvPicPr>
      </xdr:nvPicPr>
      <xdr:blipFill>
        <a:blip xmlns:r="http://schemas.openxmlformats.org/officeDocument/2006/relationships" r:embed="rId1"/>
        <a:stretch>
          <a:fillRect/>
        </a:stretch>
      </xdr:blipFill>
      <xdr:spPr>
        <a:xfrm>
          <a:off x="192854" y="2088445"/>
          <a:ext cx="12163777" cy="637208"/>
        </a:xfrm>
        <a:prstGeom prst="rect">
          <a:avLst/>
        </a:prstGeom>
      </xdr:spPr>
    </xdr:pic>
    <xdr:clientData/>
  </xdr:twoCellAnchor>
  <xdr:twoCellAnchor>
    <xdr:from>
      <xdr:col>0</xdr:col>
      <xdr:colOff>1</xdr:colOff>
      <xdr:row>0</xdr:row>
      <xdr:rowOff>1</xdr:rowOff>
    </xdr:from>
    <xdr:to>
      <xdr:col>2</xdr:col>
      <xdr:colOff>636270</xdr:colOff>
      <xdr:row>2</xdr:row>
      <xdr:rowOff>153867</xdr:rowOff>
    </xdr:to>
    <xdr:grpSp>
      <xdr:nvGrpSpPr>
        <xdr:cNvPr id="2" name="Group 1">
          <a:extLst>
            <a:ext uri="{FF2B5EF4-FFF2-40B4-BE49-F238E27FC236}">
              <a16:creationId xmlns:a16="http://schemas.microsoft.com/office/drawing/2014/main" id="{69921991-9291-4625-BCD0-A052A9D79AB7}"/>
            </a:ext>
          </a:extLst>
        </xdr:cNvPr>
        <xdr:cNvGrpSpPr/>
      </xdr:nvGrpSpPr>
      <xdr:grpSpPr>
        <a:xfrm>
          <a:off x="1" y="1"/>
          <a:ext cx="2028565" cy="520755"/>
          <a:chOff x="9467849" y="3581400"/>
          <a:chExt cx="2447926" cy="581026"/>
        </a:xfrm>
      </xdr:grpSpPr>
      <xdr:pic>
        <xdr:nvPicPr>
          <xdr:cNvPr id="3" name="Picture 2">
            <a:extLst>
              <a:ext uri="{FF2B5EF4-FFF2-40B4-BE49-F238E27FC236}">
                <a16:creationId xmlns:a16="http://schemas.microsoft.com/office/drawing/2014/main" id="{7372D60F-AAB7-837C-CEDA-07A7F02057A3}"/>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D3FA9557-F133-02FC-049F-8C5A9E95FD66}"/>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77080</xdr:colOff>
      <xdr:row>10</xdr:row>
      <xdr:rowOff>45336</xdr:rowOff>
    </xdr:from>
    <xdr:to>
      <xdr:col>9</xdr:col>
      <xdr:colOff>601688</xdr:colOff>
      <xdr:row>14</xdr:row>
      <xdr:rowOff>131885</xdr:rowOff>
    </xdr:to>
    <xdr:grpSp>
      <xdr:nvGrpSpPr>
        <xdr:cNvPr id="9" name="Group 8">
          <a:extLst>
            <a:ext uri="{FF2B5EF4-FFF2-40B4-BE49-F238E27FC236}">
              <a16:creationId xmlns:a16="http://schemas.microsoft.com/office/drawing/2014/main" id="{33CD00F1-BFA0-5629-9150-D67CD60E9206}"/>
            </a:ext>
          </a:extLst>
        </xdr:cNvPr>
        <xdr:cNvGrpSpPr/>
      </xdr:nvGrpSpPr>
      <xdr:grpSpPr>
        <a:xfrm>
          <a:off x="77080" y="2006780"/>
          <a:ext cx="6601793" cy="895586"/>
          <a:chOff x="58616" y="1934306"/>
          <a:chExt cx="6645520" cy="794827"/>
        </a:xfrm>
      </xdr:grpSpPr>
      <xdr:sp macro="" textlink="">
        <xdr:nvSpPr>
          <xdr:cNvPr id="6" name="Rectangle: Rounded Corners 5">
            <a:extLst>
              <a:ext uri="{FF2B5EF4-FFF2-40B4-BE49-F238E27FC236}">
                <a16:creationId xmlns:a16="http://schemas.microsoft.com/office/drawing/2014/main" id="{BAD30B5D-F14D-A768-8805-18124994BBE8}"/>
              </a:ext>
            </a:extLst>
          </xdr:cNvPr>
          <xdr:cNvSpPr/>
        </xdr:nvSpPr>
        <xdr:spPr>
          <a:xfrm>
            <a:off x="58616" y="1952479"/>
            <a:ext cx="1905000" cy="776654"/>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 name="Rectangle: Rounded Corners 6">
            <a:extLst>
              <a:ext uri="{FF2B5EF4-FFF2-40B4-BE49-F238E27FC236}">
                <a16:creationId xmlns:a16="http://schemas.microsoft.com/office/drawing/2014/main" id="{161F61F4-0BE8-45CB-9D3A-38F86A9FF958}"/>
              </a:ext>
            </a:extLst>
          </xdr:cNvPr>
          <xdr:cNvSpPr/>
        </xdr:nvSpPr>
        <xdr:spPr>
          <a:xfrm>
            <a:off x="2210827" y="1952478"/>
            <a:ext cx="2137849" cy="651088"/>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8" name="Rectangle: Rounded Corners 7">
            <a:extLst>
              <a:ext uri="{FF2B5EF4-FFF2-40B4-BE49-F238E27FC236}">
                <a16:creationId xmlns:a16="http://schemas.microsoft.com/office/drawing/2014/main" id="{F80D4BA4-AC74-46AE-A1CD-219D6DFC8E2D}"/>
              </a:ext>
            </a:extLst>
          </xdr:cNvPr>
          <xdr:cNvSpPr/>
        </xdr:nvSpPr>
        <xdr:spPr>
          <a:xfrm>
            <a:off x="4488169" y="1934306"/>
            <a:ext cx="2215967" cy="654339"/>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editAs="oneCell">
    <xdr:from>
      <xdr:col>7</xdr:col>
      <xdr:colOff>18462</xdr:colOff>
      <xdr:row>19</xdr:row>
      <xdr:rowOff>115472</xdr:rowOff>
    </xdr:from>
    <xdr:to>
      <xdr:col>15</xdr:col>
      <xdr:colOff>74448</xdr:colOff>
      <xdr:row>33</xdr:row>
      <xdr:rowOff>102870</xdr:rowOff>
    </xdr:to>
    <xdr:pic>
      <xdr:nvPicPr>
        <xdr:cNvPr id="15" name="Picture 14">
          <a:extLst>
            <a:ext uri="{FF2B5EF4-FFF2-40B4-BE49-F238E27FC236}">
              <a16:creationId xmlns:a16="http://schemas.microsoft.com/office/drawing/2014/main" id="{7BF3EF30-567F-01D0-FD7B-793CC5B99699}"/>
            </a:ext>
          </a:extLst>
        </xdr:cNvPr>
        <xdr:cNvPicPr>
          <a:picLocks noChangeAspect="1"/>
        </xdr:cNvPicPr>
      </xdr:nvPicPr>
      <xdr:blipFill rotWithShape="1">
        <a:blip xmlns:r="http://schemas.openxmlformats.org/officeDocument/2006/relationships" r:embed="rId3"/>
        <a:srcRect t="937"/>
        <a:stretch/>
      </xdr:blipFill>
      <xdr:spPr>
        <a:xfrm>
          <a:off x="4885737" y="3773072"/>
          <a:ext cx="5618586" cy="2675353"/>
        </a:xfrm>
        <a:prstGeom prst="rect">
          <a:avLst/>
        </a:prstGeom>
      </xdr:spPr>
    </xdr:pic>
    <xdr:clientData/>
  </xdr:twoCellAnchor>
  <xdr:twoCellAnchor editAs="oneCell">
    <xdr:from>
      <xdr:col>16</xdr:col>
      <xdr:colOff>55685</xdr:colOff>
      <xdr:row>18</xdr:row>
      <xdr:rowOff>9524</xdr:rowOff>
    </xdr:from>
    <xdr:to>
      <xdr:col>20</xdr:col>
      <xdr:colOff>398145</xdr:colOff>
      <xdr:row>33</xdr:row>
      <xdr:rowOff>123530</xdr:rowOff>
    </xdr:to>
    <xdr:pic>
      <xdr:nvPicPr>
        <xdr:cNvPr id="16" name="Picture 15">
          <a:extLst>
            <a:ext uri="{FF2B5EF4-FFF2-40B4-BE49-F238E27FC236}">
              <a16:creationId xmlns:a16="http://schemas.microsoft.com/office/drawing/2014/main" id="{6FEC90B2-AAAB-1EBD-114E-D67EE19A5806}"/>
            </a:ext>
          </a:extLst>
        </xdr:cNvPr>
        <xdr:cNvPicPr>
          <a:picLocks noChangeAspect="1"/>
        </xdr:cNvPicPr>
      </xdr:nvPicPr>
      <xdr:blipFill>
        <a:blip xmlns:r="http://schemas.openxmlformats.org/officeDocument/2006/relationships" r:embed="rId4"/>
        <a:stretch>
          <a:fillRect/>
        </a:stretch>
      </xdr:blipFill>
      <xdr:spPr>
        <a:xfrm>
          <a:off x="10571285" y="3486149"/>
          <a:ext cx="3123760" cy="2981031"/>
        </a:xfrm>
        <a:prstGeom prst="rect">
          <a:avLst/>
        </a:prstGeom>
      </xdr:spPr>
    </xdr:pic>
    <xdr:clientData/>
  </xdr:twoCellAnchor>
  <xdr:twoCellAnchor editAs="oneCell">
    <xdr:from>
      <xdr:col>21</xdr:col>
      <xdr:colOff>218869</xdr:colOff>
      <xdr:row>17</xdr:row>
      <xdr:rowOff>179070</xdr:rowOff>
    </xdr:from>
    <xdr:to>
      <xdr:col>31</xdr:col>
      <xdr:colOff>601962</xdr:colOff>
      <xdr:row>33</xdr:row>
      <xdr:rowOff>93345</xdr:rowOff>
    </xdr:to>
    <xdr:pic>
      <xdr:nvPicPr>
        <xdr:cNvPr id="17" name="Picture 16">
          <a:extLst>
            <a:ext uri="{FF2B5EF4-FFF2-40B4-BE49-F238E27FC236}">
              <a16:creationId xmlns:a16="http://schemas.microsoft.com/office/drawing/2014/main" id="{550FBF69-0D64-EF34-40AA-12F0F49BA371}"/>
            </a:ext>
          </a:extLst>
        </xdr:cNvPr>
        <xdr:cNvPicPr>
          <a:picLocks noChangeAspect="1"/>
        </xdr:cNvPicPr>
      </xdr:nvPicPr>
      <xdr:blipFill>
        <a:blip xmlns:r="http://schemas.openxmlformats.org/officeDocument/2006/relationships" r:embed="rId5"/>
        <a:stretch>
          <a:fillRect/>
        </a:stretch>
      </xdr:blipFill>
      <xdr:spPr>
        <a:xfrm>
          <a:off x="14211094" y="3474720"/>
          <a:ext cx="6905813" cy="2962275"/>
        </a:xfrm>
        <a:prstGeom prst="rect">
          <a:avLst/>
        </a:prstGeom>
      </xdr:spPr>
    </xdr:pic>
    <xdr:clientData/>
  </xdr:twoCellAnchor>
  <xdr:twoCellAnchor>
    <xdr:from>
      <xdr:col>12</xdr:col>
      <xdr:colOff>152338</xdr:colOff>
      <xdr:row>10</xdr:row>
      <xdr:rowOff>35929</xdr:rowOff>
    </xdr:from>
    <xdr:to>
      <xdr:col>18</xdr:col>
      <xdr:colOff>460962</xdr:colOff>
      <xdr:row>13</xdr:row>
      <xdr:rowOff>147625</xdr:rowOff>
    </xdr:to>
    <xdr:sp macro="" textlink="">
      <xdr:nvSpPr>
        <xdr:cNvPr id="13" name="Rectangle: Rounded Corners 12">
          <a:extLst>
            <a:ext uri="{FF2B5EF4-FFF2-40B4-BE49-F238E27FC236}">
              <a16:creationId xmlns:a16="http://schemas.microsoft.com/office/drawing/2014/main" id="{E67E9310-0047-4F80-BF43-5BBF38E4B84A}"/>
            </a:ext>
          </a:extLst>
        </xdr:cNvPr>
        <xdr:cNvSpPr/>
      </xdr:nvSpPr>
      <xdr:spPr>
        <a:xfrm>
          <a:off x="8317968" y="1997373"/>
          <a:ext cx="4062179" cy="737289"/>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0</xdr:col>
      <xdr:colOff>188149</xdr:colOff>
      <xdr:row>20</xdr:row>
      <xdr:rowOff>164630</xdr:rowOff>
    </xdr:from>
    <xdr:to>
      <xdr:col>5</xdr:col>
      <xdr:colOff>498687</xdr:colOff>
      <xdr:row>29</xdr:row>
      <xdr:rowOff>114915</xdr:rowOff>
    </xdr:to>
    <xdr:pic>
      <xdr:nvPicPr>
        <xdr:cNvPr id="14" name="Picture 13">
          <a:extLst>
            <a:ext uri="{FF2B5EF4-FFF2-40B4-BE49-F238E27FC236}">
              <a16:creationId xmlns:a16="http://schemas.microsoft.com/office/drawing/2014/main" id="{8C326F91-59B6-A0AB-CAF5-FE24148FF968}"/>
            </a:ext>
          </a:extLst>
        </xdr:cNvPr>
        <xdr:cNvPicPr>
          <a:picLocks noChangeAspect="1"/>
        </xdr:cNvPicPr>
      </xdr:nvPicPr>
      <xdr:blipFill>
        <a:blip xmlns:r="http://schemas.openxmlformats.org/officeDocument/2006/relationships" r:embed="rId6"/>
        <a:stretch>
          <a:fillRect/>
        </a:stretch>
      </xdr:blipFill>
      <xdr:spPr>
        <a:xfrm>
          <a:off x="188149" y="4111037"/>
          <a:ext cx="3791279" cy="16765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180974</xdr:rowOff>
    </xdr:from>
    <xdr:to>
      <xdr:col>8</xdr:col>
      <xdr:colOff>9524</xdr:colOff>
      <xdr:row>41</xdr:row>
      <xdr:rowOff>171449</xdr:rowOff>
    </xdr:to>
    <xdr:graphicFrame macro="">
      <xdr:nvGraphicFramePr>
        <xdr:cNvPr id="2" name="Chart 1">
          <a:extLst>
            <a:ext uri="{FF2B5EF4-FFF2-40B4-BE49-F238E27FC236}">
              <a16:creationId xmlns:a16="http://schemas.microsoft.com/office/drawing/2014/main" id="{5AB1EF02-B0BD-44DF-BF88-E7C791415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28</xdr:row>
      <xdr:rowOff>0</xdr:rowOff>
    </xdr:from>
    <xdr:to>
      <xdr:col>16</xdr:col>
      <xdr:colOff>561975</xdr:colOff>
      <xdr:row>41</xdr:row>
      <xdr:rowOff>169545</xdr:rowOff>
    </xdr:to>
    <xdr:graphicFrame macro="">
      <xdr:nvGraphicFramePr>
        <xdr:cNvPr id="3" name="Chart 2">
          <a:extLst>
            <a:ext uri="{FF2B5EF4-FFF2-40B4-BE49-F238E27FC236}">
              <a16:creationId xmlns:a16="http://schemas.microsoft.com/office/drawing/2014/main" id="{E8EEA715-F804-4583-B6A1-233BF19C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3</xdr:row>
      <xdr:rowOff>160020</xdr:rowOff>
    </xdr:from>
    <xdr:to>
      <xdr:col>17</xdr:col>
      <xdr:colOff>1</xdr:colOff>
      <xdr:row>18</xdr:row>
      <xdr:rowOff>36195</xdr:rowOff>
    </xdr:to>
    <xdr:graphicFrame macro="">
      <xdr:nvGraphicFramePr>
        <xdr:cNvPr id="4" name="Chart 3">
          <a:extLst>
            <a:ext uri="{FF2B5EF4-FFF2-40B4-BE49-F238E27FC236}">
              <a16:creationId xmlns:a16="http://schemas.microsoft.com/office/drawing/2014/main" id="{7E788D66-528B-4AD5-A6E5-FA03A664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1712</xdr:colOff>
      <xdr:row>10</xdr:row>
      <xdr:rowOff>122811</xdr:rowOff>
    </xdr:from>
    <xdr:to>
      <xdr:col>34</xdr:col>
      <xdr:colOff>485969</xdr:colOff>
      <xdr:row>23</xdr:row>
      <xdr:rowOff>116087</xdr:rowOff>
    </xdr:to>
    <xdr:graphicFrame macro="">
      <xdr:nvGraphicFramePr>
        <xdr:cNvPr id="5" name="Chart 4">
          <a:extLst>
            <a:ext uri="{FF2B5EF4-FFF2-40B4-BE49-F238E27FC236}">
              <a16:creationId xmlns:a16="http://schemas.microsoft.com/office/drawing/2014/main" id="{BC18ACB7-DA54-48CD-9DC1-225DDB2A6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45377</xdr:colOff>
      <xdr:row>30</xdr:row>
      <xdr:rowOff>51763</xdr:rowOff>
    </xdr:from>
    <xdr:to>
      <xdr:col>44</xdr:col>
      <xdr:colOff>59028</xdr:colOff>
      <xdr:row>46</xdr:row>
      <xdr:rowOff>134154</xdr:rowOff>
    </xdr:to>
    <xdr:graphicFrame macro="">
      <xdr:nvGraphicFramePr>
        <xdr:cNvPr id="6" name="Chart 5">
          <a:extLst>
            <a:ext uri="{FF2B5EF4-FFF2-40B4-BE49-F238E27FC236}">
              <a16:creationId xmlns:a16="http://schemas.microsoft.com/office/drawing/2014/main" id="{6A2EFCCF-5F07-400F-876B-2BF2E4246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156281</xdr:colOff>
      <xdr:row>30</xdr:row>
      <xdr:rowOff>50440</xdr:rowOff>
    </xdr:from>
    <xdr:to>
      <xdr:col>35</xdr:col>
      <xdr:colOff>0</xdr:colOff>
      <xdr:row>46</xdr:row>
      <xdr:rowOff>101957</xdr:rowOff>
    </xdr:to>
    <xdr:graphicFrame macro="">
      <xdr:nvGraphicFramePr>
        <xdr:cNvPr id="7" name="Chart 6">
          <a:extLst>
            <a:ext uri="{FF2B5EF4-FFF2-40B4-BE49-F238E27FC236}">
              <a16:creationId xmlns:a16="http://schemas.microsoft.com/office/drawing/2014/main" id="{7250DA2D-06CB-45CA-BF83-A0F6DA3A1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171450</xdr:colOff>
      <xdr:row>27</xdr:row>
      <xdr:rowOff>171450</xdr:rowOff>
    </xdr:from>
    <xdr:to>
      <xdr:col>25</xdr:col>
      <xdr:colOff>504825</xdr:colOff>
      <xdr:row>41</xdr:row>
      <xdr:rowOff>161925</xdr:rowOff>
    </xdr:to>
    <xdr:graphicFrame macro="">
      <xdr:nvGraphicFramePr>
        <xdr:cNvPr id="8" name="Chart 7">
          <a:extLst>
            <a:ext uri="{FF2B5EF4-FFF2-40B4-BE49-F238E27FC236}">
              <a16:creationId xmlns:a16="http://schemas.microsoft.com/office/drawing/2014/main" id="{80951E7F-7E2E-4A78-A5B9-2B530B0D8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171450</xdr:colOff>
      <xdr:row>3</xdr:row>
      <xdr:rowOff>161925</xdr:rowOff>
    </xdr:from>
    <xdr:to>
      <xdr:col>25</xdr:col>
      <xdr:colOff>483870</xdr:colOff>
      <xdr:row>18</xdr:row>
      <xdr:rowOff>36195</xdr:rowOff>
    </xdr:to>
    <xdr:graphicFrame macro="">
      <xdr:nvGraphicFramePr>
        <xdr:cNvPr id="9" name="Chart 8">
          <a:extLst>
            <a:ext uri="{FF2B5EF4-FFF2-40B4-BE49-F238E27FC236}">
              <a16:creationId xmlns:a16="http://schemas.microsoft.com/office/drawing/2014/main" id="{421568B2-5811-49A7-B905-61999B87E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46</xdr:row>
      <xdr:rowOff>47631</xdr:rowOff>
    </xdr:from>
    <xdr:to>
      <xdr:col>7</xdr:col>
      <xdr:colOff>567190</xdr:colOff>
      <xdr:row>60</xdr:row>
      <xdr:rowOff>63635</xdr:rowOff>
    </xdr:to>
    <xdr:graphicFrame macro="">
      <xdr:nvGraphicFramePr>
        <xdr:cNvPr id="13" name="Chart 12">
          <a:extLst>
            <a:ext uri="{FF2B5EF4-FFF2-40B4-BE49-F238E27FC236}">
              <a16:creationId xmlns:a16="http://schemas.microsoft.com/office/drawing/2014/main" id="{8EF1402C-704A-4AFA-B33F-30CAFD24D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116457</xdr:colOff>
      <xdr:row>46</xdr:row>
      <xdr:rowOff>42929</xdr:rowOff>
    </xdr:from>
    <xdr:to>
      <xdr:col>17</xdr:col>
      <xdr:colOff>1549</xdr:colOff>
      <xdr:row>60</xdr:row>
      <xdr:rowOff>53662</xdr:rowOff>
    </xdr:to>
    <xdr:graphicFrame macro="">
      <xdr:nvGraphicFramePr>
        <xdr:cNvPr id="14" name="Chart 13">
          <a:extLst>
            <a:ext uri="{FF2B5EF4-FFF2-40B4-BE49-F238E27FC236}">
              <a16:creationId xmlns:a16="http://schemas.microsoft.com/office/drawing/2014/main" id="{A169F24A-9325-416A-83AE-FD2D7C8E2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hmed Ibrahim" id="{685DAF9C-7E69-437C-B66A-60F972D4A0E6}" userId="Ahmed Ibrahim"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84210-69F5-4990-A2A5-193DCD03ECF3}" name="Table1" displayName="Table1" ref="A2:BG6" totalsRowShown="0" headerRowDxfId="63" dataDxfId="62">
  <autoFilter ref="A2:BG6" xr:uid="{0F284210-69F5-4990-A2A5-193DCD03ECF3}"/>
  <tableColumns count="59">
    <tableColumn id="2" xr3:uid="{22354CD9-A599-4389-A481-60CBCEA51200}" name="Material" dataDxfId="61"/>
    <tableColumn id="3" xr3:uid="{4EE2AFE1-D26A-4182-ACD2-0E8FCC04D4E4}" name="Tc_DK (1/°C)" dataDxfId="60"/>
    <tableColumn id="4" xr3:uid="{A8A14456-3934-43CF-AE73-757A8E52309C}" name="Tc_DF (1/°C)" dataDxfId="59"/>
    <tableColumn id="5" xr3:uid="{9EBA9770-8D34-4C72-94B1-3F8FA0C2B78A}" name="α_M (1/°C)" dataDxfId="58"/>
    <tableColumn id="6" xr3:uid="{75CF7D50-F8FE-4786-956F-1552247B5B96}" name="σo (S/m)" dataDxfId="57"/>
    <tableColumn id="8" xr3:uid="{F5E90E42-97A9-4386-899A-D8C1823BC830}" name="Δ (µm)" dataDxfId="56"/>
    <tableColumn id="7" xr3:uid="{A6224F84-6793-4357-A26B-BB02B60025FA}" name="To (°C)" dataDxfId="55"/>
    <tableColumn id="9" xr3:uid="{110EB71F-B441-40DC-9FD2-EF9E87F2DA79}" name="t_D (µm)" dataDxfId="54"/>
    <tableColumn id="10" xr3:uid="{0A5CB8CD-EACF-4ADA-96C6-46D06F0849C8}" name="t_M (µm)" dataDxfId="53"/>
    <tableColumn id="11" xr3:uid="{E1E79A1B-771E-4E24-8390-03CD1A06DB95}" name="W (µm)" dataDxfId="52"/>
    <tableColumn id="12" xr3:uid="{F8A59D81-6FDA-4A76-AA94-C431984D0E71}" name="S (µm)" dataDxfId="51"/>
    <tableColumn id="13" xr3:uid="{235CBBB0-0030-4A7C-B379-16DF1761BA4D}" name="f1 (GHz)" dataDxfId="50"/>
    <tableColumn id="14" xr3:uid="{0AB313A9-4B77-441C-8047-5677C7E047EF}" name="f2 (GHz)" dataDxfId="49"/>
    <tableColumn id="15" xr3:uid="{D71408FB-D46D-4C19-8BE9-0B1E06B82617}" name="f3 (GHz)" dataDxfId="48"/>
    <tableColumn id="16" xr3:uid="{C8F5BCE5-3303-4932-9823-8B930528244E}" name="f4 (GHz)" dataDxfId="47"/>
    <tableColumn id="17" xr3:uid="{618D3C24-9FB5-4013-A3F4-7AB0E8542984}" name="f5 (GHz)" dataDxfId="46"/>
    <tableColumn id="18" xr3:uid="{54F33D0C-C7E5-4CB7-800B-9457FC6D9B76}" name="f6 (GHz)" dataDxfId="45"/>
    <tableColumn id="19" xr3:uid="{F8928CDC-3ED2-4A44-81C7-4ABA1B3D05A2}" name="t1 (µm)" dataDxfId="44"/>
    <tableColumn id="20" xr3:uid="{2C30865F-A33F-4614-A966-03E9598CD118}" name="t2 (µm)" dataDxfId="43"/>
    <tableColumn id="21" xr3:uid="{7B0C3E7D-08BF-4B81-9525-C9618116F763}" name="t3 (µm)" dataDxfId="42"/>
    <tableColumn id="22" xr3:uid="{FA5AAD20-F946-49F3-8ADD-E48CC613CA00}" name="RC1 (%)" dataDxfId="41"/>
    <tableColumn id="23" xr3:uid="{AB23DE0A-6B38-4750-82C8-9CD91F104D1D}" name="RC2 (%)" dataDxfId="40"/>
    <tableColumn id="24" xr3:uid="{0B9EC151-014E-4052-B14D-20C3D915CBCE}" name="RC3 (%)" dataDxfId="39"/>
    <tableColumn id="25" xr3:uid="{F60C46C7-3220-42FD-9D85-EFCCEC8AFFAD}" name="DK11" dataDxfId="38"/>
    <tableColumn id="26" xr3:uid="{CE35D3D1-1D50-4D31-A5BE-215036B16DE0}" name="DK12" dataDxfId="37"/>
    <tableColumn id="27" xr3:uid="{0D01176C-B1F9-4DE9-AE89-4EC16699026C}" name="DK13" dataDxfId="36"/>
    <tableColumn id="28" xr3:uid="{2E808140-F9B6-4BEE-9F5C-FA6D02E38E1A}" name="DK14" dataDxfId="35"/>
    <tableColumn id="29" xr3:uid="{DC4D4247-4E1A-4A5A-B22D-83CF96F4F81B}" name="DK15" dataDxfId="34"/>
    <tableColumn id="30" xr3:uid="{9E566D91-0CAF-4A4E-AFBF-0FA74925B7AE}" name="DK16" dataDxfId="33"/>
    <tableColumn id="31" xr3:uid="{A7BA5060-69D8-486B-97CA-1AFFA52AE876}" name="DK21" dataDxfId="32"/>
    <tableColumn id="32" xr3:uid="{A49FF30E-1288-4006-9FF7-09DF4B056723}" name="DK22" dataDxfId="31"/>
    <tableColumn id="33" xr3:uid="{1CB9667B-C52E-4C3F-BCC1-4D3D631960F9}" name="DK23" dataDxfId="30"/>
    <tableColumn id="34" xr3:uid="{5F388564-E8E5-4081-BDAF-CAD9DF28106E}" name="DK24" dataDxfId="29"/>
    <tableColumn id="35" xr3:uid="{8712DC67-275B-4C66-9612-6959BBC5E568}" name="DK25" dataDxfId="28"/>
    <tableColumn id="36" xr3:uid="{A5869C4A-E072-4DE3-B7A0-6B8D8D20902F}" name="DK26" dataDxfId="27"/>
    <tableColumn id="37" xr3:uid="{58BEF11D-AAA6-4FA6-BA0C-C9EF695131F5}" name="DK31" dataDxfId="26"/>
    <tableColumn id="38" xr3:uid="{D37AF768-A55E-46D5-9988-300A5319FF70}" name="DK32" dataDxfId="25"/>
    <tableColumn id="39" xr3:uid="{168CA9EB-01C7-4CB1-877B-C3234D10C43B}" name="DK33" dataDxfId="24"/>
    <tableColumn id="40" xr3:uid="{B0FAF506-A593-4359-8325-3364CB964AD3}" name="DK34" dataDxfId="23"/>
    <tableColumn id="41" xr3:uid="{8FF8A027-0972-4379-9277-2FC88F6DC7E5}" name="DK35" dataDxfId="22"/>
    <tableColumn id="42" xr3:uid="{C5D56B35-4081-41EA-B5FD-7C9A8531588B}" name="DK36" dataDxfId="21"/>
    <tableColumn id="43" xr3:uid="{94669113-9DEA-4444-8E28-0432E8BB0D2C}" name="DF11" dataDxfId="20"/>
    <tableColumn id="44" xr3:uid="{928897D2-8FB5-4DB8-B3F1-10066655F991}" name="DF12" dataDxfId="19"/>
    <tableColumn id="45" xr3:uid="{C209FCF8-5359-41C7-8860-29479C213003}" name="DF13" dataDxfId="18"/>
    <tableColumn id="46" xr3:uid="{10C9B386-CA09-4EA9-852B-ABCCEE4FA1BE}" name="DF14" dataDxfId="17"/>
    <tableColumn id="47" xr3:uid="{2655C2AA-22AA-43AB-ADC2-2C675209F645}" name="DF15" dataDxfId="16"/>
    <tableColumn id="48" xr3:uid="{73E3D265-2559-4928-8379-496E28782838}" name="DF16" dataDxfId="15"/>
    <tableColumn id="49" xr3:uid="{989424CF-5C94-4EF9-B215-2944532900F0}" name="DF21" dataDxfId="14"/>
    <tableColumn id="50" xr3:uid="{A361CFEC-AC79-4874-8E43-515836683428}" name="DF22" dataDxfId="13"/>
    <tableColumn id="51" xr3:uid="{88D8603B-43C8-4196-88C6-72DDBDEFDED9}" name="DF23" dataDxfId="12"/>
    <tableColumn id="52" xr3:uid="{5453D9BE-BCB9-4882-B2D4-F5DDFBE9B410}" name="DF24" dataDxfId="11"/>
    <tableColumn id="53" xr3:uid="{B7A580A1-EBA9-4C8B-A5B6-8B544991CC97}" name="DF25" dataDxfId="10"/>
    <tableColumn id="54" xr3:uid="{31CD4ACE-51F6-4C8B-9AF9-E85177EBDDB4}" name="DF26" dataDxfId="9"/>
    <tableColumn id="55" xr3:uid="{3A96F978-8B36-4A52-8468-05CF4C8E47AC}" name="DF31" dataDxfId="8"/>
    <tableColumn id="56" xr3:uid="{4F7A0AD0-6241-4450-8D13-87A9A2B2005E}" name="DF32" dataDxfId="7"/>
    <tableColumn id="57" xr3:uid="{36B5FB3C-A774-4546-BE0C-4F7DA51A71C6}" name="DF33" dataDxfId="6"/>
    <tableColumn id="58" xr3:uid="{8C2E1341-E486-4C00-AEC2-36C5E450CE5C}" name="DF34" dataDxfId="5"/>
    <tableColumn id="59" xr3:uid="{C52FC261-27CE-4A36-97E3-A72A58A65E90}" name="DF35" dataDxfId="4"/>
    <tableColumn id="60" xr3:uid="{4B023531-BE31-49DD-99F8-70F4BA703D2E}" name="DF36"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12EBB-40C8-4DC9-BC1F-CF0DFA703275}" name="Table2" displayName="Table2" ref="BI2:BJ7" totalsRowShown="0" tableBorderDxfId="2">
  <autoFilter ref="BI2:BJ7" xr:uid="{11512EBB-40C8-4DC9-BC1F-CF0DFA703275}"/>
  <tableColumns count="2">
    <tableColumn id="1" xr3:uid="{4340093C-64CA-4075-AE45-01D3149344C5}" name="Copper Foil" dataDxfId="1"/>
    <tableColumn id="2" xr3:uid="{8D924397-5846-4DF8-A087-A9F1D690A7D0}" name="Δ (µm)"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4-12-05T15:13:02.78" personId="{685DAF9C-7E69-437C-B66A-60F972D4A0E6}" id="{E97AE688-3969-4F50-A487-14FACFE2A845}">
    <text>Dielectric thickness between two layers. 
The total stripline thickness will be 2x Dielectric thickness + Metal thickness</text>
  </threadedComment>
  <threadedComment ref="H1" dT="2024-12-05T15:13:59.91" personId="{685DAF9C-7E69-437C-B66A-60F972D4A0E6}" id="{CEBCA5BB-DA04-4CEF-8896-C9B55BB93219}">
    <text>Conductivity of Copper</text>
  </threadedComment>
  <threadedComment ref="M1" dT="2024-12-06T10:10:08.81" personId="{685DAF9C-7E69-437C-B66A-60F972D4A0E6}" id="{34B7EF02-D9A0-4C61-976B-2D605D567AA9}">
    <text>TC_DK = [ (DK|T2 - DK|T1)/DK|25C ] / (T2-T1)</text>
  </threadedComment>
  <threadedComment ref="C2" dT="2024-12-05T15:13:13.84" personId="{685DAF9C-7E69-437C-B66A-60F972D4A0E6}" id="{2DD58A31-3C5A-46E8-8683-54E646CEB351}">
    <text>Copper layer thickness</text>
  </threadedComment>
  <threadedComment ref="H2" dT="2024-12-05T15:14:39.76" personId="{685DAF9C-7E69-437C-B66A-60F972D4A0E6}" id="{C7B8FB46-955B-4EAA-AC94-EE48B10ADE49}">
    <text>Temperature</text>
  </threadedComment>
  <threadedComment ref="M2" dT="2024-12-06T10:10:38.31" personId="{685DAF9C-7E69-437C-B66A-60F972D4A0E6}" id="{279B2362-8AEC-4225-A348-43B8383E3CDC}">
    <text>TC_DF = [ (DF|T2 - DF|T1)/DF|25C ] / (T2-T1)</text>
  </threadedComment>
  <threadedComment ref="C3" dT="2024-12-05T15:13:31.26" personId="{685DAF9C-7E69-437C-B66A-60F972D4A0E6}" id="{00A80220-E9FD-4105-BA33-F474A3475211}">
    <text>Stripline width</text>
  </threadedComment>
  <threadedComment ref="H3" dT="2024-09-28T06:20:07.69" personId="{685DAF9C-7E69-437C-B66A-60F972D4A0E6}" id="{3DA56ABE-6FEF-4BF9-968C-02DB5C890AFE}">
    <text>Metal surface roughness
- Note: Multiply by 2 if both sides are treated
- Typical Manufacturer Data:
(STD)         5 &lt; Rz &lt; 7μm
(RTF)          3 &lt; Rz &lt; 5μm
(VLP)         2 &lt; Rz &lt; 3μm
(HVLP)      1 &lt; Rz &lt; 2μm
(HVLP2) 0.2 &lt; Rz &lt; 1μm 
- Roughness RMS = Rz *1.1/7.6</text>
  </threadedComment>
  <threadedComment ref="M3" dT="2024-12-05T15:14:26.44" personId="{685DAF9C-7E69-437C-B66A-60F972D4A0E6}" id="{1E493E4C-872F-4B42-8A9E-97358BD8C750}">
    <text>Temperature coefficient of metal conductivity</text>
  </threadedComment>
  <threadedComment ref="AB3" dT="2024-10-03T21:19:16.88" personId="{685DAF9C-7E69-437C-B66A-60F972D4A0E6}" id="{A24CF183-AD96-4234-9AE7-C2955C2EA0E7}" done="1">
    <text>δs = sqrt(2/(σωµ))</text>
  </threadedComment>
  <threadedComment ref="C4" dT="2024-12-05T15:13:42.82" personId="{685DAF9C-7E69-437C-B66A-60F972D4A0E6}" id="{52CE62EB-3E3C-4A84-8AEF-ACB354278495}">
    <text>Stripline spacing</text>
  </threadedComment>
  <threadedComment ref="AB4" dT="2024-10-03T21:19:31.59" personId="{685DAF9C-7E69-437C-B66A-60F972D4A0E6}" id="{F034D817-1EC2-470C-98D9-0B3489AE4C85}" done="1">
    <text>R' = Rstrip + Rgnd = 1/(σ δs W) + 0.15/(σ δs W)1`</text>
  </threadedComment>
  <threadedComment ref="AB5" dT="2024-10-03T21:20:00.73" personId="{685DAF9C-7E69-437C-B66A-60F972D4A0E6}" id="{33195EFF-F62B-4825-8D58-9832F1292A8C}" done="1">
    <text>Zdiff=2*Zo*(1-.347*(EXP(-2.9*(S/H)))), where Zo=60/SQRT(Er)*LN(1.9*(2*H+T)/(0.8*W+T))</text>
  </threadedComment>
  <threadedComment ref="AK5" dT="2024-10-03T21:19:16.88" personId="{685DAF9C-7E69-437C-B66A-60F972D4A0E6}" id="{48BE5FDE-F68A-49CD-80D0-197163CD3554}" done="1">
    <text>δs = sqrt(2/(σωµ))</text>
  </threadedComment>
  <threadedComment ref="AK6" dT="2024-10-03T21:19:31.59" personId="{685DAF9C-7E69-437C-B66A-60F972D4A0E6}" id="{8016D416-AA0D-479F-9E76-5229FEE740FF}" done="1">
    <text>R' = Rstrip + Rgnd = 1/(σ δs W) + 0.15/(σ δs W)</text>
  </threadedComment>
  <threadedComment ref="AB7" dT="2024-10-03T21:14:12.65" personId="{685DAF9C-7E69-437C-B66A-60F972D4A0E6}" id="{D4093EF6-FA9A-4633-A1B4-754703A5FE08}" done="1">
    <text>α_Dielectric = 91.02 x sqrt(ɛr) x FGHz x DF</text>
  </threadedComment>
  <threadedComment ref="AK7" dT="2024-10-03T21:20:00.73" personId="{685DAF9C-7E69-437C-B66A-60F972D4A0E6}" id="{412F86C3-7516-4782-8066-3AF4F5B8D440}" done="1">
    <text>Zdiff=2*Zo*(1-.347*(EXP(-2.9*(S/H)))), where Zo=60/SQRT(Er)*LN(1.9*(2*H+T)/(0.8*W+T))</text>
  </threadedComment>
  <threadedComment ref="AB8" dT="2024-10-03T21:15:07.76" personId="{685DAF9C-7E69-437C-B66A-60F972D4A0E6}" id="{F678E52A-0452-4D97-A36F-6E533FDD2D29}" done="1">
    <text>α_SmoothCopper = 8.686 x R' / 2 Zo , where R' is TL resistance per unit length</text>
  </threadedComment>
  <threadedComment ref="AB9" dT="2024-10-03T21:15:26.41" personId="{685DAF9C-7E69-437C-B66A-60F972D4A0E6}" id="{737C9ECB-3F8B-44FC-8859-7983153941A3}" done="1">
    <text>α_RoughCopper = α_SmoothCopper * ( 1 + (2/π)* tan-1{1.4*(Δ/δs)^2}]</text>
  </threadedComment>
  <threadedComment ref="AB10" dT="2024-10-03T21:15:37.11" personId="{685DAF9C-7E69-437C-B66A-60F972D4A0E6}" id="{0352E7A0-5B3E-4D7B-8146-F2FEA717A90F}" done="1">
    <text>α_Total = α_Dielectric + α_RoughCopper</text>
  </threadedComment>
  <threadedComment ref="AK10" dT="2024-10-03T21:19:16.88" personId="{685DAF9C-7E69-437C-B66A-60F972D4A0E6}" id="{4D034C31-E8E2-47C9-A64B-5D536F7A5046}" done="1">
    <text>δs = sqrt(2/(σωµ))</text>
  </threadedComment>
  <threadedComment ref="AK11" dT="2024-10-03T21:19:31.59" personId="{685DAF9C-7E69-437C-B66A-60F972D4A0E6}" id="{CF3C4527-BB21-41A6-A59A-EE46F4A9A486}" done="1">
    <text>R' = Rstrip + Rgnd = 1/(σ δs W) + 0.15/(σ δs W)</text>
  </threadedComment>
  <threadedComment ref="AK12" dT="2024-10-03T21:20:00.73" personId="{685DAF9C-7E69-437C-B66A-60F972D4A0E6}" id="{4DBFE2E7-77E8-4575-867C-A87F6987BFA4}" done="1">
    <text>Zdiff=2*Zo*(1-.347*(EXP(-2.9*(S/H)))), where Zo=60/SQRT(Er)*LN(1.9*(2*H+T)/(0.8*W+T))</text>
  </threadedComment>
  <threadedComment ref="AK15" dT="2024-10-03T21:19:16.88" personId="{685DAF9C-7E69-437C-B66A-60F972D4A0E6}" id="{E5573892-4454-44B8-9D55-F3B175BBE1B4}" done="1">
    <text>δs = sqrt(2/(σωµ))</text>
  </threadedComment>
  <threadedComment ref="AK16" dT="2024-10-03T21:19:31.59" personId="{685DAF9C-7E69-437C-B66A-60F972D4A0E6}" id="{4DC5EA6A-5255-4BD6-A298-0FAE9172B0A3}" done="1">
    <text>R' = Rstrip + Rgnd = 1/(σ δs W) + 0.15/(σ δs W)</text>
  </threadedComment>
  <threadedComment ref="AK17" dT="2024-10-03T21:20:00.73" personId="{685DAF9C-7E69-437C-B66A-60F972D4A0E6}" id="{06BB6BC3-3D01-4E3C-9BFC-1404A62D247F}" done="1">
    <text>Zdiff=2*Zo*(1-.347*(EXP(-2.9*(S/H)))), where Zo=60/SQRT(Er)*LN(1.9*(2*H+T)/(0.8*W+T))</text>
  </threadedComment>
  <threadedComment ref="AK20" dT="2024-10-03T21:19:16.88" personId="{685DAF9C-7E69-437C-B66A-60F972D4A0E6}" id="{5091EEAE-86CB-4E54-8EEE-E97C8E78C8BD}" done="1">
    <text>δs = sqrt(2/(σωµ))</text>
  </threadedComment>
  <threadedComment ref="AK21" dT="2024-10-03T21:19:31.59" personId="{685DAF9C-7E69-437C-B66A-60F972D4A0E6}" id="{1B17BAF3-4CA2-4846-8C10-3A7A9F47307C}" done="1">
    <text>R' = Rstrip + Rgnd = 1/(σ δs W) + 0.15/(σ δs W)</text>
  </threadedComment>
  <threadedComment ref="AK22" dT="2024-10-03T21:20:00.73" personId="{685DAF9C-7E69-437C-B66A-60F972D4A0E6}" id="{7A12ABDE-7C38-484D-BE36-FAEB7C8EBB7A}" done="1">
    <text>Zdiff=2*Zo*(1-.347*(EXP(-2.9*(S/H)))), where Zo=60/SQRT(Er)*LN(1.9*(2*H+T)/(0.8*W+T))</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12-06T10:10:08.81" personId="{685DAF9C-7E69-437C-B66A-60F972D4A0E6}" id="{DA3A8A89-34AB-4C90-8EF9-C1DB1D48FD32}">
    <text>TC_DK = [ (DK|T2 - DK|T1)/DK|25C ] / (T2-T1)</text>
  </threadedComment>
  <threadedComment ref="C2" dT="2024-12-06T10:10:38.31" personId="{685DAF9C-7E69-437C-B66A-60F972D4A0E6}" id="{8D22B870-DEEF-4577-8F62-C02DEDE49307}">
    <text>TC_DF = [ (DF|T2 - DF|T1)/DF|25C ] / (T2-T1)</text>
  </threadedComment>
  <threadedComment ref="D2" dT="2024-12-05T15:14:26.44" personId="{685DAF9C-7E69-437C-B66A-60F972D4A0E6}" id="{9BA8CB9F-027F-4019-870C-E19AB2615A09}">
    <text>Temperature coefficient of metal conductivity</text>
  </threadedComment>
  <threadedComment ref="E2" dT="2024-12-05T15:13:59.91" personId="{685DAF9C-7E69-437C-B66A-60F972D4A0E6}" id="{B9DA68C6-6F68-4427-A0DD-EC94F9ECA19D}">
    <text>Metal conductivity</text>
  </threadedComment>
  <threadedComment ref="F2" dT="2024-09-28T06:20:07.69" personId="{685DAF9C-7E69-437C-B66A-60F972D4A0E6}" id="{9D859DB6-2A73-437C-B08C-39F36360EBAF}">
    <text>Metal surface roughness
- Note: Multiply by 2 if both sides are treated
- Typical Manufacturer Data:
(STD)         5 &lt; Rz &lt; 7μm
(RTF)          3 &lt; Rz &lt; 5μm
(VLP)         2 &lt; Rz &lt; 3μm
(HVLP)      1 &lt; Rz &lt; 2μm
(HVLP2) 0.2 &lt; Rz &lt; 1μm 
- Roughness RMS = Rz *1.1/7.6</text>
  </threadedComment>
  <threadedComment ref="H2" dT="2024-12-05T15:13:02.78" personId="{685DAF9C-7E69-437C-B66A-60F972D4A0E6}" id="{AF6BB9F7-C89F-4C7E-BD6B-134C5FFAC4CC}">
    <text>Dielectric thickness between two layers. 
The total stripline thickness will be 2x Dielectric thickness + Metal thickness</text>
  </threadedComment>
  <threadedComment ref="I2" dT="2024-12-05T15:13:13.84" personId="{685DAF9C-7E69-437C-B66A-60F972D4A0E6}" id="{74C09A0D-20EC-45EA-859C-642CFD5C8385}">
    <text>Copper layer thickness</text>
  </threadedComment>
  <threadedComment ref="J2" dT="2024-12-05T15:13:31.26" personId="{685DAF9C-7E69-437C-B66A-60F972D4A0E6}" id="{B6F6F324-6FF3-452A-9D8D-0037EC90FC12}">
    <text>Stripline width</text>
  </threadedComment>
  <threadedComment ref="K2" dT="2024-12-05T15:13:42.82" personId="{685DAF9C-7E69-437C-B66A-60F972D4A0E6}" id="{96381BDA-6030-42D5-A33B-3467E9414F6A}">
    <text>Stripline spacing</text>
  </threadedComment>
  <threadedComment ref="BJ2" dT="2024-09-28T06:20:07.69" personId="{685DAF9C-7E69-437C-B66A-60F972D4A0E6}" id="{43FCD850-5AA7-4C28-850A-94AC8C23A507}">
    <text>Metal surface roughness
- Note: Multiply by 2 if both sides are treated
- Typical Manufacturer Data:
(STD)         5 &lt; Rz &lt; 7μm
(RTF)          3 &lt; Rz &lt; 5μm
(VLP)         2 &lt; Rz &lt; 3μm
(HVLP)      1 &lt; Rz &lt; 2μm
(HVLP2) 0.2 &lt; Rz &lt; 1μm 
- Roughness RMS = Rz *1.1/7.6</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2.v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597B-8214-402C-B9CC-78D649251E6E}">
  <dimension ref="A1:L35"/>
  <sheetViews>
    <sheetView topLeftCell="A11" zoomScaleNormal="100" workbookViewId="0">
      <selection activeCell="A12" sqref="A12:L17"/>
    </sheetView>
  </sheetViews>
  <sheetFormatPr defaultRowHeight="14.4" x14ac:dyDescent="0.55000000000000004"/>
  <cols>
    <col min="1" max="1" width="15.578125" style="3" customWidth="1"/>
    <col min="2" max="2" width="10.41796875" style="3" customWidth="1"/>
    <col min="3" max="11" width="8.83984375" style="3"/>
    <col min="12" max="12" width="17.83984375" style="3" bestFit="1" customWidth="1"/>
    <col min="13" max="16384" width="8.83984375" style="3"/>
  </cols>
  <sheetData>
    <row r="1" spans="1:12" x14ac:dyDescent="0.55000000000000004">
      <c r="A1" s="175" t="s">
        <v>33</v>
      </c>
      <c r="B1" s="176"/>
      <c r="C1" s="176"/>
      <c r="D1" s="176"/>
      <c r="E1" s="176"/>
      <c r="F1" s="176"/>
      <c r="G1" s="176"/>
      <c r="H1" s="176"/>
      <c r="I1" s="176"/>
      <c r="J1" s="176"/>
      <c r="K1" s="176"/>
      <c r="L1" s="177"/>
    </row>
    <row r="2" spans="1:12" x14ac:dyDescent="0.55000000000000004">
      <c r="A2" s="178"/>
      <c r="B2" s="179"/>
      <c r="C2" s="179"/>
      <c r="D2" s="179"/>
      <c r="E2" s="179"/>
      <c r="F2" s="179"/>
      <c r="G2" s="179"/>
      <c r="H2" s="179"/>
      <c r="I2" s="179"/>
      <c r="J2" s="179"/>
      <c r="K2" s="179"/>
      <c r="L2" s="180"/>
    </row>
    <row r="3" spans="1:12" x14ac:dyDescent="0.55000000000000004">
      <c r="A3" s="178"/>
      <c r="B3" s="179"/>
      <c r="C3" s="179"/>
      <c r="D3" s="179"/>
      <c r="E3" s="179"/>
      <c r="F3" s="179"/>
      <c r="G3" s="179"/>
      <c r="H3" s="179"/>
      <c r="I3" s="179"/>
      <c r="J3" s="179"/>
      <c r="K3" s="179"/>
      <c r="L3" s="180"/>
    </row>
    <row r="4" spans="1:12" x14ac:dyDescent="0.55000000000000004">
      <c r="A4" s="181"/>
      <c r="B4" s="182"/>
      <c r="C4" s="182"/>
      <c r="D4" s="182"/>
      <c r="E4" s="182"/>
      <c r="F4" s="182"/>
      <c r="G4" s="182"/>
      <c r="H4" s="182"/>
      <c r="I4" s="182"/>
      <c r="J4" s="182"/>
      <c r="K4" s="182"/>
      <c r="L4" s="183"/>
    </row>
    <row r="5" spans="1:12" ht="17.7" x14ac:dyDescent="0.6">
      <c r="A5" s="184" t="s">
        <v>50</v>
      </c>
      <c r="B5" s="184"/>
      <c r="C5" s="184"/>
      <c r="D5" s="184"/>
      <c r="E5" s="184"/>
      <c r="F5" s="184"/>
      <c r="G5" s="184"/>
      <c r="H5" s="184"/>
      <c r="I5" s="184"/>
      <c r="J5" s="184"/>
      <c r="K5" s="184"/>
      <c r="L5" s="185"/>
    </row>
    <row r="6" spans="1:12" ht="17.7" x14ac:dyDescent="0.6">
      <c r="A6" s="184" t="s">
        <v>34</v>
      </c>
      <c r="B6" s="184"/>
      <c r="C6" s="4" t="str">
        <f>A30</f>
        <v>1.1.1</v>
      </c>
      <c r="D6" s="5"/>
      <c r="E6" s="5"/>
      <c r="F6" s="5"/>
      <c r="G6" s="5"/>
      <c r="H6" s="5"/>
      <c r="I6" s="5"/>
      <c r="J6" s="5"/>
      <c r="K6" s="6"/>
      <c r="L6" s="7"/>
    </row>
    <row r="7" spans="1:12" ht="17.7" x14ac:dyDescent="0.6">
      <c r="A7" s="184" t="s">
        <v>35</v>
      </c>
      <c r="B7" s="184"/>
      <c r="C7" s="4" t="s">
        <v>36</v>
      </c>
      <c r="D7" s="5"/>
      <c r="E7" s="5"/>
      <c r="F7" s="5"/>
      <c r="G7" s="5"/>
      <c r="H7" s="5"/>
      <c r="I7" s="5"/>
      <c r="J7" s="8"/>
      <c r="K7" s="8"/>
      <c r="L7" s="7"/>
    </row>
    <row r="8" spans="1:12" x14ac:dyDescent="0.55000000000000004">
      <c r="A8" s="9"/>
      <c r="B8" s="10"/>
      <c r="C8" s="10"/>
      <c r="D8" s="10"/>
      <c r="E8" s="10"/>
      <c r="F8" s="10"/>
      <c r="G8" s="10"/>
      <c r="H8" s="10"/>
      <c r="I8" s="10"/>
      <c r="J8" s="10"/>
      <c r="K8" s="10"/>
      <c r="L8" s="11"/>
    </row>
    <row r="9" spans="1:12" ht="20.399999999999999" x14ac:dyDescent="0.75">
      <c r="A9" s="169" t="s">
        <v>37</v>
      </c>
      <c r="B9" s="170"/>
      <c r="C9" s="170"/>
      <c r="D9" s="170"/>
      <c r="E9" s="170"/>
      <c r="F9" s="170"/>
      <c r="G9" s="170"/>
      <c r="H9" s="170"/>
      <c r="I9" s="170"/>
      <c r="J9" s="170"/>
      <c r="K9" s="170"/>
      <c r="L9" s="171"/>
    </row>
    <row r="10" spans="1:12" x14ac:dyDescent="0.55000000000000004">
      <c r="A10" s="9" t="s">
        <v>38</v>
      </c>
      <c r="B10" s="10"/>
      <c r="C10" s="10"/>
      <c r="D10" s="10"/>
      <c r="E10" s="10"/>
      <c r="F10" s="10"/>
      <c r="G10" s="10"/>
      <c r="H10" s="10"/>
      <c r="I10" s="10"/>
      <c r="J10" s="10"/>
      <c r="K10" s="10"/>
      <c r="L10" s="11"/>
    </row>
    <row r="11" spans="1:12" x14ac:dyDescent="0.55000000000000004">
      <c r="A11" s="9"/>
      <c r="B11" s="10"/>
      <c r="C11" s="10"/>
      <c r="D11" s="10"/>
      <c r="E11" s="10"/>
      <c r="F11" s="10"/>
      <c r="G11" s="10"/>
      <c r="H11" s="10"/>
      <c r="I11" s="10"/>
      <c r="J11" s="10"/>
      <c r="K11" s="10"/>
      <c r="L11" s="11"/>
    </row>
    <row r="12" spans="1:12" x14ac:dyDescent="0.55000000000000004">
      <c r="A12" s="166" t="s">
        <v>39</v>
      </c>
      <c r="B12" s="167"/>
      <c r="C12" s="167"/>
      <c r="D12" s="167"/>
      <c r="E12" s="167"/>
      <c r="F12" s="167"/>
      <c r="G12" s="167"/>
      <c r="H12" s="167"/>
      <c r="I12" s="167"/>
      <c r="J12" s="167"/>
      <c r="K12" s="167"/>
      <c r="L12" s="168"/>
    </row>
    <row r="13" spans="1:12" x14ac:dyDescent="0.55000000000000004">
      <c r="A13" s="166"/>
      <c r="B13" s="167"/>
      <c r="C13" s="167"/>
      <c r="D13" s="167"/>
      <c r="E13" s="167"/>
      <c r="F13" s="167"/>
      <c r="G13" s="167"/>
      <c r="H13" s="167"/>
      <c r="I13" s="167"/>
      <c r="J13" s="167"/>
      <c r="K13" s="167"/>
      <c r="L13" s="168"/>
    </row>
    <row r="14" spans="1:12" x14ac:dyDescent="0.55000000000000004">
      <c r="A14" s="166"/>
      <c r="B14" s="167"/>
      <c r="C14" s="167"/>
      <c r="D14" s="167"/>
      <c r="E14" s="167"/>
      <c r="F14" s="167"/>
      <c r="G14" s="167"/>
      <c r="H14" s="167"/>
      <c r="I14" s="167"/>
      <c r="J14" s="167"/>
      <c r="K14" s="167"/>
      <c r="L14" s="168"/>
    </row>
    <row r="15" spans="1:12" x14ac:dyDescent="0.55000000000000004">
      <c r="A15" s="166"/>
      <c r="B15" s="167"/>
      <c r="C15" s="167"/>
      <c r="D15" s="167"/>
      <c r="E15" s="167"/>
      <c r="F15" s="167"/>
      <c r="G15" s="167"/>
      <c r="H15" s="167"/>
      <c r="I15" s="167"/>
      <c r="J15" s="167"/>
      <c r="K15" s="167"/>
      <c r="L15" s="168"/>
    </row>
    <row r="16" spans="1:12" x14ac:dyDescent="0.55000000000000004">
      <c r="A16" s="166"/>
      <c r="B16" s="167"/>
      <c r="C16" s="167"/>
      <c r="D16" s="167"/>
      <c r="E16" s="167"/>
      <c r="F16" s="167"/>
      <c r="G16" s="167"/>
      <c r="H16" s="167"/>
      <c r="I16" s="167"/>
      <c r="J16" s="167"/>
      <c r="K16" s="167"/>
      <c r="L16" s="168"/>
    </row>
    <row r="17" spans="1:12" x14ac:dyDescent="0.55000000000000004">
      <c r="A17" s="166"/>
      <c r="B17" s="167"/>
      <c r="C17" s="167"/>
      <c r="D17" s="167"/>
      <c r="E17" s="167"/>
      <c r="F17" s="167"/>
      <c r="G17" s="167"/>
      <c r="H17" s="167"/>
      <c r="I17" s="167"/>
      <c r="J17" s="167"/>
      <c r="K17" s="167"/>
      <c r="L17" s="168"/>
    </row>
    <row r="18" spans="1:12" ht="20.399999999999999" x14ac:dyDescent="0.75">
      <c r="A18" s="169" t="s">
        <v>40</v>
      </c>
      <c r="B18" s="170"/>
      <c r="C18" s="170"/>
      <c r="D18" s="170"/>
      <c r="E18" s="170"/>
      <c r="F18" s="170"/>
      <c r="G18" s="170"/>
      <c r="H18" s="170"/>
      <c r="I18" s="170"/>
      <c r="J18" s="170"/>
      <c r="K18" s="170"/>
      <c r="L18" s="171"/>
    </row>
    <row r="19" spans="1:12" x14ac:dyDescent="0.55000000000000004">
      <c r="A19" s="172" t="s">
        <v>41</v>
      </c>
      <c r="B19" s="173"/>
      <c r="C19" s="173"/>
      <c r="D19" s="173"/>
      <c r="E19" s="173"/>
      <c r="F19" s="173"/>
      <c r="G19" s="173"/>
      <c r="H19" s="173"/>
      <c r="I19" s="173"/>
      <c r="J19" s="173"/>
      <c r="K19" s="173"/>
      <c r="L19" s="174"/>
    </row>
    <row r="20" spans="1:12" x14ac:dyDescent="0.55000000000000004">
      <c r="A20" s="172" t="s">
        <v>42</v>
      </c>
      <c r="B20" s="173"/>
      <c r="C20" s="173"/>
      <c r="D20" s="173"/>
      <c r="E20" s="173"/>
      <c r="F20" s="173"/>
      <c r="G20" s="173"/>
      <c r="H20" s="173"/>
      <c r="I20" s="173"/>
      <c r="J20" s="173"/>
      <c r="K20" s="173"/>
      <c r="L20" s="174"/>
    </row>
    <row r="21" spans="1:12" x14ac:dyDescent="0.55000000000000004">
      <c r="A21" s="9"/>
      <c r="B21" s="10"/>
      <c r="C21" s="10"/>
      <c r="D21" s="10"/>
      <c r="E21" s="10"/>
      <c r="F21" s="10"/>
      <c r="G21" s="10"/>
      <c r="H21" s="10"/>
      <c r="I21" s="10"/>
      <c r="J21" s="10"/>
      <c r="K21" s="10"/>
      <c r="L21" s="11"/>
    </row>
    <row r="22" spans="1:12" ht="20.399999999999999" x14ac:dyDescent="0.75">
      <c r="A22" s="169" t="s">
        <v>43</v>
      </c>
      <c r="B22" s="170"/>
      <c r="C22" s="170"/>
      <c r="D22" s="170"/>
      <c r="E22" s="170"/>
      <c r="F22" s="170"/>
      <c r="G22" s="170"/>
      <c r="H22" s="170"/>
      <c r="I22" s="170"/>
      <c r="J22" s="170"/>
      <c r="K22" s="170"/>
      <c r="L22" s="171"/>
    </row>
    <row r="23" spans="1:12" ht="14.4" customHeight="1" x14ac:dyDescent="0.55000000000000004">
      <c r="A23" s="166" t="s">
        <v>44</v>
      </c>
      <c r="B23" s="167"/>
      <c r="C23" s="167"/>
      <c r="D23" s="167"/>
      <c r="E23" s="167"/>
      <c r="F23" s="167"/>
      <c r="G23" s="167"/>
      <c r="H23" s="167"/>
      <c r="I23" s="167"/>
      <c r="J23" s="167"/>
      <c r="K23" s="167"/>
      <c r="L23" s="168"/>
    </row>
    <row r="24" spans="1:12" x14ac:dyDescent="0.55000000000000004">
      <c r="A24" s="166"/>
      <c r="B24" s="167"/>
      <c r="C24" s="167"/>
      <c r="D24" s="167"/>
      <c r="E24" s="167"/>
      <c r="F24" s="167"/>
      <c r="G24" s="167"/>
      <c r="H24" s="167"/>
      <c r="I24" s="167"/>
      <c r="J24" s="167"/>
      <c r="K24" s="167"/>
      <c r="L24" s="168"/>
    </row>
    <row r="25" spans="1:12" x14ac:dyDescent="0.55000000000000004">
      <c r="A25" s="166"/>
      <c r="B25" s="167"/>
      <c r="C25" s="167"/>
      <c r="D25" s="167"/>
      <c r="E25" s="167"/>
      <c r="F25" s="167"/>
      <c r="G25" s="167"/>
      <c r="H25" s="167"/>
      <c r="I25" s="167"/>
      <c r="J25" s="167"/>
      <c r="K25" s="167"/>
      <c r="L25" s="168"/>
    </row>
    <row r="26" spans="1:12" x14ac:dyDescent="0.55000000000000004">
      <c r="A26" s="166"/>
      <c r="B26" s="167"/>
      <c r="C26" s="167"/>
      <c r="D26" s="167"/>
      <c r="E26" s="167"/>
      <c r="F26" s="167"/>
      <c r="G26" s="167"/>
      <c r="H26" s="167"/>
      <c r="I26" s="167"/>
      <c r="J26" s="167"/>
      <c r="K26" s="167"/>
      <c r="L26" s="168"/>
    </row>
    <row r="27" spans="1:12" x14ac:dyDescent="0.55000000000000004">
      <c r="A27" s="12"/>
      <c r="B27" s="13"/>
      <c r="C27" s="14"/>
      <c r="D27" s="14"/>
      <c r="E27" s="14"/>
      <c r="F27" s="14"/>
      <c r="G27" s="14"/>
      <c r="H27" s="14"/>
      <c r="I27" s="14"/>
      <c r="J27" s="14"/>
      <c r="K27" s="14"/>
      <c r="L27" s="15"/>
    </row>
    <row r="28" spans="1:12" x14ac:dyDescent="0.55000000000000004">
      <c r="A28" s="16" t="s">
        <v>45</v>
      </c>
      <c r="B28" s="17"/>
      <c r="C28" s="14"/>
      <c r="D28" s="14"/>
      <c r="E28" s="14"/>
      <c r="F28" s="14"/>
      <c r="G28" s="14"/>
      <c r="H28" s="14"/>
      <c r="I28" s="14"/>
      <c r="J28" s="14"/>
      <c r="K28" s="14"/>
      <c r="L28" s="18"/>
    </row>
    <row r="29" spans="1:12" x14ac:dyDescent="0.55000000000000004">
      <c r="A29" s="19" t="s">
        <v>46</v>
      </c>
      <c r="B29" s="165" t="s">
        <v>47</v>
      </c>
      <c r="C29" s="165"/>
      <c r="D29" s="165"/>
      <c r="E29" s="165"/>
      <c r="F29" s="165"/>
      <c r="G29" s="165"/>
      <c r="H29" s="165"/>
      <c r="I29" s="165"/>
      <c r="J29" s="165"/>
      <c r="K29" s="165"/>
      <c r="L29" s="20"/>
    </row>
    <row r="30" spans="1:12" x14ac:dyDescent="0.55000000000000004">
      <c r="A30" s="16" t="s">
        <v>161</v>
      </c>
      <c r="B30" s="13" t="s">
        <v>162</v>
      </c>
      <c r="C30" s="13"/>
      <c r="D30" s="13"/>
      <c r="E30" s="13"/>
      <c r="F30" s="13"/>
      <c r="G30" s="13"/>
      <c r="H30" s="13"/>
      <c r="I30" s="13"/>
      <c r="J30" s="13"/>
      <c r="K30" s="13"/>
      <c r="L30" s="18"/>
    </row>
    <row r="31" spans="1:12" ht="14.4" customHeight="1" x14ac:dyDescent="0.55000000000000004">
      <c r="A31" s="16" t="s">
        <v>147</v>
      </c>
      <c r="B31" s="13" t="s">
        <v>148</v>
      </c>
      <c r="C31" s="13"/>
      <c r="D31" s="13"/>
      <c r="E31" s="13"/>
      <c r="F31" s="13"/>
      <c r="G31" s="13"/>
      <c r="H31" s="13"/>
      <c r="I31" s="13"/>
      <c r="J31" s="13"/>
      <c r="K31" s="13"/>
      <c r="L31" s="18"/>
    </row>
    <row r="32" spans="1:12" x14ac:dyDescent="0.55000000000000004">
      <c r="A32" s="16" t="s">
        <v>67</v>
      </c>
      <c r="B32" s="13" t="s">
        <v>68</v>
      </c>
      <c r="C32" s="13"/>
      <c r="D32" s="14"/>
      <c r="E32" s="14"/>
      <c r="F32" s="14"/>
      <c r="G32" s="14"/>
      <c r="H32" s="14"/>
      <c r="I32" s="14"/>
      <c r="J32" s="14"/>
      <c r="K32" s="14"/>
      <c r="L32" s="18"/>
    </row>
    <row r="33" spans="1:12" x14ac:dyDescent="0.55000000000000004">
      <c r="A33" s="16" t="s">
        <v>65</v>
      </c>
      <c r="B33" s="13" t="s">
        <v>66</v>
      </c>
      <c r="C33" s="13"/>
      <c r="D33" s="14"/>
      <c r="E33" s="14"/>
      <c r="F33" s="14"/>
      <c r="G33" s="14"/>
      <c r="H33" s="14"/>
      <c r="I33" s="14"/>
      <c r="J33" s="14"/>
      <c r="K33" s="14"/>
      <c r="L33" s="18"/>
    </row>
    <row r="34" spans="1:12" x14ac:dyDescent="0.55000000000000004">
      <c r="A34" s="16" t="s">
        <v>48</v>
      </c>
      <c r="B34" s="13" t="s">
        <v>49</v>
      </c>
      <c r="C34" s="13"/>
      <c r="D34" s="14"/>
      <c r="E34" s="14"/>
      <c r="F34" s="14"/>
      <c r="G34" s="14"/>
      <c r="H34" s="14"/>
      <c r="I34" s="14"/>
      <c r="J34" s="14"/>
      <c r="K34" s="14"/>
      <c r="L34" s="18"/>
    </row>
    <row r="35" spans="1:12" ht="14.7" thickBot="1" x14ac:dyDescent="0.6">
      <c r="A35" s="21"/>
      <c r="B35" s="22"/>
      <c r="C35" s="23"/>
      <c r="D35" s="23"/>
      <c r="E35" s="23"/>
      <c r="F35" s="23"/>
      <c r="G35" s="23"/>
      <c r="H35" s="23"/>
      <c r="I35" s="23"/>
      <c r="J35" s="23"/>
      <c r="K35" s="23"/>
      <c r="L35" s="24"/>
    </row>
  </sheetData>
  <mergeCells count="13">
    <mergeCell ref="A9:L9"/>
    <mergeCell ref="A1:L3"/>
    <mergeCell ref="A4:L4"/>
    <mergeCell ref="A5:L5"/>
    <mergeCell ref="A6:B6"/>
    <mergeCell ref="A7:B7"/>
    <mergeCell ref="B29:K29"/>
    <mergeCell ref="A12:L17"/>
    <mergeCell ref="A18:L18"/>
    <mergeCell ref="A19:L19"/>
    <mergeCell ref="A20:L20"/>
    <mergeCell ref="A22:L22"/>
    <mergeCell ref="A23:L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56F-AD53-4147-BF1E-023AB387B268}">
  <dimension ref="A1:AF34"/>
  <sheetViews>
    <sheetView zoomScale="81" zoomScaleNormal="100" workbookViewId="0">
      <selection activeCell="W9" sqref="W9"/>
    </sheetView>
  </sheetViews>
  <sheetFormatPr defaultRowHeight="14.4" x14ac:dyDescent="0.55000000000000004"/>
  <cols>
    <col min="1" max="6" width="9.62890625" style="3" customWidth="1"/>
    <col min="7" max="7" width="7" style="3" customWidth="1"/>
    <col min="8" max="15" width="9.62890625" style="3" customWidth="1"/>
    <col min="16" max="16" width="3.7890625" style="3" customWidth="1"/>
    <col min="17" max="21" width="9.62890625" style="3" customWidth="1"/>
    <col min="22" max="22" width="3.68359375" style="3" customWidth="1"/>
    <col min="23" max="32" width="9.62890625" style="3" customWidth="1"/>
    <col min="33" max="16384" width="8.83984375" style="3"/>
  </cols>
  <sheetData>
    <row r="1" spans="1:32" x14ac:dyDescent="0.55000000000000004">
      <c r="A1" s="175" t="s">
        <v>33</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c r="AF1" s="177"/>
    </row>
    <row r="2" spans="1:32" x14ac:dyDescent="0.55000000000000004">
      <c r="A2" s="178"/>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80"/>
    </row>
    <row r="3" spans="1:32" x14ac:dyDescent="0.55000000000000004">
      <c r="A3" s="178"/>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80"/>
    </row>
    <row r="4" spans="1:32" x14ac:dyDescent="0.55000000000000004">
      <c r="A4" s="181"/>
      <c r="B4" s="182"/>
      <c r="C4" s="182"/>
      <c r="D4" s="182"/>
      <c r="E4" s="182"/>
      <c r="F4" s="182"/>
      <c r="G4" s="182"/>
      <c r="H4" s="182"/>
      <c r="I4" s="182"/>
      <c r="J4" s="182"/>
      <c r="K4" s="182"/>
      <c r="L4" s="182"/>
      <c r="M4" s="182"/>
      <c r="N4" s="182"/>
      <c r="O4" s="182"/>
      <c r="P4" s="182"/>
      <c r="Q4" s="182"/>
      <c r="R4" s="182"/>
      <c r="S4" s="182"/>
      <c r="T4" s="182"/>
      <c r="U4" s="182"/>
      <c r="V4" s="182"/>
      <c r="W4" s="182"/>
      <c r="X4" s="182"/>
      <c r="Y4" s="182"/>
      <c r="Z4" s="182"/>
      <c r="AA4" s="182"/>
      <c r="AB4" s="182"/>
      <c r="AC4" s="182"/>
      <c r="AD4" s="182"/>
      <c r="AE4" s="182"/>
      <c r="AF4" s="183"/>
    </row>
    <row r="5" spans="1:32" ht="17.7" x14ac:dyDescent="0.6">
      <c r="A5" s="187" t="s">
        <v>53</v>
      </c>
      <c r="B5" s="184"/>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5"/>
    </row>
    <row r="6" spans="1:32" ht="17.7" x14ac:dyDescent="0.6">
      <c r="A6" s="187"/>
      <c r="B6" s="184"/>
      <c r="C6" s="4"/>
      <c r="D6" s="5"/>
      <c r="E6" s="5"/>
      <c r="F6" s="5"/>
      <c r="G6" s="5"/>
      <c r="H6" s="5"/>
      <c r="I6" s="5"/>
      <c r="J6" s="5"/>
      <c r="K6" s="6"/>
      <c r="L6" s="6"/>
      <c r="M6" s="6"/>
      <c r="N6" s="6"/>
      <c r="O6" s="6"/>
      <c r="P6" s="6"/>
      <c r="Q6" s="6"/>
      <c r="R6" s="6"/>
      <c r="S6" s="6"/>
      <c r="T6" s="6"/>
      <c r="U6" s="6"/>
      <c r="V6" s="6"/>
      <c r="W6" s="6"/>
      <c r="X6" s="6"/>
      <c r="Y6" s="6"/>
      <c r="Z6" s="6"/>
      <c r="AA6" s="6"/>
      <c r="AB6" s="6"/>
      <c r="AC6" s="6"/>
      <c r="AD6" s="6"/>
      <c r="AE6" s="6"/>
      <c r="AF6" s="7"/>
    </row>
    <row r="7" spans="1:32" x14ac:dyDescent="0.55000000000000004">
      <c r="A7" s="25" t="s">
        <v>54</v>
      </c>
      <c r="B7" s="188" t="s">
        <v>55</v>
      </c>
      <c r="C7" s="188"/>
      <c r="D7" s="188"/>
      <c r="E7" s="188"/>
      <c r="F7" s="188"/>
      <c r="G7" s="188"/>
      <c r="H7" s="26"/>
      <c r="I7" s="27"/>
      <c r="J7" s="27"/>
      <c r="K7" s="27"/>
      <c r="L7" s="27"/>
      <c r="M7" s="27"/>
      <c r="N7" s="27"/>
      <c r="O7" s="27"/>
      <c r="P7" s="27"/>
      <c r="Q7" s="27"/>
      <c r="R7" s="27"/>
      <c r="S7" s="27"/>
      <c r="T7" s="27"/>
      <c r="U7" s="27"/>
      <c r="V7" s="27"/>
      <c r="W7" s="27"/>
      <c r="X7" s="27"/>
      <c r="Y7" s="27"/>
      <c r="Z7" s="27"/>
      <c r="AA7" s="27"/>
      <c r="AB7" s="27"/>
      <c r="AC7" s="27"/>
      <c r="AD7" s="27"/>
      <c r="AE7" s="27"/>
      <c r="AF7" s="7"/>
    </row>
    <row r="8" spans="1:32" ht="17.7" x14ac:dyDescent="0.6">
      <c r="A8" s="28"/>
      <c r="B8" s="29"/>
      <c r="C8" s="4"/>
      <c r="D8" s="5"/>
      <c r="E8" s="5"/>
      <c r="F8" s="5"/>
      <c r="G8" s="30"/>
      <c r="H8" s="5"/>
      <c r="I8" s="5"/>
      <c r="J8" s="5"/>
      <c r="K8" s="6"/>
      <c r="L8" s="6"/>
      <c r="M8" s="6"/>
      <c r="N8" s="6"/>
      <c r="O8" s="6"/>
      <c r="P8" s="6"/>
      <c r="Q8" s="6"/>
      <c r="R8" s="6"/>
      <c r="S8" s="6"/>
      <c r="T8" s="6"/>
      <c r="U8" s="6"/>
      <c r="V8" s="6"/>
      <c r="W8" s="6"/>
      <c r="X8" s="6"/>
      <c r="Y8" s="6"/>
      <c r="Z8" s="6"/>
      <c r="AA8" s="6"/>
      <c r="AB8" s="6"/>
      <c r="AC8" s="6"/>
      <c r="AD8" s="6"/>
      <c r="AE8" s="6"/>
      <c r="AF8" s="7"/>
    </row>
    <row r="9" spans="1:32" ht="14.4" customHeight="1" x14ac:dyDescent="0.55000000000000004">
      <c r="A9" s="191" t="s">
        <v>159</v>
      </c>
      <c r="B9" s="186"/>
      <c r="C9" s="186"/>
      <c r="D9" s="186"/>
      <c r="E9" s="186"/>
      <c r="F9" s="186"/>
      <c r="G9" s="186"/>
      <c r="H9" s="186"/>
      <c r="I9" s="186"/>
      <c r="J9" s="186"/>
      <c r="K9" s="186"/>
      <c r="L9" s="186"/>
      <c r="M9" s="186"/>
      <c r="N9" s="186"/>
      <c r="O9" s="186"/>
      <c r="Q9" s="44"/>
      <c r="R9" s="44"/>
      <c r="S9" s="44"/>
      <c r="T9" s="44"/>
      <c r="U9" s="44"/>
      <c r="V9" s="44"/>
      <c r="W9" s="44"/>
      <c r="X9" s="44"/>
      <c r="Y9" s="44"/>
      <c r="Z9" s="44"/>
      <c r="AA9" s="44"/>
      <c r="AB9" s="44"/>
      <c r="AC9" s="44"/>
      <c r="AD9" s="44"/>
      <c r="AE9" s="44"/>
      <c r="AF9" s="46"/>
    </row>
    <row r="10" spans="1:32" ht="14.4" customHeight="1" x14ac:dyDescent="0.55000000000000004">
      <c r="A10" s="189" t="s">
        <v>56</v>
      </c>
      <c r="B10" s="190"/>
      <c r="C10" s="190"/>
      <c r="D10" s="190" t="s">
        <v>57</v>
      </c>
      <c r="E10" s="190"/>
      <c r="F10" s="190"/>
      <c r="G10" s="190" t="s">
        <v>58</v>
      </c>
      <c r="H10" s="190"/>
      <c r="I10" s="190"/>
      <c r="J10" s="190"/>
      <c r="K10" s="42"/>
      <c r="L10" s="42"/>
      <c r="M10" s="190" t="s">
        <v>150</v>
      </c>
      <c r="N10" s="190"/>
      <c r="O10" s="190"/>
      <c r="P10" s="190"/>
      <c r="Q10" s="190" t="s">
        <v>149</v>
      </c>
      <c r="R10" s="190"/>
      <c r="S10" s="190"/>
      <c r="T10" s="190"/>
      <c r="U10" s="44"/>
      <c r="V10" s="44"/>
      <c r="W10" s="44"/>
      <c r="X10" s="44"/>
      <c r="Y10" s="44"/>
      <c r="Z10" s="44"/>
      <c r="AA10" s="44"/>
      <c r="AB10" s="44"/>
      <c r="AC10" s="44"/>
      <c r="AD10" s="44"/>
      <c r="AE10" s="44"/>
      <c r="AF10" s="46"/>
    </row>
    <row r="11" spans="1:32" ht="20.399999999999999" customHeight="1" x14ac:dyDescent="0.55000000000000004">
      <c r="A11" s="41"/>
      <c r="B11" s="42"/>
      <c r="C11" s="42"/>
      <c r="D11" s="42"/>
      <c r="I11" s="31"/>
      <c r="J11" s="31"/>
      <c r="K11" s="31"/>
      <c r="L11" s="31"/>
      <c r="M11" s="42"/>
      <c r="N11" s="42"/>
      <c r="O11" s="42"/>
      <c r="P11" s="44"/>
      <c r="Q11" s="44"/>
      <c r="R11" s="44"/>
      <c r="S11" s="44"/>
      <c r="T11" s="44"/>
      <c r="U11" s="44"/>
      <c r="V11" s="44"/>
      <c r="W11" s="44"/>
      <c r="X11" s="44"/>
      <c r="Y11" s="44"/>
      <c r="Z11" s="44"/>
      <c r="AA11" s="44"/>
      <c r="AB11" s="44"/>
      <c r="AC11" s="44"/>
      <c r="AD11" s="44"/>
      <c r="AE11" s="44"/>
      <c r="AF11" s="46"/>
    </row>
    <row r="12" spans="1:32" x14ac:dyDescent="0.55000000000000004">
      <c r="A12" s="32"/>
      <c r="B12" s="31"/>
      <c r="C12" s="31"/>
      <c r="D12" s="31"/>
      <c r="I12" s="31"/>
      <c r="J12" s="31"/>
      <c r="K12" s="31"/>
      <c r="L12" s="31"/>
      <c r="M12" s="42"/>
      <c r="N12" s="42"/>
      <c r="O12" s="42"/>
      <c r="P12" s="44"/>
      <c r="Q12" s="44"/>
      <c r="R12" s="44"/>
      <c r="S12" s="44"/>
      <c r="T12" s="44"/>
      <c r="U12" s="44"/>
      <c r="V12" s="44"/>
      <c r="W12" s="44"/>
      <c r="X12" s="44"/>
      <c r="Y12" s="44"/>
      <c r="Z12" s="44"/>
      <c r="AA12" s="44"/>
      <c r="AB12" s="44"/>
      <c r="AC12" s="44"/>
      <c r="AD12" s="44"/>
      <c r="AE12" s="44"/>
      <c r="AF12" s="45"/>
    </row>
    <row r="13" spans="1:32" x14ac:dyDescent="0.55000000000000004">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1"/>
    </row>
    <row r="14" spans="1:32" x14ac:dyDescent="0.55000000000000004">
      <c r="A14" s="33"/>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5"/>
    </row>
    <row r="15" spans="1:32" x14ac:dyDescent="0.55000000000000004">
      <c r="A15" s="33"/>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ht="14.4" customHeight="1" x14ac:dyDescent="0.55000000000000004">
      <c r="A16" s="191" t="s">
        <v>160</v>
      </c>
      <c r="B16" s="186"/>
      <c r="C16" s="186"/>
      <c r="D16" s="186"/>
      <c r="E16" s="186"/>
      <c r="F16" s="186"/>
      <c r="G16" s="44"/>
      <c r="H16" s="186" t="s">
        <v>64</v>
      </c>
      <c r="I16" s="186"/>
      <c r="J16" s="186"/>
      <c r="K16" s="186"/>
      <c r="L16" s="186"/>
      <c r="M16" s="186"/>
      <c r="N16" s="186"/>
      <c r="O16" s="186"/>
      <c r="P16" s="43"/>
      <c r="Q16" s="186" t="s">
        <v>59</v>
      </c>
      <c r="R16" s="186"/>
      <c r="S16" s="186"/>
      <c r="T16" s="186"/>
      <c r="U16" s="186"/>
      <c r="V16" s="43"/>
      <c r="W16" s="186" t="s">
        <v>60</v>
      </c>
      <c r="X16" s="186"/>
      <c r="Y16" s="186"/>
      <c r="Z16" s="186"/>
      <c r="AA16" s="186"/>
      <c r="AB16" s="186"/>
      <c r="AC16" s="186"/>
      <c r="AD16" s="186"/>
      <c r="AE16" s="186"/>
      <c r="AF16" s="46"/>
    </row>
    <row r="17" spans="1:32" x14ac:dyDescent="0.55000000000000004">
      <c r="A17" s="191"/>
      <c r="B17" s="186"/>
      <c r="C17" s="186"/>
      <c r="D17" s="186"/>
      <c r="E17" s="186"/>
      <c r="F17" s="186"/>
      <c r="G17" s="44"/>
      <c r="H17" s="186"/>
      <c r="I17" s="186"/>
      <c r="J17" s="186"/>
      <c r="K17" s="186"/>
      <c r="L17" s="186"/>
      <c r="M17" s="186"/>
      <c r="N17" s="186"/>
      <c r="O17" s="186"/>
      <c r="P17" s="43"/>
      <c r="Q17" s="186"/>
      <c r="R17" s="186"/>
      <c r="S17" s="186"/>
      <c r="T17" s="186"/>
      <c r="U17" s="186"/>
      <c r="V17" s="43"/>
      <c r="W17" s="186"/>
      <c r="X17" s="186"/>
      <c r="Y17" s="186"/>
      <c r="Z17" s="186"/>
      <c r="AA17" s="186"/>
      <c r="AB17" s="186"/>
      <c r="AC17" s="186"/>
      <c r="AD17" s="186"/>
      <c r="AE17" s="186"/>
      <c r="AF17" s="46"/>
    </row>
    <row r="18" spans="1:32" x14ac:dyDescent="0.55000000000000004">
      <c r="A18" s="191"/>
      <c r="B18" s="186"/>
      <c r="C18" s="186"/>
      <c r="D18" s="186"/>
      <c r="E18" s="186"/>
      <c r="F18" s="186"/>
      <c r="G18" s="44"/>
      <c r="H18" s="186"/>
      <c r="I18" s="186"/>
      <c r="J18" s="186"/>
      <c r="K18" s="186"/>
      <c r="L18" s="186"/>
      <c r="M18" s="186"/>
      <c r="N18" s="186"/>
      <c r="O18" s="186"/>
      <c r="P18" s="43"/>
      <c r="Q18" s="186"/>
      <c r="R18" s="186"/>
      <c r="S18" s="186"/>
      <c r="T18" s="186"/>
      <c r="U18" s="186"/>
      <c r="V18" s="43"/>
      <c r="W18" s="186"/>
      <c r="X18" s="186"/>
      <c r="Y18" s="186"/>
      <c r="Z18" s="186"/>
      <c r="AA18" s="186"/>
      <c r="AB18" s="186"/>
      <c r="AC18" s="186"/>
      <c r="AD18" s="186"/>
      <c r="AE18" s="186"/>
      <c r="AF18" s="46"/>
    </row>
    <row r="19" spans="1:32" x14ac:dyDescent="0.55000000000000004">
      <c r="A19" s="191"/>
      <c r="B19" s="186"/>
      <c r="C19" s="186"/>
      <c r="D19" s="186"/>
      <c r="E19" s="186"/>
      <c r="F19" s="186"/>
      <c r="G19" s="34"/>
      <c r="H19" s="186"/>
      <c r="I19" s="186"/>
      <c r="J19" s="186"/>
      <c r="K19" s="186"/>
      <c r="L19" s="186"/>
      <c r="M19" s="186"/>
      <c r="N19" s="186"/>
      <c r="O19" s="186"/>
      <c r="P19" s="34"/>
      <c r="Q19" s="34"/>
      <c r="R19" s="34"/>
      <c r="S19" s="34"/>
      <c r="T19" s="34"/>
      <c r="U19" s="34"/>
      <c r="V19" s="34"/>
      <c r="W19" s="34"/>
      <c r="X19" s="34"/>
      <c r="Y19" s="34"/>
      <c r="Z19" s="34"/>
      <c r="AA19" s="34"/>
      <c r="AB19" s="34"/>
      <c r="AC19" s="34"/>
      <c r="AD19" s="34"/>
      <c r="AE19" s="34"/>
      <c r="AF19" s="35"/>
    </row>
    <row r="20" spans="1:32" ht="20.399999999999999" x14ac:dyDescent="0.75">
      <c r="A20" s="191"/>
      <c r="B20" s="186"/>
      <c r="C20" s="186"/>
      <c r="D20" s="186"/>
      <c r="E20" s="186"/>
      <c r="F20" s="186"/>
      <c r="G20" s="37"/>
      <c r="H20" s="186"/>
      <c r="I20" s="186"/>
      <c r="J20" s="186"/>
      <c r="K20" s="186"/>
      <c r="L20" s="186"/>
      <c r="M20" s="186"/>
      <c r="N20" s="186"/>
      <c r="O20" s="186"/>
      <c r="P20" s="37"/>
      <c r="Q20" s="37"/>
      <c r="R20" s="37"/>
      <c r="S20" s="37"/>
      <c r="T20" s="37"/>
      <c r="U20" s="37"/>
      <c r="V20" s="37"/>
      <c r="W20" s="37"/>
      <c r="X20" s="37"/>
      <c r="Y20" s="37"/>
      <c r="Z20" s="37"/>
      <c r="AA20" s="37"/>
      <c r="AB20" s="37"/>
      <c r="AC20" s="37"/>
      <c r="AD20" s="37"/>
      <c r="AE20" s="37"/>
      <c r="AF20" s="38"/>
    </row>
    <row r="21" spans="1:32" x14ac:dyDescent="0.55000000000000004">
      <c r="A21" s="191"/>
      <c r="B21" s="186"/>
      <c r="C21" s="186"/>
      <c r="D21" s="186"/>
      <c r="E21" s="186"/>
      <c r="F21" s="186"/>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1"/>
    </row>
    <row r="22" spans="1:32" x14ac:dyDescent="0.55000000000000004">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1"/>
    </row>
    <row r="23" spans="1:32" x14ac:dyDescent="0.55000000000000004">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1"/>
    </row>
    <row r="24" spans="1:32" ht="20.399999999999999" x14ac:dyDescent="0.75">
      <c r="A24" s="36"/>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8"/>
    </row>
    <row r="25" spans="1:32" ht="14.4" customHeight="1" x14ac:dyDescent="0.55000000000000004">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5"/>
    </row>
    <row r="26" spans="1:32" x14ac:dyDescent="0.55000000000000004">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5"/>
    </row>
    <row r="27" spans="1:32" x14ac:dyDescent="0.5500000000000000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5"/>
    </row>
    <row r="28" spans="1:32" x14ac:dyDescent="0.55000000000000004">
      <c r="A28" s="41"/>
      <c r="B28" s="42"/>
      <c r="C28" s="42"/>
      <c r="D28" s="42"/>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5"/>
    </row>
    <row r="29" spans="1:32" x14ac:dyDescent="0.55000000000000004">
      <c r="A29" s="41"/>
      <c r="B29" s="42"/>
      <c r="C29" s="42"/>
      <c r="D29" s="42"/>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5"/>
    </row>
    <row r="30" spans="1:32" x14ac:dyDescent="0.55000000000000004">
      <c r="A30" s="32"/>
      <c r="B30" s="31"/>
      <c r="C30" s="31"/>
      <c r="D30" s="31"/>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5"/>
    </row>
    <row r="31" spans="1:32" x14ac:dyDescent="0.55000000000000004">
      <c r="A31" s="32"/>
      <c r="B31" s="31"/>
      <c r="C31" s="31"/>
      <c r="D31" s="31"/>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5"/>
    </row>
    <row r="32" spans="1:32" x14ac:dyDescent="0.55000000000000004">
      <c r="A32" s="32"/>
      <c r="B32" s="31"/>
      <c r="C32" s="31"/>
      <c r="D32" s="31"/>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5"/>
    </row>
    <row r="33" spans="1:32" x14ac:dyDescent="0.55000000000000004">
      <c r="A33" s="32"/>
      <c r="B33" s="31"/>
      <c r="C33" s="31"/>
      <c r="D33" s="31"/>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5"/>
    </row>
    <row r="34" spans="1:32" ht="14.7" thickBot="1" x14ac:dyDescent="0.6">
      <c r="A34" s="21"/>
      <c r="B34" s="22"/>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4"/>
    </row>
  </sheetData>
  <mergeCells count="15">
    <mergeCell ref="W16:AE18"/>
    <mergeCell ref="Q16:U18"/>
    <mergeCell ref="H16:O20"/>
    <mergeCell ref="A1:AF3"/>
    <mergeCell ref="A4:AF4"/>
    <mergeCell ref="A5:AF5"/>
    <mergeCell ref="A6:B6"/>
    <mergeCell ref="B7:G7"/>
    <mergeCell ref="A10:C10"/>
    <mergeCell ref="D10:F10"/>
    <mergeCell ref="G10:J10"/>
    <mergeCell ref="A9:O9"/>
    <mergeCell ref="M10:P10"/>
    <mergeCell ref="Q10:T10"/>
    <mergeCell ref="A16:F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34A0-2468-4A9A-B47D-A67DA7F2D46F}">
  <sheetPr>
    <tabColor theme="0" tint="-4.9989318521683403E-2"/>
  </sheetPr>
  <dimension ref="A1:AU292"/>
  <sheetViews>
    <sheetView tabSelected="1" topLeftCell="A23" zoomScale="71" zoomScaleNormal="81" workbookViewId="0">
      <selection activeCell="AV42" sqref="AV42"/>
    </sheetView>
  </sheetViews>
  <sheetFormatPr defaultRowHeight="14.4" x14ac:dyDescent="0.55000000000000004"/>
  <cols>
    <col min="1" max="1" width="12.3671875" style="97" bestFit="1" customWidth="1"/>
    <col min="2" max="2" width="7.83984375" style="97" customWidth="1"/>
    <col min="3" max="3" width="7.15625" style="97" customWidth="1"/>
    <col min="4" max="4" width="7.15625" style="97" bestFit="1" customWidth="1"/>
    <col min="5" max="7" width="7.05078125" style="97" customWidth="1"/>
    <col min="8" max="8" width="7.89453125" style="97" customWidth="1"/>
    <col min="9" max="9" width="1.9453125" style="97" customWidth="1"/>
    <col min="10" max="10" width="12.3671875" style="97" bestFit="1" customWidth="1"/>
    <col min="11" max="11" width="6.5234375" style="97" customWidth="1"/>
    <col min="12" max="12" width="7.20703125" style="97" bestFit="1" customWidth="1"/>
    <col min="13" max="13" width="8.734375" style="97" bestFit="1" customWidth="1"/>
    <col min="14" max="15" width="7.20703125" style="97" bestFit="1" customWidth="1"/>
    <col min="16" max="16" width="7" style="97" customWidth="1"/>
    <col min="17" max="17" width="7.15625" style="97" customWidth="1"/>
    <col min="18" max="18" width="2.5234375" style="97" customWidth="1"/>
    <col min="19" max="19" width="13.20703125" style="97" bestFit="1" customWidth="1"/>
    <col min="20" max="20" width="7.05078125" style="97" bestFit="1" customWidth="1"/>
    <col min="21" max="26" width="7.15625" style="97" customWidth="1"/>
    <col min="27" max="27" width="2.47265625" style="97" customWidth="1"/>
    <col min="28" max="28" width="18.20703125" style="97" bestFit="1" customWidth="1"/>
    <col min="29" max="29" width="3.47265625" style="97" customWidth="1"/>
    <col min="30" max="35" width="6.7890625" style="97" customWidth="1"/>
    <col min="36" max="36" width="2.41796875" style="97" customWidth="1"/>
    <col min="37" max="37" width="7.05078125" style="97" bestFit="1" customWidth="1"/>
    <col min="38" max="38" width="4.20703125" style="97" customWidth="1"/>
    <col min="39" max="44" width="7.1015625" style="97" customWidth="1"/>
    <col min="45" max="45" width="4.62890625" style="97" customWidth="1"/>
    <col min="46" max="49" width="8.83984375" style="97"/>
    <col min="50" max="50" width="10.734375" style="97" bestFit="1" customWidth="1"/>
    <col min="51" max="51" width="12.9453125" style="97" bestFit="1" customWidth="1"/>
    <col min="52" max="52" width="8.83984375" style="97"/>
    <col min="53" max="56" width="12.9453125" style="97" customWidth="1"/>
    <col min="57" max="57" width="32.3125" style="97" customWidth="1"/>
    <col min="58" max="58" width="33.9453125" style="97" bestFit="1" customWidth="1"/>
    <col min="59" max="59" width="38.578125" style="97" bestFit="1" customWidth="1"/>
    <col min="60" max="60" width="43" style="97" bestFit="1" customWidth="1"/>
    <col min="61" max="61" width="38.578125" style="97" bestFit="1" customWidth="1"/>
    <col min="62" max="62" width="43" style="97" customWidth="1"/>
    <col min="63" max="64" width="13.62890625" style="97" customWidth="1"/>
    <col min="65" max="16384" width="8.83984375" style="97"/>
  </cols>
  <sheetData>
    <row r="1" spans="1:44" ht="14.4" customHeight="1" x14ac:dyDescent="0.55000000000000004">
      <c r="A1" s="208" t="s">
        <v>51</v>
      </c>
      <c r="B1" s="208"/>
      <c r="C1" s="117">
        <f>VLOOKUP(S1,Table1[],8,FALSE)</f>
        <v>120</v>
      </c>
      <c r="D1" s="118"/>
      <c r="E1" s="205" t="s">
        <v>29</v>
      </c>
      <c r="F1" s="205"/>
      <c r="G1" s="205"/>
      <c r="H1" s="119">
        <f>VLOOKUP(S1,Table1[],5,FALSE)</f>
        <v>59600000</v>
      </c>
      <c r="J1" s="193" t="s">
        <v>27</v>
      </c>
      <c r="K1" s="193"/>
      <c r="L1" s="193"/>
      <c r="M1" s="121">
        <f>VLOOKUP(S1,Table1[],2,FALSE)</f>
        <v>-3.4235426595296127E-4</v>
      </c>
      <c r="O1" s="122" t="s">
        <v>144</v>
      </c>
      <c r="P1" s="97" t="s">
        <v>0</v>
      </c>
      <c r="S1" s="211" t="s">
        <v>85</v>
      </c>
      <c r="T1" s="211"/>
      <c r="U1" s="211"/>
      <c r="V1" s="211"/>
      <c r="W1" s="211"/>
      <c r="X1" s="211"/>
      <c r="Y1" s="211" t="s">
        <v>152</v>
      </c>
      <c r="Z1" s="211"/>
      <c r="AB1" s="194" t="str">
        <f>_xlfn.CONCAT("Stripline Parameters (dB/m)")</f>
        <v>Stripline Parameters (dB/m)</v>
      </c>
      <c r="AC1" s="195"/>
      <c r="AD1" s="195"/>
      <c r="AE1" s="195"/>
      <c r="AF1" s="195"/>
      <c r="AG1" s="195"/>
      <c r="AH1" s="195"/>
      <c r="AI1" s="196"/>
      <c r="AK1" s="194" t="str">
        <f>_xlfn.CONCAT("Stripline Parameters and Loss Decomposition vs Temperature")</f>
        <v>Stripline Parameters and Loss Decomposition vs Temperature</v>
      </c>
      <c r="AL1" s="195"/>
      <c r="AM1" s="195"/>
      <c r="AN1" s="195"/>
      <c r="AO1" s="195"/>
      <c r="AP1" s="195"/>
      <c r="AQ1" s="195"/>
      <c r="AR1" s="196"/>
    </row>
    <row r="2" spans="1:44" ht="14.4" customHeight="1" x14ac:dyDescent="0.55000000000000004">
      <c r="A2" s="208" t="s">
        <v>52</v>
      </c>
      <c r="B2" s="208"/>
      <c r="C2" s="117">
        <f>VLOOKUP(S1,Table1[],9,FALSE)</f>
        <v>17</v>
      </c>
      <c r="E2" s="208" t="s">
        <v>31</v>
      </c>
      <c r="F2" s="208"/>
      <c r="G2" s="208"/>
      <c r="H2" s="123">
        <f>VLOOKUP(S1,Table1[],7,FALSE)</f>
        <v>25</v>
      </c>
      <c r="J2" s="193" t="s">
        <v>28</v>
      </c>
      <c r="K2" s="193"/>
      <c r="L2" s="193"/>
      <c r="M2" s="124">
        <f>VLOOKUP(S1,Table1[],3,FALSE)</f>
        <v>7.1961230343190593E-3</v>
      </c>
      <c r="O2" s="125" t="s">
        <v>145</v>
      </c>
      <c r="P2" s="97" t="s">
        <v>1</v>
      </c>
      <c r="S2" s="211"/>
      <c r="T2" s="211"/>
      <c r="U2" s="211"/>
      <c r="V2" s="211"/>
      <c r="W2" s="211"/>
      <c r="X2" s="211"/>
      <c r="Y2" s="211"/>
      <c r="Z2" s="211"/>
      <c r="AB2" s="209" t="s">
        <v>2</v>
      </c>
      <c r="AC2" s="210"/>
      <c r="AD2" s="126">
        <f t="shared" ref="AD2:AI2" si="0">L24</f>
        <v>1</v>
      </c>
      <c r="AE2" s="126">
        <f t="shared" si="0"/>
        <v>3</v>
      </c>
      <c r="AF2" s="126">
        <f t="shared" si="0"/>
        <v>5</v>
      </c>
      <c r="AG2" s="126">
        <f t="shared" si="0"/>
        <v>10</v>
      </c>
      <c r="AH2" s="126">
        <f t="shared" si="0"/>
        <v>15</v>
      </c>
      <c r="AI2" s="127">
        <f t="shared" si="0"/>
        <v>20</v>
      </c>
      <c r="AK2" s="209" t="s">
        <v>2</v>
      </c>
      <c r="AL2" s="210"/>
      <c r="AM2" s="126">
        <f t="shared" ref="AM2:AR2" si="1">L24</f>
        <v>1</v>
      </c>
      <c r="AN2" s="126">
        <f t="shared" si="1"/>
        <v>3</v>
      </c>
      <c r="AO2" s="126">
        <f t="shared" si="1"/>
        <v>5</v>
      </c>
      <c r="AP2" s="126">
        <f t="shared" si="1"/>
        <v>10</v>
      </c>
      <c r="AQ2" s="126">
        <f t="shared" si="1"/>
        <v>15</v>
      </c>
      <c r="AR2" s="127">
        <f t="shared" si="1"/>
        <v>20</v>
      </c>
    </row>
    <row r="3" spans="1:44" ht="14.4" customHeight="1" x14ac:dyDescent="0.55000000000000004">
      <c r="A3" s="193" t="s">
        <v>3</v>
      </c>
      <c r="B3" s="193"/>
      <c r="C3" s="117">
        <f>VLOOKUP(S1,Table1[],10,FALSE)</f>
        <v>100</v>
      </c>
      <c r="D3" s="118"/>
      <c r="E3" s="205" t="s">
        <v>32</v>
      </c>
      <c r="F3" s="205"/>
      <c r="G3" s="205"/>
      <c r="H3" s="117">
        <f>VLOOKUP(Y1,Table2[],2,FALSE)</f>
        <v>0.36184210526315791</v>
      </c>
      <c r="L3" s="120" t="s">
        <v>30</v>
      </c>
      <c r="M3" s="128">
        <f>VLOOKUP(S1,Table1[],4,FALSE)</f>
        <v>4.0400000000000002E-3</v>
      </c>
      <c r="O3" s="119" t="s">
        <v>69</v>
      </c>
      <c r="P3" s="97" t="s">
        <v>146</v>
      </c>
      <c r="S3" s="211"/>
      <c r="T3" s="211"/>
      <c r="U3" s="211"/>
      <c r="V3" s="211"/>
      <c r="W3" s="211"/>
      <c r="X3" s="211"/>
      <c r="Y3" s="211"/>
      <c r="Z3" s="211"/>
      <c r="AB3" s="103" t="s">
        <v>4</v>
      </c>
      <c r="AC3" s="197">
        <f>H2</f>
        <v>25</v>
      </c>
      <c r="AD3" s="100">
        <f t="shared" ref="AD3:AI3" si="2">IF(AD$2=0,$C$2,SQRT(1/(($H$1/(1+$M$3*($AC$3-$H$2)))*PI()*(AD$2*1000000000)*0.999991*0.0000004*PI()))*1000000)</f>
        <v>2.0615741316329186</v>
      </c>
      <c r="AE3" s="100">
        <f t="shared" si="2"/>
        <v>1.1902503798526345</v>
      </c>
      <c r="AF3" s="100">
        <f t="shared" si="2"/>
        <v>0.92196397979726119</v>
      </c>
      <c r="AG3" s="100">
        <f t="shared" si="2"/>
        <v>0.65192698212438038</v>
      </c>
      <c r="AH3" s="100">
        <f t="shared" si="2"/>
        <v>0.53229615191908741</v>
      </c>
      <c r="AI3" s="105">
        <f t="shared" si="2"/>
        <v>0.4609819898986306</v>
      </c>
      <c r="AK3" s="103" t="s">
        <v>5</v>
      </c>
      <c r="AL3" s="197">
        <f>AC27</f>
        <v>-40</v>
      </c>
      <c r="AM3" s="100">
        <f t="shared" ref="AM3:AR3" si="3">($M$1*($AL$3-$H$2)+1)*AVERAGE(C$46,L$46)</f>
        <v>3.8408450002633345</v>
      </c>
      <c r="AN3" s="100">
        <f t="shared" si="3"/>
        <v>3.8298989770405441</v>
      </c>
      <c r="AO3" s="100">
        <f t="shared" si="3"/>
        <v>3.7970401887170397</v>
      </c>
      <c r="AP3" s="100">
        <f t="shared" si="3"/>
        <v>3.7786381613284696</v>
      </c>
      <c r="AQ3" s="100">
        <f t="shared" si="3"/>
        <v>3.7459413354714504</v>
      </c>
      <c r="AR3" s="105">
        <f t="shared" si="3"/>
        <v>3.7132146106270532</v>
      </c>
    </row>
    <row r="4" spans="1:44" x14ac:dyDescent="0.55000000000000004">
      <c r="A4" s="205" t="s">
        <v>6</v>
      </c>
      <c r="B4" s="205"/>
      <c r="C4" s="117">
        <f>VLOOKUP(S1,Table1[],11,FALSE)</f>
        <v>120</v>
      </c>
      <c r="D4" s="118"/>
      <c r="M4" s="120"/>
      <c r="AB4" s="103" t="s">
        <v>26</v>
      </c>
      <c r="AC4" s="198"/>
      <c r="AD4" s="100">
        <f t="shared" ref="AD4:AI4" si="4">0.76*(1/(($H$1/(1+$M$3*($AC$3-$H$2)))*AD3*$C$3*0.000000000001))</f>
        <v>61.854083521356216</v>
      </c>
      <c r="AE4" s="100">
        <f t="shared" si="4"/>
        <v>107.13441531459782</v>
      </c>
      <c r="AF4" s="100">
        <f t="shared" si="4"/>
        <v>138.30993543970203</v>
      </c>
      <c r="AG4" s="100">
        <f t="shared" si="4"/>
        <v>195.59978650977382</v>
      </c>
      <c r="AH4" s="100">
        <f t="shared" si="4"/>
        <v>239.55983537313517</v>
      </c>
      <c r="AI4" s="105">
        <f t="shared" si="4"/>
        <v>276.61987087940406</v>
      </c>
      <c r="AK4" s="103" t="s">
        <v>7</v>
      </c>
      <c r="AL4" s="198"/>
      <c r="AM4" s="129">
        <f t="shared" ref="AM4:AR4" si="5">($M$2*($AL$3-$H$2)+1)*U$46</f>
        <v>2.8741608149540103E-3</v>
      </c>
      <c r="AN4" s="129">
        <f t="shared" si="5"/>
        <v>2.9806112155078626E-3</v>
      </c>
      <c r="AO4" s="129">
        <f t="shared" si="5"/>
        <v>3.2467372168924935E-3</v>
      </c>
      <c r="AP4" s="129">
        <f t="shared" si="5"/>
        <v>3.6612145385368916E-3</v>
      </c>
      <c r="AQ4" s="129">
        <f t="shared" si="5"/>
        <v>3.9805657401984487E-3</v>
      </c>
      <c r="AR4" s="130">
        <f t="shared" si="5"/>
        <v>4.3112412224310158E-3</v>
      </c>
    </row>
    <row r="5" spans="1:44" ht="14.4" customHeight="1" thickBot="1" x14ac:dyDescent="0.6">
      <c r="AB5" s="106" t="s">
        <v>25</v>
      </c>
      <c r="AC5" s="200"/>
      <c r="AD5" s="108">
        <f t="shared" ref="AD5:AI5" si="6">2*(60/SQRT(AVERAGE(C$46,L$46))*LN(1.9*(2*$C$1+$C$2)/(0.8*$C$3+$C$2)))*(1-0.347*(EXP(-2.9*($C$4/(2*$C$1+$C$2)))))</f>
        <v>91.092889235532454</v>
      </c>
      <c r="AE5" s="108">
        <f t="shared" si="6"/>
        <v>91.222970141142369</v>
      </c>
      <c r="AF5" s="108">
        <f t="shared" si="6"/>
        <v>91.616832089329961</v>
      </c>
      <c r="AG5" s="108">
        <f t="shared" si="6"/>
        <v>91.839648846509192</v>
      </c>
      <c r="AH5" s="108">
        <f t="shared" si="6"/>
        <v>92.239593810581511</v>
      </c>
      <c r="AI5" s="109">
        <f t="shared" si="6"/>
        <v>92.645182752079492</v>
      </c>
      <c r="AK5" s="103" t="s">
        <v>8</v>
      </c>
      <c r="AL5" s="198"/>
      <c r="AM5" s="100">
        <f t="shared" ref="AM5:AR5" si="7">IF(AM$2=0,$C$2,SQRT(1/(($H$1/(1+$M$3*($AC$27-$H$2)))*PI()*(AM$2*1000000000)*0.999991*0.0000004*PI()))*1000000)</f>
        <v>1.7703148922213725</v>
      </c>
      <c r="AN5" s="100">
        <f t="shared" si="7"/>
        <v>1.0220917795744127</v>
      </c>
      <c r="AO5" s="100">
        <f t="shared" si="7"/>
        <v>0.79170888811744067</v>
      </c>
      <c r="AP5" s="100">
        <f t="shared" si="7"/>
        <v>0.55982272351350393</v>
      </c>
      <c r="AQ5" s="100">
        <f t="shared" si="7"/>
        <v>0.45709333967442356</v>
      </c>
      <c r="AR5" s="105">
        <f t="shared" si="7"/>
        <v>0.39585444405872033</v>
      </c>
    </row>
    <row r="6" spans="1:44" ht="14.4" customHeight="1" x14ac:dyDescent="0.55000000000000004">
      <c r="A6" s="206" t="s">
        <v>9</v>
      </c>
      <c r="B6" s="206"/>
      <c r="C6" s="206"/>
      <c r="D6" s="206"/>
      <c r="E6" s="206"/>
      <c r="F6" s="206"/>
      <c r="G6" s="206"/>
      <c r="H6" s="206"/>
      <c r="AB6" s="194" t="str">
        <f>_xlfn.CONCAT("Stripline Loss Decomposition at Temp = ",H2,"°C (dB/m)")</f>
        <v>Stripline Loss Decomposition at Temp = 25°C (dB/m)</v>
      </c>
      <c r="AC6" s="195"/>
      <c r="AD6" s="195"/>
      <c r="AE6" s="195"/>
      <c r="AF6" s="195"/>
      <c r="AG6" s="195"/>
      <c r="AH6" s="195"/>
      <c r="AI6" s="196"/>
      <c r="AK6" s="103" t="s">
        <v>20</v>
      </c>
      <c r="AL6" s="198"/>
      <c r="AM6" s="100">
        <f t="shared" ref="AM6:AR6" si="8">0.76*(1/(($H$1/(1+$M$3*($AC$27-$H$2)))*AM5*$C$3*0.000000000001))</f>
        <v>53.11533721847222</v>
      </c>
      <c r="AN6" s="100">
        <f t="shared" si="8"/>
        <v>91.99846272354803</v>
      </c>
      <c r="AO6" s="100">
        <f t="shared" si="8"/>
        <v>118.76950466832845</v>
      </c>
      <c r="AP6" s="100">
        <f t="shared" si="8"/>
        <v>167.96544429828472</v>
      </c>
      <c r="AQ6" s="100">
        <f t="shared" si="8"/>
        <v>205.71481647533386</v>
      </c>
      <c r="AR6" s="105">
        <f t="shared" si="8"/>
        <v>237.5390093366569</v>
      </c>
    </row>
    <row r="7" spans="1:44" ht="14.7" thickBot="1" x14ac:dyDescent="0.6">
      <c r="A7" s="207"/>
      <c r="B7" s="207"/>
      <c r="C7" s="207"/>
      <c r="D7" s="207"/>
      <c r="E7" s="207"/>
      <c r="F7" s="207"/>
      <c r="G7" s="207"/>
      <c r="H7" s="207"/>
      <c r="I7" s="99"/>
      <c r="AB7" s="103" t="s">
        <v>23</v>
      </c>
      <c r="AC7" s="198">
        <f>H2</f>
        <v>25</v>
      </c>
      <c r="AD7" s="113">
        <f t="shared" ref="AD7:AI7" si="9">20*LOG(EXP(1))*(2*PI()/(2*0.299795637693216))*SQRT(AVERAGE(C46,L46))*(AD2)*U46</f>
        <v>0.95272336963681148</v>
      </c>
      <c r="AE7" s="113">
        <f t="shared" si="9"/>
        <v>2.9598016558868414</v>
      </c>
      <c r="AF7" s="113">
        <f t="shared" si="9"/>
        <v>5.3503489060531626</v>
      </c>
      <c r="AG7" s="113">
        <f t="shared" si="9"/>
        <v>12.037469367047326</v>
      </c>
      <c r="AH7" s="113">
        <f t="shared" si="9"/>
        <v>19.546045672950971</v>
      </c>
      <c r="AI7" s="114">
        <f t="shared" si="9"/>
        <v>28.102807443751743</v>
      </c>
      <c r="AK7" s="131" t="s">
        <v>10</v>
      </c>
      <c r="AL7" s="199"/>
      <c r="AM7" s="132">
        <f t="shared" ref="AM7:AR7" si="10">2*(60/SQRT(AM$3)*LN(1.9*(2*$C$1+$C$2)/(0.8*$C$3+$C$2)))*(1-0.347*(EXP(-2.9*($C$4/(2*$C$1+$C$2)))))</f>
        <v>90.09595111261531</v>
      </c>
      <c r="AN7" s="132">
        <f t="shared" si="10"/>
        <v>90.224608387742606</v>
      </c>
      <c r="AO7" s="132">
        <f t="shared" si="10"/>
        <v>90.614159834917331</v>
      </c>
      <c r="AP7" s="132">
        <f t="shared" si="10"/>
        <v>90.834538042594843</v>
      </c>
      <c r="AQ7" s="132">
        <f t="shared" si="10"/>
        <v>91.230105931956942</v>
      </c>
      <c r="AR7" s="133">
        <f t="shared" si="10"/>
        <v>91.631256029968824</v>
      </c>
    </row>
    <row r="8" spans="1:44" x14ac:dyDescent="0.55000000000000004">
      <c r="A8" s="194" t="s">
        <v>11</v>
      </c>
      <c r="B8" s="195"/>
      <c r="C8" s="195"/>
      <c r="D8" s="195"/>
      <c r="E8" s="195"/>
      <c r="F8" s="195"/>
      <c r="G8" s="195"/>
      <c r="H8" s="196"/>
      <c r="AB8" s="103" t="s">
        <v>24</v>
      </c>
      <c r="AC8" s="198"/>
      <c r="AD8" s="113">
        <f t="shared" ref="AD8:AI8" si="11">20*LOG(EXP(1))*AD4/(AD5)</f>
        <v>5.897910886776331</v>
      </c>
      <c r="AE8" s="113">
        <f t="shared" si="11"/>
        <v>10.20091437958488</v>
      </c>
      <c r="AF8" s="113">
        <f t="shared" si="11"/>
        <v>13.11270874227341</v>
      </c>
      <c r="AG8" s="113">
        <f t="shared" si="11"/>
        <v>18.49917960479609</v>
      </c>
      <c r="AH8" s="113">
        <f t="shared" si="11"/>
        <v>22.558537020849037</v>
      </c>
      <c r="AI8" s="114">
        <f t="shared" si="11"/>
        <v>25.934318426290481</v>
      </c>
      <c r="AK8" s="134" t="s">
        <v>5</v>
      </c>
      <c r="AL8" s="197">
        <f>AC28</f>
        <v>0</v>
      </c>
      <c r="AM8" s="135">
        <f t="shared" ref="AM8:AR8" si="12">($M$1*($AL$8-$H$2)+1)*AVERAGE(C$46,L$46)</f>
        <v>3.7893927810727845</v>
      </c>
      <c r="AN8" s="135">
        <f t="shared" si="12"/>
        <v>3.7785933915168268</v>
      </c>
      <c r="AO8" s="135">
        <f t="shared" si="12"/>
        <v>3.7461747817423245</v>
      </c>
      <c r="AP8" s="135">
        <f t="shared" si="12"/>
        <v>3.7280192691562735</v>
      </c>
      <c r="AQ8" s="135">
        <f t="shared" si="12"/>
        <v>3.6957604521881096</v>
      </c>
      <c r="AR8" s="136">
        <f t="shared" si="12"/>
        <v>3.6634721367614231</v>
      </c>
    </row>
    <row r="9" spans="1:44" x14ac:dyDescent="0.55000000000000004">
      <c r="A9" s="137" t="s">
        <v>12</v>
      </c>
      <c r="B9" s="104" t="s">
        <v>13</v>
      </c>
      <c r="C9" s="138">
        <f>VLOOKUP($S$1,Table1[],12,FALSE)</f>
        <v>1</v>
      </c>
      <c r="D9" s="138">
        <f>VLOOKUP($S$1,Table1[],13,FALSE)</f>
        <v>3</v>
      </c>
      <c r="E9" s="138">
        <f>VLOOKUP($S$1,Table1[],14,FALSE)</f>
        <v>5</v>
      </c>
      <c r="F9" s="138">
        <f>VLOOKUP($S$1,Table1[],15,FALSE)</f>
        <v>10</v>
      </c>
      <c r="G9" s="138">
        <f>VLOOKUP($S$1,Table1[],16,FALSE)</f>
        <v>15</v>
      </c>
      <c r="H9" s="139">
        <f>VLOOKUP($S$1,Table1[],17,FALSE)</f>
        <v>20</v>
      </c>
      <c r="AB9" s="103" t="s">
        <v>21</v>
      </c>
      <c r="AC9" s="198"/>
      <c r="AD9" s="113">
        <f t="shared" ref="AD9:AI9" si="13">AD8*(1+(2/PI())*ATAN(1.4*($H$3/AD$3)^2))</f>
        <v>6.0597478033780394</v>
      </c>
      <c r="AE9" s="113">
        <f t="shared" si="13"/>
        <v>11.036522619350984</v>
      </c>
      <c r="AF9" s="113">
        <f t="shared" si="13"/>
        <v>14.885717369158032</v>
      </c>
      <c r="AG9" s="113">
        <f t="shared" si="13"/>
        <v>23.294578571405943</v>
      </c>
      <c r="AH9" s="113">
        <f t="shared" si="13"/>
        <v>30.804980154021973</v>
      </c>
      <c r="AI9" s="114">
        <f t="shared" si="13"/>
        <v>37.685541005354196</v>
      </c>
      <c r="AK9" s="103" t="s">
        <v>7</v>
      </c>
      <c r="AL9" s="198"/>
      <c r="AM9" s="129">
        <f t="shared" ref="AM9:AR9" si="14">($M$2*($AL$8-$H$2)+1)*U$46</f>
        <v>4.4285233903669265E-3</v>
      </c>
      <c r="AN9" s="129">
        <f t="shared" si="14"/>
        <v>4.5925427751953313E-3</v>
      </c>
      <c r="AO9" s="129">
        <f t="shared" si="14"/>
        <v>5.0025912372663435E-3</v>
      </c>
      <c r="AP9" s="129">
        <f t="shared" si="14"/>
        <v>5.6412202604333109E-3</v>
      </c>
      <c r="AQ9" s="129">
        <f t="shared" si="14"/>
        <v>6.1332784149185247E-3</v>
      </c>
      <c r="AR9" s="130">
        <f t="shared" si="14"/>
        <v>6.6427850855503897E-3</v>
      </c>
    </row>
    <row r="10" spans="1:44" ht="14.7" thickBot="1" x14ac:dyDescent="0.6">
      <c r="A10" s="140">
        <f>VLOOKUP($S$1,Table1[],18,FALSE)</f>
        <v>122</v>
      </c>
      <c r="B10" s="141">
        <f>VLOOKUP($S$1,Table1[],21,FALSE)</f>
        <v>0.53</v>
      </c>
      <c r="C10" s="142">
        <f>VLOOKUP($S$1,Table1[],24,FALSE)</f>
        <v>4.05</v>
      </c>
      <c r="D10" s="142">
        <f>VLOOKUP($S$1,Table1[],25,FALSE)</f>
        <v>4.04</v>
      </c>
      <c r="E10" s="142">
        <f>VLOOKUP($S$1,Table1[],26,FALSE)</f>
        <v>4.01</v>
      </c>
      <c r="F10" s="142">
        <f>VLOOKUP($S$1,Table1[],27,FALSE)</f>
        <v>3.96</v>
      </c>
      <c r="G10" s="142">
        <f>VLOOKUP($S$1,Table1[],28,FALSE)</f>
        <v>3.93</v>
      </c>
      <c r="H10" s="143">
        <f>VLOOKUP($S$1,Table1[],29,FALSE)</f>
        <v>3.9</v>
      </c>
      <c r="AB10" s="106" t="s">
        <v>22</v>
      </c>
      <c r="AC10" s="200"/>
      <c r="AD10" s="108">
        <f t="shared" ref="AD10:AI10" si="15">AD9+AD7</f>
        <v>7.012471173014851</v>
      </c>
      <c r="AE10" s="108">
        <f t="shared" si="15"/>
        <v>13.996324275237825</v>
      </c>
      <c r="AF10" s="108">
        <f t="shared" si="15"/>
        <v>20.236066275211193</v>
      </c>
      <c r="AG10" s="108">
        <f t="shared" si="15"/>
        <v>35.332047938453272</v>
      </c>
      <c r="AH10" s="108">
        <f t="shared" si="15"/>
        <v>50.351025826972943</v>
      </c>
      <c r="AI10" s="109">
        <f t="shared" si="15"/>
        <v>65.788348449105939</v>
      </c>
      <c r="AK10" s="103" t="s">
        <v>8</v>
      </c>
      <c r="AL10" s="198"/>
      <c r="AM10" s="100">
        <f t="shared" ref="AM10:AR10" si="16">IF(AM$2=0,$C$2,SQRT(1/(($H$1/(1+$M$3*($AC$28-$H$2)))*PI()*(AM$2*1000000000)*0.999991*0.0000004*PI()))*1000000)</f>
        <v>1.9546940994170934</v>
      </c>
      <c r="AN10" s="100">
        <f t="shared" si="16"/>
        <v>1.128543164481832</v>
      </c>
      <c r="AO10" s="100">
        <f t="shared" si="16"/>
        <v>0.87416577630287073</v>
      </c>
      <c r="AP10" s="100">
        <f t="shared" si="16"/>
        <v>0.61812854830496244</v>
      </c>
      <c r="AQ10" s="100">
        <f t="shared" si="16"/>
        <v>0.50469984626482056</v>
      </c>
      <c r="AR10" s="105">
        <f t="shared" si="16"/>
        <v>0.43708288815143537</v>
      </c>
    </row>
    <row r="11" spans="1:44" x14ac:dyDescent="0.55000000000000004">
      <c r="A11" s="140">
        <f>VLOOKUP($S$1,Table1[],19,FALSE)</f>
        <v>127</v>
      </c>
      <c r="B11" s="141">
        <f>VLOOKUP($S$1,Table1[],22,FALSE)</f>
        <v>0.55000000000000004</v>
      </c>
      <c r="C11" s="142">
        <f>VLOOKUP($S$1,Table1[],30,FALSE)</f>
        <v>3.98</v>
      </c>
      <c r="D11" s="142">
        <f>VLOOKUP($S$1,Table1[],31,FALSE)</f>
        <v>3.97</v>
      </c>
      <c r="E11" s="142">
        <f>VLOOKUP($S$1,Table1[],32,FALSE)</f>
        <v>3.94</v>
      </c>
      <c r="F11" s="142">
        <f>VLOOKUP($S$1,Table1[],33,FALSE)</f>
        <v>3.9</v>
      </c>
      <c r="G11" s="142">
        <f>VLOOKUP($S$1,Table1[],34,FALSE)</f>
        <v>3.87</v>
      </c>
      <c r="H11" s="143">
        <f>VLOOKUP($S$1,Table1[],35,FALSE)</f>
        <v>3.84</v>
      </c>
      <c r="AK11" s="103" t="s">
        <v>20</v>
      </c>
      <c r="AL11" s="198"/>
      <c r="AM11" s="100">
        <f t="shared" ref="AM11:AR11" si="17">0.76*(1/(($H$1/(1+$M$3*($AC$28-$H$2)))*AM10*$C$3*0.000000000001))</f>
        <v>58.647326927933825</v>
      </c>
      <c r="AN11" s="100">
        <f t="shared" si="17"/>
        <v>101.58014996728375</v>
      </c>
      <c r="AO11" s="100">
        <f t="shared" si="17"/>
        <v>131.13940970951393</v>
      </c>
      <c r="AP11" s="100">
        <f t="shared" si="17"/>
        <v>185.45913177279652</v>
      </c>
      <c r="AQ11" s="100">
        <f t="shared" si="17"/>
        <v>227.14012049146945</v>
      </c>
      <c r="AR11" s="105">
        <f t="shared" si="17"/>
        <v>262.27881941902785</v>
      </c>
    </row>
    <row r="12" spans="1:44" ht="14.7" thickBot="1" x14ac:dyDescent="0.6">
      <c r="A12" s="144">
        <f>VLOOKUP($S$1,Table1[],20,FALSE)</f>
        <v>140</v>
      </c>
      <c r="B12" s="145">
        <f>VLOOKUP($S$1,Table1[],23,FALSE)</f>
        <v>0.57999999999999996</v>
      </c>
      <c r="C12" s="146">
        <f>VLOOKUP($S$1,Table1[],36,FALSE)</f>
        <v>3.89</v>
      </c>
      <c r="D12" s="146">
        <f>VLOOKUP($S$1,Table1[],37,FALSE)</f>
        <v>3.88</v>
      </c>
      <c r="E12" s="146">
        <f>VLOOKUP($S$1,Table1[],38,FALSE)</f>
        <v>3.85</v>
      </c>
      <c r="F12" s="146">
        <f>VLOOKUP($S$1,Table1[],39,FALSE)</f>
        <v>3.81</v>
      </c>
      <c r="G12" s="146">
        <f>VLOOKUP($S$1,Table1[],40,FALSE)</f>
        <v>3.78</v>
      </c>
      <c r="H12" s="147">
        <f>VLOOKUP($S$1,Table1[],41,FALSE)</f>
        <v>3.75</v>
      </c>
      <c r="AK12" s="131" t="s">
        <v>10</v>
      </c>
      <c r="AL12" s="199"/>
      <c r="AM12" s="132">
        <f t="shared" ref="AM12:AR12" si="18">2*(60/SQRT(AM$8)*LN(1.9*(2*$C$1+$C$2)/(0.8*$C$3+$C$2)))*(1-0.347*(EXP(-2.9*($C$4/(2*$C$1+$C$2)))))</f>
        <v>90.705548375513132</v>
      </c>
      <c r="AN12" s="132">
        <f t="shared" si="18"/>
        <v>90.835076157270294</v>
      </c>
      <c r="AO12" s="132">
        <f t="shared" si="18"/>
        <v>91.227263344375885</v>
      </c>
      <c r="AP12" s="132">
        <f t="shared" si="18"/>
        <v>91.44913265071591</v>
      </c>
      <c r="AQ12" s="132">
        <f t="shared" si="18"/>
        <v>91.847376987794789</v>
      </c>
      <c r="AR12" s="133">
        <f t="shared" si="18"/>
        <v>92.251241303246388</v>
      </c>
    </row>
    <row r="13" spans="1:44" ht="14.7" thickBot="1" x14ac:dyDescent="0.6">
      <c r="AK13" s="134" t="s">
        <v>5</v>
      </c>
      <c r="AL13" s="197">
        <f>AC29</f>
        <v>25</v>
      </c>
      <c r="AM13" s="135">
        <f t="shared" ref="AM13:AR13" si="19">($M$1*($AL$13-$H$2)+1)*AVERAGE(C$46,L$46)</f>
        <v>3.7572351440786917</v>
      </c>
      <c r="AN13" s="135">
        <f t="shared" si="19"/>
        <v>3.7465274005645042</v>
      </c>
      <c r="AO13" s="135">
        <f t="shared" si="19"/>
        <v>3.714383902383128</v>
      </c>
      <c r="AP13" s="135">
        <f t="shared" si="19"/>
        <v>3.6963824615486516</v>
      </c>
      <c r="AQ13" s="135">
        <f t="shared" si="19"/>
        <v>3.6643974001360222</v>
      </c>
      <c r="AR13" s="136">
        <f t="shared" si="19"/>
        <v>3.6323830905954049</v>
      </c>
    </row>
    <row r="14" spans="1:44" x14ac:dyDescent="0.55000000000000004">
      <c r="A14" s="194" t="s">
        <v>14</v>
      </c>
      <c r="B14" s="195"/>
      <c r="C14" s="195"/>
      <c r="D14" s="195"/>
      <c r="E14" s="195"/>
      <c r="F14" s="195"/>
      <c r="G14" s="195"/>
      <c r="H14" s="196"/>
      <c r="AK14" s="103" t="s">
        <v>7</v>
      </c>
      <c r="AL14" s="198"/>
      <c r="AM14" s="129">
        <f t="shared" ref="AM14:AR14" si="20">($M$2*($AL$13-$H$2)+1)*U$46</f>
        <v>5.3999999999999994E-3</v>
      </c>
      <c r="AN14" s="129">
        <f t="shared" si="20"/>
        <v>5.5999999999999999E-3</v>
      </c>
      <c r="AO14" s="129">
        <f t="shared" si="20"/>
        <v>6.1000000000000004E-3</v>
      </c>
      <c r="AP14" s="129">
        <f t="shared" si="20"/>
        <v>6.8787238366185728E-3</v>
      </c>
      <c r="AQ14" s="129">
        <f t="shared" si="20"/>
        <v>7.4787238366185727E-3</v>
      </c>
      <c r="AR14" s="130">
        <f t="shared" si="20"/>
        <v>8.0999999999999996E-3</v>
      </c>
    </row>
    <row r="15" spans="1:44" x14ac:dyDescent="0.55000000000000004">
      <c r="A15" s="137" t="s">
        <v>12</v>
      </c>
      <c r="B15" s="104" t="s">
        <v>13</v>
      </c>
      <c r="C15" s="138">
        <f>VLOOKUP($S$1,Table1[],12,FALSE)</f>
        <v>1</v>
      </c>
      <c r="D15" s="138">
        <f>VLOOKUP($S$1,Table1[],13,FALSE)</f>
        <v>3</v>
      </c>
      <c r="E15" s="138">
        <f>VLOOKUP($S$1,Table1[],14,FALSE)</f>
        <v>5</v>
      </c>
      <c r="F15" s="138">
        <f>VLOOKUP($S$1,Table1[],15,FALSE)</f>
        <v>10</v>
      </c>
      <c r="G15" s="138">
        <f>VLOOKUP($S$1,Table1[],16,FALSE)</f>
        <v>15</v>
      </c>
      <c r="H15" s="139">
        <f>VLOOKUP($S$1,Table1[],17,FALSE)</f>
        <v>20</v>
      </c>
      <c r="AK15" s="103" t="s">
        <v>8</v>
      </c>
      <c r="AL15" s="198"/>
      <c r="AM15" s="100">
        <f t="shared" ref="AM15:AR15" si="21">IF(AM$2=0,$C$2,SQRT(1/(($H$1/(1+$M$3*($AC$29-$H$2)))*PI()*(AM$2*1000000000)*0.999991*0.0000004*PI()))*1000000)</f>
        <v>2.0615741316329186</v>
      </c>
      <c r="AN15" s="100">
        <f t="shared" si="21"/>
        <v>1.1902503798526345</v>
      </c>
      <c r="AO15" s="100">
        <f t="shared" si="21"/>
        <v>0.92196397979726119</v>
      </c>
      <c r="AP15" s="100">
        <f t="shared" si="21"/>
        <v>0.65192698212438038</v>
      </c>
      <c r="AQ15" s="100">
        <f t="shared" si="21"/>
        <v>0.53229615191908741</v>
      </c>
      <c r="AR15" s="105">
        <f t="shared" si="21"/>
        <v>0.4609819898986306</v>
      </c>
    </row>
    <row r="16" spans="1:44" x14ac:dyDescent="0.55000000000000004">
      <c r="A16" s="140">
        <f>VLOOKUP($S$1,Table1[],18,FALSE)</f>
        <v>122</v>
      </c>
      <c r="B16" s="141">
        <f>VLOOKUP($S$1,Table1[],21,FALSE)</f>
        <v>0.53</v>
      </c>
      <c r="C16" s="148">
        <f>VLOOKUP($S$1,Table1[],42,FALSE)</f>
        <v>5.4000000000000003E-3</v>
      </c>
      <c r="D16" s="148">
        <f>VLOOKUP($S$1,Table1[],43,FALSE)</f>
        <v>5.5999999999999999E-3</v>
      </c>
      <c r="E16" s="148">
        <f>VLOOKUP($S$1,Table1[],44,FALSE)</f>
        <v>6.1000000000000004E-3</v>
      </c>
      <c r="F16" s="148">
        <f>VLOOKUP($S$1,Table1[],45,FALSE)</f>
        <v>6.8999999999999999E-3</v>
      </c>
      <c r="G16" s="148">
        <f>VLOOKUP($S$1,Table1[],46,FALSE)</f>
        <v>7.4999999999999997E-3</v>
      </c>
      <c r="H16" s="149">
        <f>VLOOKUP($S$1,Table1[],47,FALSE)</f>
        <v>8.0999999999999996E-3</v>
      </c>
      <c r="AK16" s="103" t="s">
        <v>20</v>
      </c>
      <c r="AL16" s="198"/>
      <c r="AM16" s="100">
        <f t="shared" ref="AM16:AR16" si="22">0.76*(1/(($H$1/(1+$M$3*($AC$29-$H$2)))*AM15*$C$3*0.000000000001))</f>
        <v>61.854083521356216</v>
      </c>
      <c r="AN16" s="100">
        <f t="shared" si="22"/>
        <v>107.13441531459782</v>
      </c>
      <c r="AO16" s="100">
        <f t="shared" si="22"/>
        <v>138.30993543970203</v>
      </c>
      <c r="AP16" s="100">
        <f t="shared" si="22"/>
        <v>195.59978650977382</v>
      </c>
      <c r="AQ16" s="100">
        <f t="shared" si="22"/>
        <v>239.55983537313517</v>
      </c>
      <c r="AR16" s="105">
        <f t="shared" si="22"/>
        <v>276.61987087940406</v>
      </c>
    </row>
    <row r="17" spans="1:44" x14ac:dyDescent="0.55000000000000004">
      <c r="A17" s="140">
        <f>VLOOKUP($S$1,Table1[],19,FALSE)</f>
        <v>127</v>
      </c>
      <c r="B17" s="141">
        <f>VLOOKUP($S$1,Table1[],22,FALSE)</f>
        <v>0.55000000000000004</v>
      </c>
      <c r="C17" s="148">
        <f>VLOOKUP($S$1,Table1[],48,FALSE)</f>
        <v>5.4000000000000003E-3</v>
      </c>
      <c r="D17" s="148">
        <f>VLOOKUP($S$1,Table1[],49,FALSE)</f>
        <v>5.5999999999999999E-3</v>
      </c>
      <c r="E17" s="148">
        <f>VLOOKUP($S$1,Table1[],50,FALSE)</f>
        <v>6.1000000000000004E-3</v>
      </c>
      <c r="F17" s="148">
        <f>VLOOKUP($S$1,Table1[],51,FALSE)</f>
        <v>6.8999999999999999E-3</v>
      </c>
      <c r="G17" s="148">
        <f>VLOOKUP($S$1,Table1[],52,FALSE)</f>
        <v>7.4999999999999997E-3</v>
      </c>
      <c r="H17" s="149">
        <f>VLOOKUP($S$1,Table1[],53,FALSE)</f>
        <v>8.0999999999999996E-3</v>
      </c>
      <c r="AK17" s="131" t="s">
        <v>10</v>
      </c>
      <c r="AL17" s="199"/>
      <c r="AM17" s="132">
        <f t="shared" ref="AM17:AR17" si="23">2*(60/SQRT(AM$13)*LN(1.9*(2*$C$1+$C$2)/(0.8*$C$3+$C$2)))*(1-0.347*(EXP(-2.9*($C$4/(2*$C$1+$C$2)))))</f>
        <v>91.092889235532454</v>
      </c>
      <c r="AN17" s="132">
        <f t="shared" si="23"/>
        <v>91.222970141142369</v>
      </c>
      <c r="AO17" s="132">
        <f t="shared" si="23"/>
        <v>91.616832089329961</v>
      </c>
      <c r="AP17" s="132">
        <f t="shared" si="23"/>
        <v>91.839648846509192</v>
      </c>
      <c r="AQ17" s="132">
        <f t="shared" si="23"/>
        <v>92.239593810581511</v>
      </c>
      <c r="AR17" s="133">
        <f t="shared" si="23"/>
        <v>92.645182752079492</v>
      </c>
    </row>
    <row r="18" spans="1:44" ht="14.7" thickBot="1" x14ac:dyDescent="0.6">
      <c r="A18" s="144">
        <f>VLOOKUP($S$1,Table1[],20,FALSE)</f>
        <v>140</v>
      </c>
      <c r="B18" s="145">
        <f>VLOOKUP($S$1,Table1[],23,FALSE)</f>
        <v>0.57999999999999996</v>
      </c>
      <c r="C18" s="150">
        <f>VLOOKUP($S$1,Table1[],54,FALSE)</f>
        <v>5.4000000000000003E-3</v>
      </c>
      <c r="D18" s="150">
        <f>VLOOKUP($S$1,Table1[],55,FALSE)</f>
        <v>5.5999999999999999E-3</v>
      </c>
      <c r="E18" s="150">
        <f>VLOOKUP($S$1,Table1[],56,FALSE)</f>
        <v>6.1000000000000004E-3</v>
      </c>
      <c r="F18" s="150">
        <f>VLOOKUP($S$1,Table1[],57,FALSE)</f>
        <v>7.0000000000000001E-3</v>
      </c>
      <c r="G18" s="150">
        <f>VLOOKUP($S$1,Table1[],58,FALSE)</f>
        <v>7.6E-3</v>
      </c>
      <c r="H18" s="151">
        <f>VLOOKUP($S$1,Table1[],59,FALSE)</f>
        <v>8.0999999999999996E-3</v>
      </c>
      <c r="AK18" s="103" t="s">
        <v>5</v>
      </c>
      <c r="AL18" s="198">
        <f>AC30</f>
        <v>90</v>
      </c>
      <c r="AM18" s="100">
        <f t="shared" ref="AM18:AR18" si="24">($M$1*($AL$18-$H$2)+1)*AVERAGE(C$46,L$46)</f>
        <v>3.6736252878940494</v>
      </c>
      <c r="AN18" s="100">
        <f t="shared" si="24"/>
        <v>3.6631558240884647</v>
      </c>
      <c r="AO18" s="100">
        <f t="shared" si="24"/>
        <v>3.6317276160492167</v>
      </c>
      <c r="AP18" s="100">
        <f t="shared" si="24"/>
        <v>3.614126761768834</v>
      </c>
      <c r="AQ18" s="100">
        <f t="shared" si="24"/>
        <v>3.5828534648005945</v>
      </c>
      <c r="AR18" s="105">
        <f t="shared" si="24"/>
        <v>3.551551570563757</v>
      </c>
    </row>
    <row r="19" spans="1:44" ht="14.7" thickBot="1" x14ac:dyDescent="0.6">
      <c r="AK19" s="103" t="s">
        <v>7</v>
      </c>
      <c r="AL19" s="198"/>
      <c r="AM19" s="129">
        <f t="shared" ref="AM19:AR19" si="25">($M$2*($AL$18-$H$2)+1)*U$46</f>
        <v>7.9258391850459894E-3</v>
      </c>
      <c r="AN19" s="129">
        <f t="shared" si="25"/>
        <v>8.2193887844921373E-3</v>
      </c>
      <c r="AO19" s="129">
        <f t="shared" si="25"/>
        <v>8.9532627831075077E-3</v>
      </c>
      <c r="AP19" s="129">
        <f t="shared" si="25"/>
        <v>1.0096233134700254E-2</v>
      </c>
      <c r="AQ19" s="129">
        <f t="shared" si="25"/>
        <v>1.0976881933038697E-2</v>
      </c>
      <c r="AR19" s="130">
        <f t="shared" si="25"/>
        <v>1.1888758777568984E-2</v>
      </c>
    </row>
    <row r="20" spans="1:44" x14ac:dyDescent="0.55000000000000004">
      <c r="A20" s="201" t="s">
        <v>15</v>
      </c>
      <c r="B20" s="202"/>
      <c r="C20" s="93">
        <f t="shared" ref="C20:H20" si="26">INTERCEPT(C10:C12,$B10:$B12)</f>
        <v>5.7352631578947362</v>
      </c>
      <c r="D20" s="93">
        <f t="shared" si="26"/>
        <v>5.7252631578947408</v>
      </c>
      <c r="E20" s="93">
        <f t="shared" si="26"/>
        <v>5.6952631578947361</v>
      </c>
      <c r="F20" s="93">
        <f t="shared" si="26"/>
        <v>5.5500000000000016</v>
      </c>
      <c r="G20" s="93">
        <f t="shared" si="26"/>
        <v>5.5200000000000067</v>
      </c>
      <c r="H20" s="94">
        <f t="shared" si="26"/>
        <v>5.4900000000000011</v>
      </c>
      <c r="S20" s="201" t="s">
        <v>61</v>
      </c>
      <c r="T20" s="202"/>
      <c r="U20" s="152">
        <f t="shared" ref="U20:Z20" si="27">INTERCEPT(C16:C18,$B16:$B18)</f>
        <v>5.3999999999999994E-3</v>
      </c>
      <c r="V20" s="152">
        <f t="shared" si="27"/>
        <v>5.5999999999999999E-3</v>
      </c>
      <c r="W20" s="152">
        <f t="shared" si="27"/>
        <v>6.1000000000000004E-3</v>
      </c>
      <c r="X20" s="152">
        <f t="shared" si="27"/>
        <v>5.7684210526315746E-3</v>
      </c>
      <c r="Y20" s="152">
        <f t="shared" si="27"/>
        <v>6.3684210526315744E-3</v>
      </c>
      <c r="Z20" s="153">
        <f t="shared" si="27"/>
        <v>8.0999999999999996E-3</v>
      </c>
      <c r="AJ20" s="154"/>
      <c r="AK20" s="103" t="s">
        <v>8</v>
      </c>
      <c r="AL20" s="198"/>
      <c r="AM20" s="100">
        <f t="shared" ref="AM20:AR20" si="28">IF(AM$2=0,$C$2,SQRT(1/(($H$1/(1+$M$3*($AC$30-$H$2)))*PI()*(AM$2*1000000000)*0.999991*0.0000004*PI()))*1000000)</f>
        <v>2.3164975680572764</v>
      </c>
      <c r="AN20" s="100">
        <f t="shared" si="28"/>
        <v>1.337430494494982</v>
      </c>
      <c r="AO20" s="100">
        <f t="shared" si="28"/>
        <v>1.035969206377803</v>
      </c>
      <c r="AP20" s="100">
        <f t="shared" si="28"/>
        <v>0.73254085093019039</v>
      </c>
      <c r="AQ20" s="100">
        <f t="shared" si="28"/>
        <v>0.59811710017438746</v>
      </c>
      <c r="AR20" s="105">
        <f t="shared" si="28"/>
        <v>0.51798460318890149</v>
      </c>
    </row>
    <row r="21" spans="1:44" ht="14.7" thickBot="1" x14ac:dyDescent="0.6">
      <c r="A21" s="203" t="s">
        <v>16</v>
      </c>
      <c r="B21" s="204"/>
      <c r="C21" s="95">
        <f t="shared" ref="C21:H21" si="29">SLOPE(C10:C12,$B10:$B12)*100%+C20</f>
        <v>2.5510526315789477</v>
      </c>
      <c r="D21" s="95">
        <f t="shared" si="29"/>
        <v>2.5410526315789435</v>
      </c>
      <c r="E21" s="95">
        <f t="shared" si="29"/>
        <v>2.5110526315789476</v>
      </c>
      <c r="F21" s="95">
        <f t="shared" si="29"/>
        <v>2.5499999999999994</v>
      </c>
      <c r="G21" s="95">
        <f t="shared" si="29"/>
        <v>2.5199999999999947</v>
      </c>
      <c r="H21" s="96">
        <f t="shared" si="29"/>
        <v>2.4899999999999989</v>
      </c>
      <c r="S21" s="203" t="s">
        <v>62</v>
      </c>
      <c r="T21" s="204"/>
      <c r="U21" s="155">
        <f t="shared" ref="U21:Z21" si="30">SLOPE(C16:C18,$B16:$B18)*100%+U20</f>
        <v>5.3999999999999994E-3</v>
      </c>
      <c r="V21" s="155">
        <f t="shared" si="30"/>
        <v>5.5999999999999999E-3</v>
      </c>
      <c r="W21" s="155">
        <f t="shared" si="30"/>
        <v>6.1000000000000004E-3</v>
      </c>
      <c r="X21" s="155">
        <f t="shared" si="30"/>
        <v>7.8736842105263192E-3</v>
      </c>
      <c r="Y21" s="155">
        <f t="shared" si="30"/>
        <v>8.473684210526319E-3</v>
      </c>
      <c r="Z21" s="156">
        <f t="shared" si="30"/>
        <v>8.0999999999999996E-3</v>
      </c>
      <c r="AK21" s="103" t="s">
        <v>20</v>
      </c>
      <c r="AL21" s="198"/>
      <c r="AM21" s="100">
        <f t="shared" ref="AM21:AR21" si="31">0.76*(1/(($H$1/(1+$M$3*($AC$30-$H$2)))*AM20*$C$3*0.000000000001))</f>
        <v>69.502634832801832</v>
      </c>
      <c r="AN21" s="100">
        <f t="shared" si="31"/>
        <v>120.38209479031919</v>
      </c>
      <c r="AO21" s="100">
        <f t="shared" si="31"/>
        <v>155.41261610148965</v>
      </c>
      <c r="AP21" s="100">
        <f t="shared" si="31"/>
        <v>219.78662945460988</v>
      </c>
      <c r="AQ21" s="100">
        <f t="shared" si="31"/>
        <v>269.18254722497704</v>
      </c>
      <c r="AR21" s="105">
        <f t="shared" si="31"/>
        <v>310.82523220297929</v>
      </c>
    </row>
    <row r="22" spans="1:44" ht="14.7" thickBot="1" x14ac:dyDescent="0.6">
      <c r="AK22" s="106" t="s">
        <v>10</v>
      </c>
      <c r="AL22" s="200"/>
      <c r="AM22" s="157">
        <f t="shared" ref="AM22:AR22" si="32">2*(60/SQRT(AM$18)*LN(1.9*(2*$C$1+$C$2)/(0.8*$C$3+$C$2)))*(1-0.347*(EXP(-2.9*($C$4/(2*$C$1+$C$2)))))</f>
        <v>92.12367128880831</v>
      </c>
      <c r="AN22" s="157">
        <f t="shared" si="32"/>
        <v>92.25522415412992</v>
      </c>
      <c r="AO22" s="157">
        <f t="shared" si="32"/>
        <v>92.653542935678118</v>
      </c>
      <c r="AP22" s="157">
        <f t="shared" si="32"/>
        <v>92.878881025931719</v>
      </c>
      <c r="AQ22" s="157">
        <f t="shared" si="32"/>
        <v>93.283351657097541</v>
      </c>
      <c r="AR22" s="158">
        <f t="shared" si="32"/>
        <v>93.69353013138354</v>
      </c>
    </row>
    <row r="23" spans="1:44" x14ac:dyDescent="0.55000000000000004">
      <c r="A23" s="194" t="s">
        <v>17</v>
      </c>
      <c r="B23" s="195"/>
      <c r="C23" s="195"/>
      <c r="D23" s="195"/>
      <c r="E23" s="195"/>
      <c r="F23" s="195"/>
      <c r="G23" s="195"/>
      <c r="H23" s="196"/>
      <c r="J23" s="194" t="s">
        <v>18</v>
      </c>
      <c r="K23" s="195"/>
      <c r="L23" s="195"/>
      <c r="M23" s="195"/>
      <c r="N23" s="195"/>
      <c r="O23" s="195"/>
      <c r="P23" s="195"/>
      <c r="Q23" s="196"/>
      <c r="S23" s="194" t="s">
        <v>63</v>
      </c>
      <c r="T23" s="195"/>
      <c r="U23" s="195"/>
      <c r="V23" s="195"/>
      <c r="W23" s="195"/>
      <c r="X23" s="195"/>
      <c r="Y23" s="195"/>
      <c r="Z23" s="196"/>
    </row>
    <row r="24" spans="1:44" ht="14.7" thickBot="1" x14ac:dyDescent="0.6">
      <c r="A24" s="103" t="str">
        <f t="shared" ref="A24:H27" si="33">A9</f>
        <v>Thickness (um)</v>
      </c>
      <c r="B24" s="97" t="str">
        <f t="shared" si="33"/>
        <v>RC (%)</v>
      </c>
      <c r="C24" s="159">
        <f t="shared" si="33"/>
        <v>1</v>
      </c>
      <c r="D24" s="159">
        <f t="shared" si="33"/>
        <v>3</v>
      </c>
      <c r="E24" s="159">
        <f t="shared" si="33"/>
        <v>5</v>
      </c>
      <c r="F24" s="159">
        <f t="shared" si="33"/>
        <v>10</v>
      </c>
      <c r="G24" s="159">
        <f t="shared" si="33"/>
        <v>15</v>
      </c>
      <c r="H24" s="160">
        <f t="shared" si="33"/>
        <v>20</v>
      </c>
      <c r="J24" s="103" t="str">
        <f t="shared" ref="J24:Q27" si="34">A9</f>
        <v>Thickness (um)</v>
      </c>
      <c r="K24" s="97" t="str">
        <f t="shared" si="34"/>
        <v>RC (%)</v>
      </c>
      <c r="L24" s="159">
        <f t="shared" si="34"/>
        <v>1</v>
      </c>
      <c r="M24" s="159">
        <f t="shared" si="34"/>
        <v>3</v>
      </c>
      <c r="N24" s="159">
        <f t="shared" si="34"/>
        <v>5</v>
      </c>
      <c r="O24" s="159">
        <f t="shared" si="34"/>
        <v>10</v>
      </c>
      <c r="P24" s="159">
        <f t="shared" si="34"/>
        <v>15</v>
      </c>
      <c r="Q24" s="160">
        <f t="shared" si="34"/>
        <v>20</v>
      </c>
      <c r="S24" s="137" t="str">
        <f>A9</f>
        <v>Thickness (um)</v>
      </c>
      <c r="T24" s="104" t="str">
        <f>B9</f>
        <v>RC (%)</v>
      </c>
      <c r="U24" s="159">
        <f t="shared" ref="U24:Z24" si="35">C9</f>
        <v>1</v>
      </c>
      <c r="V24" s="159">
        <f t="shared" si="35"/>
        <v>3</v>
      </c>
      <c r="W24" s="159">
        <f t="shared" si="35"/>
        <v>5</v>
      </c>
      <c r="X24" s="159">
        <f t="shared" si="35"/>
        <v>10</v>
      </c>
      <c r="Y24" s="159">
        <f t="shared" si="35"/>
        <v>15</v>
      </c>
      <c r="Z24" s="160">
        <f t="shared" si="35"/>
        <v>20</v>
      </c>
    </row>
    <row r="25" spans="1:44" x14ac:dyDescent="0.55000000000000004">
      <c r="A25" s="161">
        <f t="shared" si="33"/>
        <v>122</v>
      </c>
      <c r="B25" s="162">
        <f t="shared" si="33"/>
        <v>0.53</v>
      </c>
      <c r="C25" s="113">
        <f t="shared" ref="C25:H27" si="36">((C$20*(100%-$B25))+(C$21*$B25))/100%</f>
        <v>4.0476315789473682</v>
      </c>
      <c r="D25" s="113">
        <f t="shared" si="36"/>
        <v>4.0376315789473685</v>
      </c>
      <c r="E25" s="113">
        <f t="shared" si="36"/>
        <v>4.0076315789473682</v>
      </c>
      <c r="F25" s="113">
        <f t="shared" si="36"/>
        <v>3.9600000000000004</v>
      </c>
      <c r="G25" s="113">
        <f t="shared" si="36"/>
        <v>3.93</v>
      </c>
      <c r="H25" s="114">
        <f t="shared" si="36"/>
        <v>3.8999999999999995</v>
      </c>
      <c r="J25" s="161">
        <f t="shared" si="34"/>
        <v>122</v>
      </c>
      <c r="K25" s="162">
        <f t="shared" si="34"/>
        <v>0.53</v>
      </c>
      <c r="L25" s="113">
        <f t="shared" ref="L25:Q27" si="37">100%/((100%-$K25)/C$20+$K25/C$21)</f>
        <v>3.4517688615280053</v>
      </c>
      <c r="M25" s="113">
        <f t="shared" si="37"/>
        <v>3.4403597643059016</v>
      </c>
      <c r="N25" s="113">
        <f t="shared" si="37"/>
        <v>3.4060922001022615</v>
      </c>
      <c r="O25" s="113">
        <f t="shared" si="37"/>
        <v>3.4184782608695645</v>
      </c>
      <c r="P25" s="113">
        <f t="shared" si="37"/>
        <v>3.3845255474452514</v>
      </c>
      <c r="Q25" s="114">
        <f t="shared" si="37"/>
        <v>3.3505147058823526</v>
      </c>
      <c r="S25" s="161">
        <f t="shared" ref="S25:T27" si="38">A10</f>
        <v>122</v>
      </c>
      <c r="T25" s="162">
        <f>B10</f>
        <v>0.53</v>
      </c>
      <c r="U25" s="163">
        <f>((U$20*(100%-$T25))+(U$21*$T25))/100%</f>
        <v>5.3999999999999994E-3</v>
      </c>
      <c r="V25" s="163">
        <f t="shared" ref="V25:Z25" si="39">((V$20*(100%-$T25))+(V$21*$T25))/100%</f>
        <v>5.5999999999999999E-3</v>
      </c>
      <c r="W25" s="163">
        <f t="shared" si="39"/>
        <v>6.1000000000000004E-3</v>
      </c>
      <c r="X25" s="163">
        <f t="shared" si="39"/>
        <v>6.8842105263157895E-3</v>
      </c>
      <c r="Y25" s="163">
        <f t="shared" si="39"/>
        <v>7.4842105263157894E-3</v>
      </c>
      <c r="Z25" s="164">
        <f t="shared" si="39"/>
        <v>8.0999999999999996E-3</v>
      </c>
      <c r="AB25" s="194" t="s">
        <v>19</v>
      </c>
      <c r="AC25" s="195"/>
      <c r="AD25" s="195"/>
      <c r="AE25" s="195"/>
      <c r="AF25" s="195"/>
      <c r="AG25" s="195"/>
      <c r="AH25" s="195"/>
      <c r="AI25" s="196"/>
    </row>
    <row r="26" spans="1:44" x14ac:dyDescent="0.55000000000000004">
      <c r="A26" s="161">
        <f t="shared" si="33"/>
        <v>127</v>
      </c>
      <c r="B26" s="162">
        <f t="shared" si="33"/>
        <v>0.55000000000000004</v>
      </c>
      <c r="C26" s="113">
        <f t="shared" si="36"/>
        <v>3.9839473684210525</v>
      </c>
      <c r="D26" s="113">
        <f t="shared" si="36"/>
        <v>3.9739473684210522</v>
      </c>
      <c r="E26" s="113">
        <f t="shared" si="36"/>
        <v>3.9439473684210524</v>
      </c>
      <c r="F26" s="113">
        <f t="shared" si="36"/>
        <v>3.9000000000000004</v>
      </c>
      <c r="G26" s="113">
        <f t="shared" si="36"/>
        <v>3.87</v>
      </c>
      <c r="H26" s="114">
        <f t="shared" si="36"/>
        <v>3.84</v>
      </c>
      <c r="J26" s="161">
        <f t="shared" si="34"/>
        <v>127</v>
      </c>
      <c r="K26" s="162">
        <f t="shared" si="34"/>
        <v>0.55000000000000004</v>
      </c>
      <c r="L26" s="113">
        <f t="shared" si="37"/>
        <v>3.4006753350438306</v>
      </c>
      <c r="M26" s="113">
        <f t="shared" si="37"/>
        <v>3.3893164767722106</v>
      </c>
      <c r="N26" s="113">
        <f t="shared" si="37"/>
        <v>3.3552016455288993</v>
      </c>
      <c r="O26" s="113">
        <f t="shared" si="37"/>
        <v>3.3696428571428569</v>
      </c>
      <c r="P26" s="113">
        <f t="shared" si="37"/>
        <v>3.3358273381294925</v>
      </c>
      <c r="Q26" s="114">
        <f t="shared" si="37"/>
        <v>3.3019565217391298</v>
      </c>
      <c r="S26" s="161">
        <f t="shared" si="38"/>
        <v>127</v>
      </c>
      <c r="T26" s="162">
        <f t="shared" si="38"/>
        <v>0.55000000000000004</v>
      </c>
      <c r="U26" s="163">
        <f t="shared" ref="U26:Z27" si="40">((U$20*(100%-$T26))+(U$21*$T26))/100%</f>
        <v>5.3999999999999994E-3</v>
      </c>
      <c r="V26" s="163">
        <f t="shared" si="40"/>
        <v>5.5999999999999999E-3</v>
      </c>
      <c r="W26" s="163">
        <f t="shared" si="40"/>
        <v>6.1000000000000004E-3</v>
      </c>
      <c r="X26" s="163">
        <f t="shared" si="40"/>
        <v>6.9263157894736841E-3</v>
      </c>
      <c r="Y26" s="163">
        <f t="shared" si="40"/>
        <v>7.5263157894736848E-3</v>
      </c>
      <c r="Z26" s="164">
        <f t="shared" si="40"/>
        <v>8.0999999999999996E-3</v>
      </c>
      <c r="AB26" s="192" t="s">
        <v>2</v>
      </c>
      <c r="AC26" s="193"/>
      <c r="AD26" s="100">
        <f t="shared" ref="AD26:AI26" si="41">AD2</f>
        <v>1</v>
      </c>
      <c r="AE26" s="100">
        <f t="shared" si="41"/>
        <v>3</v>
      </c>
      <c r="AF26" s="100">
        <f t="shared" si="41"/>
        <v>5</v>
      </c>
      <c r="AG26" s="100">
        <f t="shared" si="41"/>
        <v>10</v>
      </c>
      <c r="AH26" s="100">
        <f t="shared" si="41"/>
        <v>15</v>
      </c>
      <c r="AI26" s="105">
        <f t="shared" si="41"/>
        <v>20</v>
      </c>
    </row>
    <row r="27" spans="1:44" ht="14.7" thickBot="1" x14ac:dyDescent="0.6">
      <c r="A27" s="115">
        <f t="shared" si="33"/>
        <v>140</v>
      </c>
      <c r="B27" s="116">
        <f t="shared" si="33"/>
        <v>0.57999999999999996</v>
      </c>
      <c r="C27" s="108">
        <f t="shared" si="36"/>
        <v>3.8884210526315792</v>
      </c>
      <c r="D27" s="108">
        <f t="shared" si="36"/>
        <v>3.8784210526315785</v>
      </c>
      <c r="E27" s="108">
        <f t="shared" si="36"/>
        <v>3.8484210526315792</v>
      </c>
      <c r="F27" s="108">
        <f t="shared" si="36"/>
        <v>3.8100000000000005</v>
      </c>
      <c r="G27" s="108">
        <f t="shared" si="36"/>
        <v>3.7800000000000002</v>
      </c>
      <c r="H27" s="109">
        <f t="shared" si="36"/>
        <v>3.75</v>
      </c>
      <c r="J27" s="115">
        <f t="shared" si="34"/>
        <v>140</v>
      </c>
      <c r="K27" s="116">
        <f t="shared" si="34"/>
        <v>0.57999999999999996</v>
      </c>
      <c r="L27" s="108">
        <f t="shared" si="37"/>
        <v>3.3268095412058152</v>
      </c>
      <c r="M27" s="108">
        <f t="shared" si="37"/>
        <v>3.3155296301206385</v>
      </c>
      <c r="N27" s="108">
        <f t="shared" si="37"/>
        <v>3.2816546529366897</v>
      </c>
      <c r="O27" s="108">
        <f t="shared" si="37"/>
        <v>3.2989510489510487</v>
      </c>
      <c r="P27" s="108">
        <f t="shared" si="37"/>
        <v>3.2653521126760521</v>
      </c>
      <c r="Q27" s="109">
        <f t="shared" si="37"/>
        <v>3.2317021276595734</v>
      </c>
      <c r="S27" s="115">
        <f t="shared" si="38"/>
        <v>140</v>
      </c>
      <c r="T27" s="116">
        <f t="shared" si="38"/>
        <v>0.57999999999999996</v>
      </c>
      <c r="U27" s="110">
        <f t="shared" si="40"/>
        <v>5.3999999999999994E-3</v>
      </c>
      <c r="V27" s="110">
        <f t="shared" si="40"/>
        <v>5.5999999999999999E-3</v>
      </c>
      <c r="W27" s="110">
        <f t="shared" si="40"/>
        <v>6.1000000000000004E-3</v>
      </c>
      <c r="X27" s="110">
        <f t="shared" si="40"/>
        <v>6.9894736842105263E-3</v>
      </c>
      <c r="Y27" s="110">
        <f t="shared" si="40"/>
        <v>7.5894736842105261E-3</v>
      </c>
      <c r="Z27" s="111">
        <f t="shared" si="40"/>
        <v>8.0999999999999996E-3</v>
      </c>
      <c r="AB27" s="103"/>
      <c r="AC27" s="39">
        <v>-40</v>
      </c>
      <c r="AD27" s="113">
        <f t="shared" ref="AD27:AI27" si="42">(20*LOG(EXP(1))*(2*PI()/(2*0.299795637693216))*SQRT(AM$3)*(AM$2)*AM$4)+(20*LOG(EXP(1))*AM6/(AM7))*(1+(2/PI())*ATAN(1.4*($H$3/AM$5)^2))</f>
        <v>5.8238452830809528</v>
      </c>
      <c r="AE27" s="113">
        <f t="shared" si="42"/>
        <v>11.428800000304451</v>
      </c>
      <c r="AF27" s="113">
        <f t="shared" si="42"/>
        <v>16.326013271102166</v>
      </c>
      <c r="AG27" s="113">
        <f t="shared" si="42"/>
        <v>27.950593440232488</v>
      </c>
      <c r="AH27" s="113">
        <f t="shared" si="42"/>
        <v>39.083587611292742</v>
      </c>
      <c r="AI27" s="114">
        <f t="shared" si="42"/>
        <v>50.017625484382272</v>
      </c>
    </row>
    <row r="28" spans="1:44" x14ac:dyDescent="0.55000000000000004">
      <c r="AB28" s="103"/>
      <c r="AC28" s="39">
        <v>0</v>
      </c>
      <c r="AD28" s="113">
        <f t="shared" ref="AD28:AI28" si="43">(20*LOG(EXP(1))*(2*PI()/(2*0.299795637693216))*SQRT(AM$8)*AM$2*AM9)+(20*LOG(EXP(1))*AM11/(AM12))*(1+(2/PI())*ATAN(1.4*($H$3/AM$10)^2))</f>
        <v>6.5720720457515807</v>
      </c>
      <c r="AE28" s="113">
        <f t="shared" si="43"/>
        <v>13.034960562206864</v>
      </c>
      <c r="AF28" s="113">
        <f t="shared" si="43"/>
        <v>18.763869411401878</v>
      </c>
      <c r="AG28" s="113">
        <f t="shared" si="43"/>
        <v>32.545234756959836</v>
      </c>
      <c r="AH28" s="113">
        <f t="shared" si="43"/>
        <v>46.108384277138633</v>
      </c>
      <c r="AI28" s="114">
        <f t="shared" si="43"/>
        <v>59.862623867432617</v>
      </c>
    </row>
    <row r="29" spans="1:44" x14ac:dyDescent="0.55000000000000004">
      <c r="AB29" s="103"/>
      <c r="AC29" s="39">
        <v>25</v>
      </c>
      <c r="AD29" s="113">
        <f t="shared" ref="AD29:AI29" si="44">(20*LOG(EXP(1))*(2*PI()/(2*0.299795637693216))*SQRT(AM$13)*AM$2*AM14)+((20*LOG(EXP(1))*AM16/(AM17))*(1+(2/PI())*ATAN(1.4*($H$3/AM$15)^2)))</f>
        <v>7.012471173014851</v>
      </c>
      <c r="AE29" s="113">
        <f t="shared" si="44"/>
        <v>13.996324275237825</v>
      </c>
      <c r="AF29" s="113">
        <f t="shared" si="44"/>
        <v>20.236066275211193</v>
      </c>
      <c r="AG29" s="113">
        <f t="shared" si="44"/>
        <v>35.332047938453272</v>
      </c>
      <c r="AH29" s="113">
        <f t="shared" si="44"/>
        <v>50.351025826972943</v>
      </c>
      <c r="AI29" s="114">
        <f t="shared" si="44"/>
        <v>65.788348449105939</v>
      </c>
    </row>
    <row r="30" spans="1:44" ht="14.7" thickBot="1" x14ac:dyDescent="0.6">
      <c r="AB30" s="106"/>
      <c r="AC30" s="40">
        <v>90</v>
      </c>
      <c r="AD30" s="108">
        <f t="shared" ref="AD30:AI30" si="45">(20*LOG(EXP(1))*(2*PI()/(2*0.299795637693216))*SQRT(AM$18)*AM$2*AM19)+(20*LOG(EXP(1))*AM21/(AM22))*(1+(2/PI())*ATAN(1.4*($H$3/AM$20)^2))</f>
        <v>8.0782229665236134</v>
      </c>
      <c r="AE30" s="108">
        <f t="shared" si="45"/>
        <v>16.366532030722691</v>
      </c>
      <c r="AF30" s="108">
        <f t="shared" si="45"/>
        <v>23.903383752672973</v>
      </c>
      <c r="AG30" s="108">
        <f t="shared" si="45"/>
        <v>42.331513239098996</v>
      </c>
      <c r="AH30" s="108">
        <f t="shared" si="45"/>
        <v>60.987513209864744</v>
      </c>
      <c r="AI30" s="109">
        <f t="shared" si="45"/>
        <v>80.596034493372827</v>
      </c>
    </row>
    <row r="34" spans="1:44" x14ac:dyDescent="0.55000000000000004">
      <c r="B34" s="98"/>
    </row>
    <row r="35" spans="1:44" x14ac:dyDescent="0.55000000000000004">
      <c r="B35" s="98"/>
    </row>
    <row r="37" spans="1:44" x14ac:dyDescent="0.55000000000000004">
      <c r="AK37" s="99"/>
    </row>
    <row r="38" spans="1:44" x14ac:dyDescent="0.55000000000000004">
      <c r="AB38" s="99"/>
      <c r="AL38" s="100"/>
      <c r="AM38" s="100"/>
      <c r="AN38" s="100"/>
      <c r="AO38" s="100"/>
      <c r="AP38" s="100"/>
      <c r="AQ38" s="100"/>
    </row>
    <row r="39" spans="1:44" x14ac:dyDescent="0.55000000000000004">
      <c r="AL39" s="100"/>
      <c r="AM39" s="100"/>
      <c r="AN39" s="100"/>
      <c r="AO39" s="100"/>
      <c r="AP39" s="100"/>
      <c r="AQ39" s="100"/>
    </row>
    <row r="40" spans="1:44" x14ac:dyDescent="0.55000000000000004">
      <c r="AL40" s="100"/>
      <c r="AM40" s="100"/>
      <c r="AN40" s="100"/>
      <c r="AO40" s="100"/>
      <c r="AP40" s="100"/>
      <c r="AQ40" s="100"/>
    </row>
    <row r="43" spans="1:44" ht="14.7" thickBot="1" x14ac:dyDescent="0.6"/>
    <row r="44" spans="1:44" x14ac:dyDescent="0.55000000000000004">
      <c r="A44" s="194" t="str">
        <f>_xlfn.CONCAT("DK_InPlane (Thickness = ",$C$1,"µm)")</f>
        <v>DK_InPlane (Thickness = 120µm)</v>
      </c>
      <c r="B44" s="195"/>
      <c r="C44" s="195"/>
      <c r="D44" s="195"/>
      <c r="E44" s="195"/>
      <c r="F44" s="195"/>
      <c r="G44" s="195"/>
      <c r="H44" s="196"/>
      <c r="J44" s="194" t="str">
        <f>_xlfn.CONCAT("DK_OutofPlane (Thickness = ",$C$1,"µm)")</f>
        <v>DK_OutofPlane (Thickness = 120µm)</v>
      </c>
      <c r="K44" s="195"/>
      <c r="L44" s="195"/>
      <c r="M44" s="195"/>
      <c r="N44" s="195"/>
      <c r="O44" s="195"/>
      <c r="P44" s="195"/>
      <c r="Q44" s="196"/>
      <c r="R44" s="101"/>
      <c r="S44" s="194" t="str">
        <f>_xlfn.CONCAT("DF (Thickness = ",$C$1,"µm)")</f>
        <v>DF (Thickness = 120µm)</v>
      </c>
      <c r="T44" s="195"/>
      <c r="U44" s="195"/>
      <c r="V44" s="195"/>
      <c r="W44" s="195"/>
      <c r="X44" s="195"/>
      <c r="Y44" s="195"/>
      <c r="Z44" s="196"/>
      <c r="AR44" s="102"/>
    </row>
    <row r="45" spans="1:44" x14ac:dyDescent="0.55000000000000004">
      <c r="A45" s="103" t="str">
        <f t="shared" ref="A45:H45" si="46">A24</f>
        <v>Thickness (um)</v>
      </c>
      <c r="B45" s="104" t="str">
        <f t="shared" si="46"/>
        <v>RC (%)</v>
      </c>
      <c r="C45" s="100">
        <f t="shared" si="46"/>
        <v>1</v>
      </c>
      <c r="D45" s="100">
        <f t="shared" si="46"/>
        <v>3</v>
      </c>
      <c r="E45" s="100">
        <f t="shared" si="46"/>
        <v>5</v>
      </c>
      <c r="F45" s="100">
        <f t="shared" si="46"/>
        <v>10</v>
      </c>
      <c r="G45" s="100">
        <f t="shared" si="46"/>
        <v>15</v>
      </c>
      <c r="H45" s="105">
        <f t="shared" si="46"/>
        <v>20</v>
      </c>
      <c r="J45" s="103" t="str">
        <f t="shared" ref="J45:Q45" si="47">J24</f>
        <v>Thickness (um)</v>
      </c>
      <c r="K45" s="104" t="str">
        <f t="shared" si="47"/>
        <v>RC (%)</v>
      </c>
      <c r="L45" s="100">
        <f t="shared" si="47"/>
        <v>1</v>
      </c>
      <c r="M45" s="100">
        <f t="shared" si="47"/>
        <v>3</v>
      </c>
      <c r="N45" s="100">
        <f t="shared" si="47"/>
        <v>5</v>
      </c>
      <c r="O45" s="100">
        <f t="shared" si="47"/>
        <v>10</v>
      </c>
      <c r="P45" s="100">
        <f t="shared" si="47"/>
        <v>15</v>
      </c>
      <c r="Q45" s="105">
        <f t="shared" si="47"/>
        <v>20</v>
      </c>
      <c r="R45" s="101"/>
      <c r="S45" s="103" t="str">
        <f t="shared" ref="S45:Z45" si="48">S24</f>
        <v>Thickness (um)</v>
      </c>
      <c r="T45" s="104" t="str">
        <f t="shared" si="48"/>
        <v>RC (%)</v>
      </c>
      <c r="U45" s="100">
        <f t="shared" si="48"/>
        <v>1</v>
      </c>
      <c r="V45" s="100">
        <f t="shared" si="48"/>
        <v>3</v>
      </c>
      <c r="W45" s="100">
        <f t="shared" si="48"/>
        <v>5</v>
      </c>
      <c r="X45" s="100">
        <f t="shared" si="48"/>
        <v>10</v>
      </c>
      <c r="Y45" s="100">
        <f t="shared" si="48"/>
        <v>15</v>
      </c>
      <c r="Z45" s="105">
        <f t="shared" si="48"/>
        <v>20</v>
      </c>
    </row>
    <row r="46" spans="1:44" ht="14.7" thickBot="1" x14ac:dyDescent="0.6">
      <c r="A46" s="106">
        <f>C1</f>
        <v>120</v>
      </c>
      <c r="B46" s="107">
        <f>SLOPE(B10:B12,A10:A12)*A46+INTERCEPT(B10:B12,A10:A12)</f>
        <v>0.52739382239382249</v>
      </c>
      <c r="C46" s="108">
        <f t="shared" ref="C46:H46" si="49">((C$20*(100%-$B46))+(C$21*$B46))/100%</f>
        <v>4.0559301971144066</v>
      </c>
      <c r="D46" s="108">
        <f t="shared" si="49"/>
        <v>4.0459301971144068</v>
      </c>
      <c r="E46" s="108">
        <f t="shared" si="49"/>
        <v>4.0159301971144075</v>
      </c>
      <c r="F46" s="108">
        <f t="shared" si="49"/>
        <v>3.9678185328185331</v>
      </c>
      <c r="G46" s="108">
        <f t="shared" si="49"/>
        <v>3.9378185328185324</v>
      </c>
      <c r="H46" s="109">
        <f t="shared" si="49"/>
        <v>3.9078185328185322</v>
      </c>
      <c r="J46" s="106">
        <f>A46</f>
        <v>120</v>
      </c>
      <c r="K46" s="107">
        <f>SLOPE(B10:B12,A10:A12)*A46+INTERCEPT(B10:B12,A10:A12)</f>
        <v>0.52739382239382249</v>
      </c>
      <c r="L46" s="108">
        <f t="shared" ref="L46:Q46" si="50">100%/((100%-$K46)/C$20+$K46/C$21)</f>
        <v>3.4585400910429773</v>
      </c>
      <c r="M46" s="108">
        <f t="shared" si="50"/>
        <v>3.4471246040146015</v>
      </c>
      <c r="N46" s="108">
        <f t="shared" si="50"/>
        <v>3.4128376076518481</v>
      </c>
      <c r="O46" s="108">
        <f t="shared" si="50"/>
        <v>3.4249463902787705</v>
      </c>
      <c r="P46" s="108">
        <f t="shared" si="50"/>
        <v>3.390976267453512</v>
      </c>
      <c r="Q46" s="109">
        <f t="shared" si="50"/>
        <v>3.3569476483722775</v>
      </c>
      <c r="R46" s="101"/>
      <c r="S46" s="106">
        <f>J46</f>
        <v>120</v>
      </c>
      <c r="T46" s="107">
        <f>SLOPE(B10:B12,A10:A12)*S46+INTERCEPT(B10:B12,A10:A12)</f>
        <v>0.52739382239382249</v>
      </c>
      <c r="U46" s="110">
        <f>((U$20*(100%-$T46))+(U$21*$T46))/100%</f>
        <v>5.3999999999999994E-3</v>
      </c>
      <c r="V46" s="110">
        <f t="shared" ref="V46:Z46" si="51">((V$20*(100%-$T46))+(V$21*$T46))/100%</f>
        <v>5.5999999999999999E-3</v>
      </c>
      <c r="W46" s="110">
        <f t="shared" si="51"/>
        <v>6.1000000000000004E-3</v>
      </c>
      <c r="X46" s="110">
        <f t="shared" si="51"/>
        <v>6.8787238366185728E-3</v>
      </c>
      <c r="Y46" s="110">
        <f t="shared" si="51"/>
        <v>7.4787238366185727E-3</v>
      </c>
      <c r="Z46" s="111">
        <f t="shared" si="51"/>
        <v>8.0999999999999996E-3</v>
      </c>
    </row>
    <row r="47" spans="1:44" x14ac:dyDescent="0.55000000000000004">
      <c r="G47" s="100"/>
      <c r="K47" s="112"/>
      <c r="R47" s="101"/>
    </row>
    <row r="55" spans="45:45" x14ac:dyDescent="0.55000000000000004">
      <c r="AS55" s="102"/>
    </row>
    <row r="193" spans="47:47" x14ac:dyDescent="0.55000000000000004">
      <c r="AU193" s="100"/>
    </row>
    <row r="194" spans="47:47" x14ac:dyDescent="0.55000000000000004">
      <c r="AU194" s="100"/>
    </row>
    <row r="195" spans="47:47" x14ac:dyDescent="0.55000000000000004">
      <c r="AU195" s="100"/>
    </row>
    <row r="196" spans="47:47" x14ac:dyDescent="0.55000000000000004">
      <c r="AU196" s="100"/>
    </row>
    <row r="197" spans="47:47" x14ac:dyDescent="0.55000000000000004">
      <c r="AU197" s="100"/>
    </row>
    <row r="198" spans="47:47" x14ac:dyDescent="0.55000000000000004">
      <c r="AU198" s="100"/>
    </row>
    <row r="199" spans="47:47" x14ac:dyDescent="0.55000000000000004">
      <c r="AU199" s="100"/>
    </row>
    <row r="200" spans="47:47" x14ac:dyDescent="0.55000000000000004">
      <c r="AU200" s="100"/>
    </row>
    <row r="201" spans="47:47" x14ac:dyDescent="0.55000000000000004">
      <c r="AU201" s="100"/>
    </row>
    <row r="202" spans="47:47" x14ac:dyDescent="0.55000000000000004">
      <c r="AU202" s="100"/>
    </row>
    <row r="203" spans="47:47" x14ac:dyDescent="0.55000000000000004">
      <c r="AU203" s="100"/>
    </row>
    <row r="204" spans="47:47" x14ac:dyDescent="0.55000000000000004">
      <c r="AU204" s="100"/>
    </row>
    <row r="205" spans="47:47" x14ac:dyDescent="0.55000000000000004">
      <c r="AU205" s="100"/>
    </row>
    <row r="206" spans="47:47" x14ac:dyDescent="0.55000000000000004">
      <c r="AU206" s="100"/>
    </row>
    <row r="207" spans="47:47" x14ac:dyDescent="0.55000000000000004">
      <c r="AU207" s="100"/>
    </row>
    <row r="208" spans="47:47" x14ac:dyDescent="0.55000000000000004">
      <c r="AU208" s="100"/>
    </row>
    <row r="209" spans="47:47" x14ac:dyDescent="0.55000000000000004">
      <c r="AU209" s="100"/>
    </row>
    <row r="210" spans="47:47" x14ac:dyDescent="0.55000000000000004">
      <c r="AU210" s="100"/>
    </row>
    <row r="211" spans="47:47" x14ac:dyDescent="0.55000000000000004">
      <c r="AU211" s="100"/>
    </row>
    <row r="212" spans="47:47" x14ac:dyDescent="0.55000000000000004">
      <c r="AU212" s="100"/>
    </row>
    <row r="213" spans="47:47" x14ac:dyDescent="0.55000000000000004">
      <c r="AU213" s="100"/>
    </row>
    <row r="214" spans="47:47" x14ac:dyDescent="0.55000000000000004">
      <c r="AU214" s="100"/>
    </row>
    <row r="215" spans="47:47" x14ac:dyDescent="0.55000000000000004">
      <c r="AU215" s="100"/>
    </row>
    <row r="216" spans="47:47" x14ac:dyDescent="0.55000000000000004">
      <c r="AU216" s="100"/>
    </row>
    <row r="217" spans="47:47" x14ac:dyDescent="0.55000000000000004">
      <c r="AU217" s="100"/>
    </row>
    <row r="218" spans="47:47" x14ac:dyDescent="0.55000000000000004">
      <c r="AU218" s="100"/>
    </row>
    <row r="219" spans="47:47" x14ac:dyDescent="0.55000000000000004">
      <c r="AU219" s="100"/>
    </row>
    <row r="220" spans="47:47" x14ac:dyDescent="0.55000000000000004">
      <c r="AU220" s="100"/>
    </row>
    <row r="221" spans="47:47" x14ac:dyDescent="0.55000000000000004">
      <c r="AU221" s="100"/>
    </row>
    <row r="222" spans="47:47" x14ac:dyDescent="0.55000000000000004">
      <c r="AU222" s="100"/>
    </row>
    <row r="223" spans="47:47" x14ac:dyDescent="0.55000000000000004">
      <c r="AU223" s="100"/>
    </row>
    <row r="224" spans="47:47" x14ac:dyDescent="0.55000000000000004">
      <c r="AU224" s="100"/>
    </row>
    <row r="225" spans="47:47" x14ac:dyDescent="0.55000000000000004">
      <c r="AU225" s="100"/>
    </row>
    <row r="226" spans="47:47" x14ac:dyDescent="0.55000000000000004">
      <c r="AU226" s="100"/>
    </row>
    <row r="227" spans="47:47" x14ac:dyDescent="0.55000000000000004">
      <c r="AU227" s="100"/>
    </row>
    <row r="228" spans="47:47" x14ac:dyDescent="0.55000000000000004">
      <c r="AU228" s="100"/>
    </row>
    <row r="229" spans="47:47" x14ac:dyDescent="0.55000000000000004">
      <c r="AU229" s="100"/>
    </row>
    <row r="230" spans="47:47" x14ac:dyDescent="0.55000000000000004">
      <c r="AU230" s="100"/>
    </row>
    <row r="231" spans="47:47" x14ac:dyDescent="0.55000000000000004">
      <c r="AU231" s="100"/>
    </row>
    <row r="232" spans="47:47" x14ac:dyDescent="0.55000000000000004">
      <c r="AU232" s="100"/>
    </row>
    <row r="233" spans="47:47" x14ac:dyDescent="0.55000000000000004">
      <c r="AU233" s="100"/>
    </row>
    <row r="234" spans="47:47" x14ac:dyDescent="0.55000000000000004">
      <c r="AU234" s="100"/>
    </row>
    <row r="235" spans="47:47" x14ac:dyDescent="0.55000000000000004">
      <c r="AU235" s="100"/>
    </row>
    <row r="236" spans="47:47" x14ac:dyDescent="0.55000000000000004">
      <c r="AU236" s="100"/>
    </row>
    <row r="237" spans="47:47" x14ac:dyDescent="0.55000000000000004">
      <c r="AU237" s="100"/>
    </row>
    <row r="238" spans="47:47" x14ac:dyDescent="0.55000000000000004">
      <c r="AU238" s="100"/>
    </row>
    <row r="239" spans="47:47" x14ac:dyDescent="0.55000000000000004">
      <c r="AU239" s="100"/>
    </row>
    <row r="240" spans="47:47" x14ac:dyDescent="0.55000000000000004">
      <c r="AU240" s="100"/>
    </row>
    <row r="241" spans="47:47" x14ac:dyDescent="0.55000000000000004">
      <c r="AU241" s="100"/>
    </row>
    <row r="242" spans="47:47" x14ac:dyDescent="0.55000000000000004">
      <c r="AU242" s="100"/>
    </row>
    <row r="243" spans="47:47" x14ac:dyDescent="0.55000000000000004">
      <c r="AU243" s="100"/>
    </row>
    <row r="244" spans="47:47" x14ac:dyDescent="0.55000000000000004">
      <c r="AU244" s="100"/>
    </row>
    <row r="245" spans="47:47" x14ac:dyDescent="0.55000000000000004">
      <c r="AU245" s="100"/>
    </row>
    <row r="246" spans="47:47" x14ac:dyDescent="0.55000000000000004">
      <c r="AU246" s="100"/>
    </row>
    <row r="247" spans="47:47" x14ac:dyDescent="0.55000000000000004">
      <c r="AU247" s="100"/>
    </row>
    <row r="248" spans="47:47" x14ac:dyDescent="0.55000000000000004">
      <c r="AU248" s="100"/>
    </row>
    <row r="249" spans="47:47" x14ac:dyDescent="0.55000000000000004">
      <c r="AU249" s="100"/>
    </row>
    <row r="250" spans="47:47" x14ac:dyDescent="0.55000000000000004">
      <c r="AU250" s="100"/>
    </row>
    <row r="251" spans="47:47" x14ac:dyDescent="0.55000000000000004">
      <c r="AU251" s="100"/>
    </row>
    <row r="252" spans="47:47" x14ac:dyDescent="0.55000000000000004">
      <c r="AU252" s="100"/>
    </row>
    <row r="253" spans="47:47" x14ac:dyDescent="0.55000000000000004">
      <c r="AU253" s="100"/>
    </row>
    <row r="254" spans="47:47" x14ac:dyDescent="0.55000000000000004">
      <c r="AU254" s="100"/>
    </row>
    <row r="255" spans="47:47" x14ac:dyDescent="0.55000000000000004">
      <c r="AU255" s="100"/>
    </row>
    <row r="256" spans="47:47" x14ac:dyDescent="0.55000000000000004">
      <c r="AU256" s="100"/>
    </row>
    <row r="257" spans="47:47" x14ac:dyDescent="0.55000000000000004">
      <c r="AU257" s="100"/>
    </row>
    <row r="258" spans="47:47" x14ac:dyDescent="0.55000000000000004">
      <c r="AU258" s="100"/>
    </row>
    <row r="259" spans="47:47" x14ac:dyDescent="0.55000000000000004">
      <c r="AU259" s="100"/>
    </row>
    <row r="260" spans="47:47" x14ac:dyDescent="0.55000000000000004">
      <c r="AU260" s="100"/>
    </row>
    <row r="261" spans="47:47" x14ac:dyDescent="0.55000000000000004">
      <c r="AU261" s="100"/>
    </row>
    <row r="262" spans="47:47" x14ac:dyDescent="0.55000000000000004">
      <c r="AU262" s="100"/>
    </row>
    <row r="263" spans="47:47" x14ac:dyDescent="0.55000000000000004">
      <c r="AU263" s="100"/>
    </row>
    <row r="264" spans="47:47" x14ac:dyDescent="0.55000000000000004">
      <c r="AU264" s="100"/>
    </row>
    <row r="265" spans="47:47" x14ac:dyDescent="0.55000000000000004">
      <c r="AU265" s="100"/>
    </row>
    <row r="266" spans="47:47" x14ac:dyDescent="0.55000000000000004">
      <c r="AU266" s="100"/>
    </row>
    <row r="267" spans="47:47" x14ac:dyDescent="0.55000000000000004">
      <c r="AU267" s="100"/>
    </row>
    <row r="268" spans="47:47" x14ac:dyDescent="0.55000000000000004">
      <c r="AU268" s="100"/>
    </row>
    <row r="269" spans="47:47" x14ac:dyDescent="0.55000000000000004">
      <c r="AU269" s="100"/>
    </row>
    <row r="270" spans="47:47" x14ac:dyDescent="0.55000000000000004">
      <c r="AU270" s="100"/>
    </row>
    <row r="271" spans="47:47" x14ac:dyDescent="0.55000000000000004">
      <c r="AU271" s="100"/>
    </row>
    <row r="272" spans="47:47" x14ac:dyDescent="0.55000000000000004">
      <c r="AU272" s="100"/>
    </row>
    <row r="273" spans="47:47" x14ac:dyDescent="0.55000000000000004">
      <c r="AU273" s="100"/>
    </row>
    <row r="274" spans="47:47" x14ac:dyDescent="0.55000000000000004">
      <c r="AU274" s="100"/>
    </row>
    <row r="275" spans="47:47" x14ac:dyDescent="0.55000000000000004">
      <c r="AU275" s="100"/>
    </row>
    <row r="276" spans="47:47" x14ac:dyDescent="0.55000000000000004">
      <c r="AU276" s="100"/>
    </row>
    <row r="277" spans="47:47" x14ac:dyDescent="0.55000000000000004">
      <c r="AU277" s="100"/>
    </row>
    <row r="278" spans="47:47" x14ac:dyDescent="0.55000000000000004">
      <c r="AU278" s="100"/>
    </row>
    <row r="279" spans="47:47" x14ac:dyDescent="0.55000000000000004">
      <c r="AU279" s="100"/>
    </row>
    <row r="280" spans="47:47" x14ac:dyDescent="0.55000000000000004">
      <c r="AU280" s="100"/>
    </row>
    <row r="281" spans="47:47" x14ac:dyDescent="0.55000000000000004">
      <c r="AU281" s="100"/>
    </row>
    <row r="282" spans="47:47" x14ac:dyDescent="0.55000000000000004">
      <c r="AU282" s="100"/>
    </row>
    <row r="283" spans="47:47" x14ac:dyDescent="0.55000000000000004">
      <c r="AU283" s="100"/>
    </row>
    <row r="284" spans="47:47" x14ac:dyDescent="0.55000000000000004">
      <c r="AU284" s="100"/>
    </row>
    <row r="285" spans="47:47" x14ac:dyDescent="0.55000000000000004">
      <c r="AU285" s="100"/>
    </row>
    <row r="286" spans="47:47" x14ac:dyDescent="0.55000000000000004">
      <c r="AU286" s="100"/>
    </row>
    <row r="287" spans="47:47" x14ac:dyDescent="0.55000000000000004">
      <c r="AU287" s="100"/>
    </row>
    <row r="288" spans="47:47" x14ac:dyDescent="0.55000000000000004">
      <c r="AU288" s="100"/>
    </row>
    <row r="289" spans="47:47" x14ac:dyDescent="0.55000000000000004">
      <c r="AU289" s="100"/>
    </row>
    <row r="290" spans="47:47" x14ac:dyDescent="0.55000000000000004">
      <c r="AU290" s="100"/>
    </row>
    <row r="291" spans="47:47" x14ac:dyDescent="0.55000000000000004">
      <c r="AU291" s="100"/>
    </row>
    <row r="292" spans="47:47" x14ac:dyDescent="0.55000000000000004">
      <c r="AU292" s="100"/>
    </row>
  </sheetData>
  <protectedRanges>
    <protectedRange sqref="S1:Z3 AC27:AC30" name="Range1"/>
  </protectedRanges>
  <mergeCells count="37">
    <mergeCell ref="A2:B2"/>
    <mergeCell ref="E2:G2"/>
    <mergeCell ref="J2:L2"/>
    <mergeCell ref="AB2:AC2"/>
    <mergeCell ref="AK2:AL2"/>
    <mergeCell ref="Y1:Z3"/>
    <mergeCell ref="S1:X3"/>
    <mergeCell ref="A1:B1"/>
    <mergeCell ref="E1:G1"/>
    <mergeCell ref="J1:L1"/>
    <mergeCell ref="AB1:AI1"/>
    <mergeCell ref="AK1:AR1"/>
    <mergeCell ref="AL3:AL7"/>
    <mergeCell ref="A4:B4"/>
    <mergeCell ref="A6:H7"/>
    <mergeCell ref="AB6:AI6"/>
    <mergeCell ref="AC7:AC10"/>
    <mergeCell ref="A8:H8"/>
    <mergeCell ref="AL8:AL12"/>
    <mergeCell ref="A3:B3"/>
    <mergeCell ref="E3:G3"/>
    <mergeCell ref="AC3:AC5"/>
    <mergeCell ref="AB26:AC26"/>
    <mergeCell ref="A44:H44"/>
    <mergeCell ref="J44:Q44"/>
    <mergeCell ref="S44:Z44"/>
    <mergeCell ref="AL13:AL17"/>
    <mergeCell ref="A14:H14"/>
    <mergeCell ref="AL18:AL22"/>
    <mergeCell ref="A20:B20"/>
    <mergeCell ref="S20:T20"/>
    <mergeCell ref="A21:B21"/>
    <mergeCell ref="S21:T21"/>
    <mergeCell ref="A23:H23"/>
    <mergeCell ref="J23:Q23"/>
    <mergeCell ref="S23:Z23"/>
    <mergeCell ref="AB25:AI25"/>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18F990B-4933-402E-B3B3-C8B402C982D5}">
          <x14:formula1>
            <xm:f>'Material Database'!$BI$3:$BI$10</xm:f>
          </x14:formula1>
          <xm:sqref>Y1</xm:sqref>
        </x14:dataValidation>
        <x14:dataValidation type="list" allowBlank="1" showInputMessage="1" showErrorMessage="1" xr:uid="{171E7F59-BB74-4D1E-AB02-584D30E9DEE6}">
          <x14:formula1>
            <xm:f>'Material Database'!$A3:$A999</xm:f>
          </x14:formula1>
          <xm:sqref>S1:X3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B2D72-E805-4F17-97F3-D604517C9D5F}">
  <sheetPr>
    <tabColor theme="0" tint="-4.9989318521683403E-2"/>
  </sheetPr>
  <dimension ref="A1:BJ313"/>
  <sheetViews>
    <sheetView zoomScale="81" workbookViewId="0">
      <selection activeCell="K5" sqref="K5"/>
    </sheetView>
  </sheetViews>
  <sheetFormatPr defaultRowHeight="14.4" x14ac:dyDescent="0.55000000000000004"/>
  <cols>
    <col min="1" max="1" width="34.734375" style="1" bestFit="1" customWidth="1"/>
    <col min="2" max="2" width="14.5234375" style="1" customWidth="1"/>
    <col min="3" max="3" width="14.41796875" style="1" bestFit="1" customWidth="1"/>
    <col min="4" max="4" width="13.3671875" style="1" bestFit="1" customWidth="1"/>
    <col min="5" max="5" width="12.15625" style="1" bestFit="1" customWidth="1"/>
    <col min="6" max="6" width="8.83984375" style="89"/>
    <col min="7" max="7" width="16" style="1" bestFit="1" customWidth="1"/>
    <col min="8" max="8" width="16.68359375" style="1" customWidth="1"/>
    <col min="9" max="9" width="12.41796875" style="1" bestFit="1" customWidth="1"/>
    <col min="10" max="10" width="12.9453125" style="1" bestFit="1" customWidth="1"/>
    <col min="11" max="11" width="11.5234375" style="1" bestFit="1" customWidth="1"/>
    <col min="12" max="12" width="10.578125" style="1" bestFit="1" customWidth="1"/>
    <col min="13" max="13" width="11.89453125" style="1" bestFit="1" customWidth="1"/>
    <col min="14" max="14" width="11.89453125" style="1" customWidth="1"/>
    <col min="15" max="18" width="11.89453125" style="1" bestFit="1" customWidth="1"/>
    <col min="19" max="21" width="9" style="1" bestFit="1" customWidth="1"/>
    <col min="22" max="24" width="9.26171875" style="1" bestFit="1" customWidth="1"/>
    <col min="25" max="60" width="8.83984375" style="1"/>
    <col min="61" max="61" width="25.47265625" style="1" bestFit="1" customWidth="1"/>
    <col min="62" max="62" width="11.68359375" style="1" bestFit="1" customWidth="1"/>
    <col min="63" max="16384" width="8.83984375" style="1"/>
  </cols>
  <sheetData>
    <row r="1" spans="1:62" s="48" customFormat="1" ht="14.7" thickBot="1" x14ac:dyDescent="0.6">
      <c r="B1" s="215" t="s">
        <v>131</v>
      </c>
      <c r="C1" s="216"/>
      <c r="D1" s="216"/>
      <c r="E1" s="216"/>
      <c r="F1" s="217"/>
      <c r="G1" s="50" t="s">
        <v>132</v>
      </c>
      <c r="H1" s="212" t="s">
        <v>134</v>
      </c>
      <c r="I1" s="213"/>
      <c r="J1" s="213"/>
      <c r="K1" s="214"/>
      <c r="L1" s="212" t="s">
        <v>135</v>
      </c>
      <c r="M1" s="213"/>
      <c r="N1" s="213"/>
      <c r="O1" s="213"/>
      <c r="P1" s="213"/>
      <c r="Q1" s="214"/>
      <c r="R1" s="212" t="s">
        <v>136</v>
      </c>
      <c r="S1" s="213"/>
      <c r="T1" s="214"/>
      <c r="U1" s="212" t="s">
        <v>137</v>
      </c>
      <c r="V1" s="213"/>
      <c r="W1" s="214"/>
      <c r="X1" s="212" t="s">
        <v>138</v>
      </c>
      <c r="Y1" s="213"/>
      <c r="Z1" s="213"/>
      <c r="AA1" s="213"/>
      <c r="AB1" s="213"/>
      <c r="AC1" s="214"/>
      <c r="AD1" s="212" t="s">
        <v>139</v>
      </c>
      <c r="AE1" s="213"/>
      <c r="AF1" s="213"/>
      <c r="AG1" s="213"/>
      <c r="AH1" s="213"/>
      <c r="AI1" s="214"/>
      <c r="AJ1" s="212" t="s">
        <v>140</v>
      </c>
      <c r="AK1" s="213"/>
      <c r="AL1" s="213"/>
      <c r="AM1" s="213"/>
      <c r="AN1" s="213"/>
      <c r="AO1" s="214"/>
      <c r="AP1" s="212" t="s">
        <v>143</v>
      </c>
      <c r="AQ1" s="213"/>
      <c r="AR1" s="213"/>
      <c r="AS1" s="213"/>
      <c r="AT1" s="213"/>
      <c r="AU1" s="214"/>
      <c r="AV1" s="212" t="s">
        <v>142</v>
      </c>
      <c r="AW1" s="213"/>
      <c r="AX1" s="213"/>
      <c r="AY1" s="213"/>
      <c r="AZ1" s="213"/>
      <c r="BA1" s="214"/>
      <c r="BB1" s="212" t="s">
        <v>141</v>
      </c>
      <c r="BC1" s="213"/>
      <c r="BD1" s="213"/>
      <c r="BE1" s="213"/>
      <c r="BF1" s="213"/>
      <c r="BG1" s="214"/>
      <c r="BJ1" s="88" t="s">
        <v>153</v>
      </c>
    </row>
    <row r="2" spans="1:62" s="48" customFormat="1" ht="14.4" customHeight="1" thickBot="1" x14ac:dyDescent="0.6">
      <c r="A2" s="48" t="s">
        <v>70</v>
      </c>
      <c r="B2" s="51" t="s">
        <v>127</v>
      </c>
      <c r="C2" s="52" t="s">
        <v>128</v>
      </c>
      <c r="D2" s="53" t="s">
        <v>129</v>
      </c>
      <c r="E2" s="53" t="s">
        <v>130</v>
      </c>
      <c r="F2" s="47" t="s">
        <v>133</v>
      </c>
      <c r="G2" s="47" t="s">
        <v>88</v>
      </c>
      <c r="H2" s="49" t="s">
        <v>90</v>
      </c>
      <c r="I2" s="49" t="s">
        <v>89</v>
      </c>
      <c r="J2" s="49" t="s">
        <v>71</v>
      </c>
      <c r="K2" s="49" t="s">
        <v>72</v>
      </c>
      <c r="L2" s="47" t="s">
        <v>73</v>
      </c>
      <c r="M2" s="47" t="s">
        <v>74</v>
      </c>
      <c r="N2" s="47" t="s">
        <v>75</v>
      </c>
      <c r="O2" s="47" t="s">
        <v>76</v>
      </c>
      <c r="P2" s="47" t="s">
        <v>77</v>
      </c>
      <c r="Q2" s="47" t="s">
        <v>78</v>
      </c>
      <c r="R2" s="48" t="s">
        <v>79</v>
      </c>
      <c r="S2" s="48" t="s">
        <v>80</v>
      </c>
      <c r="T2" s="48" t="s">
        <v>81</v>
      </c>
      <c r="U2" s="48" t="s">
        <v>82</v>
      </c>
      <c r="V2" s="48" t="s">
        <v>83</v>
      </c>
      <c r="W2" s="48" t="s">
        <v>84</v>
      </c>
      <c r="X2" s="48" t="s">
        <v>91</v>
      </c>
      <c r="Y2" s="48" t="s">
        <v>92</v>
      </c>
      <c r="Z2" s="48" t="s">
        <v>93</v>
      </c>
      <c r="AA2" s="48" t="s">
        <v>94</v>
      </c>
      <c r="AB2" s="48" t="s">
        <v>95</v>
      </c>
      <c r="AC2" s="48" t="s">
        <v>96</v>
      </c>
      <c r="AD2" s="48" t="s">
        <v>97</v>
      </c>
      <c r="AE2" s="48" t="s">
        <v>98</v>
      </c>
      <c r="AF2" s="48" t="s">
        <v>99</v>
      </c>
      <c r="AG2" s="48" t="s">
        <v>100</v>
      </c>
      <c r="AH2" s="48" t="s">
        <v>101</v>
      </c>
      <c r="AI2" s="48" t="s">
        <v>102</v>
      </c>
      <c r="AJ2" s="48" t="s">
        <v>103</v>
      </c>
      <c r="AK2" s="48" t="s">
        <v>104</v>
      </c>
      <c r="AL2" s="48" t="s">
        <v>105</v>
      </c>
      <c r="AM2" s="48" t="s">
        <v>106</v>
      </c>
      <c r="AN2" s="48" t="s">
        <v>108</v>
      </c>
      <c r="AO2" s="48" t="s">
        <v>107</v>
      </c>
      <c r="AP2" s="48" t="s">
        <v>111</v>
      </c>
      <c r="AQ2" s="48" t="s">
        <v>109</v>
      </c>
      <c r="AR2" s="48" t="s">
        <v>110</v>
      </c>
      <c r="AS2" s="48" t="s">
        <v>112</v>
      </c>
      <c r="AT2" s="48" t="s">
        <v>113</v>
      </c>
      <c r="AU2" s="48" t="s">
        <v>114</v>
      </c>
      <c r="AV2" s="48" t="s">
        <v>115</v>
      </c>
      <c r="AW2" s="48" t="s">
        <v>116</v>
      </c>
      <c r="AX2" s="48" t="s">
        <v>117</v>
      </c>
      <c r="AY2" s="48" t="s">
        <v>118</v>
      </c>
      <c r="AZ2" s="48" t="s">
        <v>119</v>
      </c>
      <c r="BA2" s="48" t="s">
        <v>120</v>
      </c>
      <c r="BB2" s="48" t="s">
        <v>121</v>
      </c>
      <c r="BC2" s="48" t="s">
        <v>122</v>
      </c>
      <c r="BD2" s="48" t="s">
        <v>123</v>
      </c>
      <c r="BE2" s="48" t="s">
        <v>124</v>
      </c>
      <c r="BF2" s="48" t="s">
        <v>125</v>
      </c>
      <c r="BG2" s="48" t="s">
        <v>126</v>
      </c>
      <c r="BI2" s="48" t="s">
        <v>149</v>
      </c>
      <c r="BJ2" s="47" t="s">
        <v>133</v>
      </c>
    </row>
    <row r="3" spans="1:62" s="2" customFormat="1" ht="14.7" thickBot="1" x14ac:dyDescent="0.6">
      <c r="A3" s="56" t="s">
        <v>158</v>
      </c>
      <c r="B3" s="57">
        <f>((4.38-4.202)/4.272)/(100-(-40))</f>
        <v>2.9761904761904748E-4</v>
      </c>
      <c r="C3" s="67">
        <f>((0.01643-0.008879)/0.01168)/(100-(-40))</f>
        <v>4.6177837573385524E-3</v>
      </c>
      <c r="D3" s="58">
        <v>4.0400000000000002E-3</v>
      </c>
      <c r="E3" s="58">
        <v>59600000</v>
      </c>
      <c r="F3" s="90" t="s">
        <v>157</v>
      </c>
      <c r="G3" s="59">
        <v>20</v>
      </c>
      <c r="H3" s="59">
        <v>155</v>
      </c>
      <c r="I3" s="59">
        <v>17</v>
      </c>
      <c r="J3" s="59">
        <v>115</v>
      </c>
      <c r="K3" s="59">
        <v>150</v>
      </c>
      <c r="L3" s="60">
        <v>1</v>
      </c>
      <c r="M3" s="59">
        <v>2</v>
      </c>
      <c r="N3" s="59">
        <v>5</v>
      </c>
      <c r="O3" s="60">
        <v>10</v>
      </c>
      <c r="P3" s="60">
        <v>16</v>
      </c>
      <c r="Q3" s="59">
        <v>20</v>
      </c>
      <c r="R3" s="61">
        <v>155</v>
      </c>
      <c r="S3" s="61">
        <v>154</v>
      </c>
      <c r="T3" s="61">
        <v>153</v>
      </c>
      <c r="U3" s="62">
        <v>0.5</v>
      </c>
      <c r="V3" s="62">
        <v>0.501</v>
      </c>
      <c r="W3" s="62">
        <v>0.502</v>
      </c>
      <c r="X3" s="63">
        <v>4.2720000000000002</v>
      </c>
      <c r="Y3" s="63">
        <v>4.2489999999999997</v>
      </c>
      <c r="Z3" s="63">
        <v>4.218</v>
      </c>
      <c r="AA3" s="63">
        <v>4.1920000000000002</v>
      </c>
      <c r="AB3" s="63">
        <v>4.1749999999999998</v>
      </c>
      <c r="AC3" s="63">
        <v>4.165</v>
      </c>
      <c r="AD3" s="63">
        <f>Table1[[#This Row],[DK11]]</f>
        <v>4.2720000000000002</v>
      </c>
      <c r="AE3" s="63">
        <f>Table1[[#This Row],[DK12]]</f>
        <v>4.2489999999999997</v>
      </c>
      <c r="AF3" s="63">
        <f>Table1[[#This Row],[DK13]]</f>
        <v>4.218</v>
      </c>
      <c r="AG3" s="63">
        <f>Table1[[#This Row],[DK14]]</f>
        <v>4.1920000000000002</v>
      </c>
      <c r="AH3" s="63">
        <f>Table1[[#This Row],[DK15]]</f>
        <v>4.1749999999999998</v>
      </c>
      <c r="AI3" s="63">
        <f>Table1[[#This Row],[DK16]]</f>
        <v>4.165</v>
      </c>
      <c r="AJ3" s="63">
        <f>Table1[[#This Row],[DK11]]</f>
        <v>4.2720000000000002</v>
      </c>
      <c r="AK3" s="63">
        <f>Table1[[#This Row],[DK12]]</f>
        <v>4.2489999999999997</v>
      </c>
      <c r="AL3" s="63">
        <f>Table1[[#This Row],[DK13]]</f>
        <v>4.218</v>
      </c>
      <c r="AM3" s="63">
        <f>Table1[[#This Row],[DK14]]</f>
        <v>4.1920000000000002</v>
      </c>
      <c r="AN3" s="63">
        <f>Table1[[#This Row],[DK15]]</f>
        <v>4.1749999999999998</v>
      </c>
      <c r="AO3" s="63">
        <f>Table1[[#This Row],[DK16]]</f>
        <v>4.165</v>
      </c>
      <c r="AP3" s="64">
        <v>9.6799999999999994E-3</v>
      </c>
      <c r="AQ3" s="64">
        <v>1.0319999999999999E-2</v>
      </c>
      <c r="AR3" s="64">
        <v>1.1169999999999999E-2</v>
      </c>
      <c r="AS3" s="64">
        <v>1.1809999999999999E-2</v>
      </c>
      <c r="AT3" s="64">
        <v>1.223E-2</v>
      </c>
      <c r="AU3" s="64">
        <v>1.2500000000000001E-2</v>
      </c>
      <c r="AV3" s="64">
        <f>Table1[[#This Row],[DF11]]</f>
        <v>9.6799999999999994E-3</v>
      </c>
      <c r="AW3" s="64">
        <f>Table1[[#This Row],[DF12]]</f>
        <v>1.0319999999999999E-2</v>
      </c>
      <c r="AX3" s="64">
        <f>Table1[[#This Row],[DF13]]</f>
        <v>1.1169999999999999E-2</v>
      </c>
      <c r="AY3" s="64">
        <f>Table1[[#This Row],[DF14]]</f>
        <v>1.1809999999999999E-2</v>
      </c>
      <c r="AZ3" s="64">
        <f>Table1[[#This Row],[DF15]]</f>
        <v>1.223E-2</v>
      </c>
      <c r="BA3" s="64">
        <f>Table1[[#This Row],[DF16]]</f>
        <v>1.2500000000000001E-2</v>
      </c>
      <c r="BB3" s="64">
        <f>Table1[[#This Row],[DF11]]</f>
        <v>9.6799999999999994E-3</v>
      </c>
      <c r="BC3" s="64">
        <f>Table1[[#This Row],[DF12]]</f>
        <v>1.0319999999999999E-2</v>
      </c>
      <c r="BD3" s="64">
        <f>Table1[[#This Row],[DF13]]</f>
        <v>1.1169999999999999E-2</v>
      </c>
      <c r="BE3" s="64">
        <f>Table1[[#This Row],[DF14]]</f>
        <v>1.1809999999999999E-2</v>
      </c>
      <c r="BF3" s="64">
        <f>Table1[[#This Row],[DF15]]</f>
        <v>1.223E-2</v>
      </c>
      <c r="BG3" s="64">
        <f>Table1[[#This Row],[DF16]]</f>
        <v>1.2500000000000001E-2</v>
      </c>
      <c r="BI3" s="66" t="s">
        <v>154</v>
      </c>
      <c r="BJ3" s="69">
        <f>6*1.1/7.6</f>
        <v>0.86842105263157909</v>
      </c>
    </row>
    <row r="4" spans="1:62" s="2" customFormat="1" x14ac:dyDescent="0.55000000000000004">
      <c r="A4" s="56" t="s">
        <v>85</v>
      </c>
      <c r="B4" s="57">
        <f>((3.733-3.8613)/3.74758)/(60-(-40))</f>
        <v>-3.4235426595296127E-4</v>
      </c>
      <c r="C4" s="57">
        <f>((0.02559-0.011038)/0.020222)/(60-(-40))</f>
        <v>7.1961230343190593E-3</v>
      </c>
      <c r="D4" s="58">
        <v>4.0400000000000002E-3</v>
      </c>
      <c r="E4" s="58">
        <v>59600000</v>
      </c>
      <c r="F4" s="90" t="s">
        <v>157</v>
      </c>
      <c r="G4" s="59">
        <v>25</v>
      </c>
      <c r="H4" s="59">
        <v>120</v>
      </c>
      <c r="I4" s="59">
        <v>17</v>
      </c>
      <c r="J4" s="59">
        <v>100</v>
      </c>
      <c r="K4" s="59">
        <v>120</v>
      </c>
      <c r="L4" s="60">
        <v>1</v>
      </c>
      <c r="M4" s="59">
        <v>3</v>
      </c>
      <c r="N4" s="59">
        <v>5</v>
      </c>
      <c r="O4" s="60">
        <v>10</v>
      </c>
      <c r="P4" s="60">
        <v>15</v>
      </c>
      <c r="Q4" s="59">
        <v>20</v>
      </c>
      <c r="R4" s="61">
        <v>122</v>
      </c>
      <c r="S4" s="61">
        <v>127</v>
      </c>
      <c r="T4" s="61">
        <v>140</v>
      </c>
      <c r="U4" s="62">
        <v>0.53</v>
      </c>
      <c r="V4" s="62">
        <v>0.55000000000000004</v>
      </c>
      <c r="W4" s="62">
        <v>0.57999999999999996</v>
      </c>
      <c r="X4" s="63">
        <v>4.05</v>
      </c>
      <c r="Y4" s="63">
        <v>4.04</v>
      </c>
      <c r="Z4" s="63">
        <v>4.01</v>
      </c>
      <c r="AA4" s="63">
        <v>3.96</v>
      </c>
      <c r="AB4" s="63">
        <v>3.93</v>
      </c>
      <c r="AC4" s="63">
        <v>3.9</v>
      </c>
      <c r="AD4" s="63">
        <v>3.98</v>
      </c>
      <c r="AE4" s="63">
        <v>3.97</v>
      </c>
      <c r="AF4" s="63">
        <v>3.94</v>
      </c>
      <c r="AG4" s="63">
        <v>3.9</v>
      </c>
      <c r="AH4" s="63">
        <v>3.87</v>
      </c>
      <c r="AI4" s="63">
        <v>3.84</v>
      </c>
      <c r="AJ4" s="63">
        <v>3.89</v>
      </c>
      <c r="AK4" s="63">
        <v>3.88</v>
      </c>
      <c r="AL4" s="63">
        <v>3.85</v>
      </c>
      <c r="AM4" s="63">
        <v>3.81</v>
      </c>
      <c r="AN4" s="63">
        <v>3.78</v>
      </c>
      <c r="AO4" s="63">
        <v>3.75</v>
      </c>
      <c r="AP4" s="64">
        <v>5.4000000000000003E-3</v>
      </c>
      <c r="AQ4" s="64">
        <v>5.5999999999999999E-3</v>
      </c>
      <c r="AR4" s="64">
        <v>6.1000000000000004E-3</v>
      </c>
      <c r="AS4" s="64">
        <v>6.8999999999999999E-3</v>
      </c>
      <c r="AT4" s="64">
        <v>7.4999999999999997E-3</v>
      </c>
      <c r="AU4" s="64">
        <v>8.0999999999999996E-3</v>
      </c>
      <c r="AV4" s="64">
        <v>5.4000000000000003E-3</v>
      </c>
      <c r="AW4" s="64">
        <v>5.5999999999999999E-3</v>
      </c>
      <c r="AX4" s="64">
        <v>6.1000000000000004E-3</v>
      </c>
      <c r="AY4" s="64">
        <v>6.8999999999999999E-3</v>
      </c>
      <c r="AZ4" s="64">
        <v>7.4999999999999997E-3</v>
      </c>
      <c r="BA4" s="64">
        <v>8.0999999999999996E-3</v>
      </c>
      <c r="BB4" s="64">
        <v>5.4000000000000003E-3</v>
      </c>
      <c r="BC4" s="64">
        <v>5.5999999999999999E-3</v>
      </c>
      <c r="BD4" s="64">
        <v>6.1000000000000004E-3</v>
      </c>
      <c r="BE4" s="64">
        <v>7.0000000000000001E-3</v>
      </c>
      <c r="BF4" s="64">
        <v>7.6E-3</v>
      </c>
      <c r="BG4" s="65">
        <v>8.0999999999999996E-3</v>
      </c>
      <c r="BI4" s="66" t="s">
        <v>151</v>
      </c>
      <c r="BJ4" s="69">
        <f>4*1.1/7.6</f>
        <v>0.57894736842105265</v>
      </c>
    </row>
    <row r="5" spans="1:62" s="2" customFormat="1" x14ac:dyDescent="0.55000000000000004">
      <c r="A5" s="66" t="s">
        <v>86</v>
      </c>
      <c r="B5" s="67">
        <f>((3.29-3.26)/3.276)/(80-(-40))</f>
        <v>7.6312576312576949E-5</v>
      </c>
      <c r="C5" s="67">
        <f>((0.004-0.0024)/0.0035)/(80-(-40))</f>
        <v>3.8095238095238104E-3</v>
      </c>
      <c r="D5" s="68">
        <v>4.0400000000000002E-3</v>
      </c>
      <c r="E5" s="68">
        <v>59600000</v>
      </c>
      <c r="F5" s="91" t="s">
        <v>157</v>
      </c>
      <c r="G5" s="69">
        <v>25</v>
      </c>
      <c r="H5" s="69">
        <v>152</v>
      </c>
      <c r="I5" s="69">
        <v>17</v>
      </c>
      <c r="J5" s="69">
        <v>120</v>
      </c>
      <c r="K5" s="69">
        <v>100</v>
      </c>
      <c r="L5" s="70">
        <v>1</v>
      </c>
      <c r="M5" s="71">
        <v>2</v>
      </c>
      <c r="N5" s="70">
        <v>5</v>
      </c>
      <c r="O5" s="70">
        <v>10</v>
      </c>
      <c r="P5" s="70">
        <v>15</v>
      </c>
      <c r="Q5" s="70">
        <v>20</v>
      </c>
      <c r="R5" s="72">
        <v>127</v>
      </c>
      <c r="S5" s="72">
        <v>139.69999999999999</v>
      </c>
      <c r="T5" s="72">
        <v>177.8</v>
      </c>
      <c r="U5" s="73">
        <v>0.6</v>
      </c>
      <c r="V5" s="73">
        <v>0.63</v>
      </c>
      <c r="W5" s="73">
        <v>0.70499999999999996</v>
      </c>
      <c r="X5" s="74">
        <v>3.19</v>
      </c>
      <c r="Y5" s="74">
        <v>3.19</v>
      </c>
      <c r="Z5" s="74">
        <v>3.19</v>
      </c>
      <c r="AA5" s="74">
        <v>3.19</v>
      </c>
      <c r="AB5" s="74">
        <v>3.19</v>
      </c>
      <c r="AC5" s="74">
        <v>3.19</v>
      </c>
      <c r="AD5" s="74">
        <v>3.15</v>
      </c>
      <c r="AE5" s="74">
        <v>3.15</v>
      </c>
      <c r="AF5" s="74">
        <v>3.15</v>
      </c>
      <c r="AG5" s="74">
        <v>3.15</v>
      </c>
      <c r="AH5" s="74">
        <v>3.15</v>
      </c>
      <c r="AI5" s="74">
        <v>3.15</v>
      </c>
      <c r="AJ5" s="74">
        <v>3.02</v>
      </c>
      <c r="AK5" s="74">
        <v>3.02</v>
      </c>
      <c r="AL5" s="74">
        <v>3.02</v>
      </c>
      <c r="AM5" s="74">
        <v>3.02</v>
      </c>
      <c r="AN5" s="74">
        <v>3.02</v>
      </c>
      <c r="AO5" s="74">
        <v>3.01</v>
      </c>
      <c r="AP5" s="75">
        <v>2.0999999999999999E-3</v>
      </c>
      <c r="AQ5" s="75">
        <v>2.0999999999999999E-3</v>
      </c>
      <c r="AR5" s="75">
        <v>2.0999999999999999E-3</v>
      </c>
      <c r="AS5" s="75">
        <v>2.0999999999999999E-3</v>
      </c>
      <c r="AT5" s="75">
        <v>2.0999999999999999E-3</v>
      </c>
      <c r="AU5" s="75">
        <v>2.0999999999999999E-3</v>
      </c>
      <c r="AV5" s="75">
        <v>1.9E-3</v>
      </c>
      <c r="AW5" s="75">
        <v>1.9E-3</v>
      </c>
      <c r="AX5" s="75">
        <v>1.9E-3</v>
      </c>
      <c r="AY5" s="75">
        <v>1.9E-3</v>
      </c>
      <c r="AZ5" s="75">
        <v>1.9E-3</v>
      </c>
      <c r="BA5" s="75">
        <v>1.9E-3</v>
      </c>
      <c r="BB5" s="75">
        <v>1.5E-3</v>
      </c>
      <c r="BC5" s="75">
        <v>1.5E-3</v>
      </c>
      <c r="BD5" s="75">
        <v>1.5E-3</v>
      </c>
      <c r="BE5" s="75">
        <v>1.5E-3</v>
      </c>
      <c r="BF5" s="75">
        <v>1.5E-3</v>
      </c>
      <c r="BG5" s="76">
        <v>1.5E-3</v>
      </c>
      <c r="BI5" s="66" t="s">
        <v>152</v>
      </c>
      <c r="BJ5" s="69">
        <f>2.5*1.1/7.6</f>
        <v>0.36184210526315791</v>
      </c>
    </row>
    <row r="6" spans="1:62" ht="14.7" thickBot="1" x14ac:dyDescent="0.6">
      <c r="A6" s="77" t="s">
        <v>87</v>
      </c>
      <c r="B6" s="78">
        <v>0</v>
      </c>
      <c r="C6" s="78">
        <v>0</v>
      </c>
      <c r="D6" s="79">
        <v>4.0400000000000002E-3</v>
      </c>
      <c r="E6" s="79">
        <v>59600000</v>
      </c>
      <c r="F6" s="92" t="s">
        <v>157</v>
      </c>
      <c r="G6" s="80">
        <v>25</v>
      </c>
      <c r="H6" s="80">
        <v>64</v>
      </c>
      <c r="I6" s="80">
        <v>17</v>
      </c>
      <c r="J6" s="80">
        <v>55</v>
      </c>
      <c r="K6" s="80">
        <v>110</v>
      </c>
      <c r="L6" s="81">
        <v>1</v>
      </c>
      <c r="M6" s="82">
        <v>3</v>
      </c>
      <c r="N6" s="81">
        <v>5</v>
      </c>
      <c r="O6" s="81">
        <v>10</v>
      </c>
      <c r="P6" s="81">
        <v>15</v>
      </c>
      <c r="Q6" s="81">
        <v>20</v>
      </c>
      <c r="R6" s="83">
        <v>51</v>
      </c>
      <c r="S6" s="83">
        <v>64</v>
      </c>
      <c r="T6" s="83">
        <v>76</v>
      </c>
      <c r="U6" s="84">
        <v>0.67</v>
      </c>
      <c r="V6" s="84">
        <v>0.72</v>
      </c>
      <c r="W6" s="84">
        <v>0.76</v>
      </c>
      <c r="X6" s="85">
        <v>3.14</v>
      </c>
      <c r="Y6" s="85">
        <v>3.14</v>
      </c>
      <c r="Z6" s="85">
        <v>3.13</v>
      </c>
      <c r="AA6" s="85">
        <v>3.12</v>
      </c>
      <c r="AB6" s="85">
        <v>3.11</v>
      </c>
      <c r="AC6" s="85">
        <v>3.1</v>
      </c>
      <c r="AD6" s="85">
        <v>3.07</v>
      </c>
      <c r="AE6" s="85">
        <v>3.07</v>
      </c>
      <c r="AF6" s="85">
        <v>3.06</v>
      </c>
      <c r="AG6" s="85">
        <v>3.05</v>
      </c>
      <c r="AH6" s="85">
        <v>3.04</v>
      </c>
      <c r="AI6" s="85">
        <v>3.03</v>
      </c>
      <c r="AJ6" s="85">
        <v>3.02</v>
      </c>
      <c r="AK6" s="85">
        <v>3.01</v>
      </c>
      <c r="AL6" s="85">
        <v>3.01</v>
      </c>
      <c r="AM6" s="85">
        <v>3</v>
      </c>
      <c r="AN6" s="85">
        <v>2.99</v>
      </c>
      <c r="AO6" s="85">
        <v>2.99</v>
      </c>
      <c r="AP6" s="86">
        <v>1.2999999999999999E-3</v>
      </c>
      <c r="AQ6" s="86">
        <v>1.6000000000000001E-3</v>
      </c>
      <c r="AR6" s="86">
        <v>1.9E-3</v>
      </c>
      <c r="AS6" s="86">
        <v>2E-3</v>
      </c>
      <c r="AT6" s="86">
        <v>2.2000000000000001E-3</v>
      </c>
      <c r="AU6" s="86">
        <v>2.3E-3</v>
      </c>
      <c r="AV6" s="86">
        <v>1.1999999999999999E-3</v>
      </c>
      <c r="AW6" s="86">
        <v>1.5E-3</v>
      </c>
      <c r="AX6" s="86">
        <v>1.8E-3</v>
      </c>
      <c r="AY6" s="86">
        <v>2E-3</v>
      </c>
      <c r="AZ6" s="86">
        <v>2.2000000000000001E-3</v>
      </c>
      <c r="BA6" s="86">
        <v>2.3E-3</v>
      </c>
      <c r="BB6" s="86">
        <v>1.1000000000000001E-3</v>
      </c>
      <c r="BC6" s="86">
        <v>1.4E-3</v>
      </c>
      <c r="BD6" s="86">
        <v>1.6999999999999999E-3</v>
      </c>
      <c r="BE6" s="86">
        <v>1.9E-3</v>
      </c>
      <c r="BF6" s="86">
        <v>2.0999999999999999E-3</v>
      </c>
      <c r="BG6" s="87">
        <v>2.2000000000000001E-3</v>
      </c>
      <c r="BH6" s="54"/>
      <c r="BI6" s="66" t="s">
        <v>155</v>
      </c>
      <c r="BJ6" s="69">
        <f>1.5*1.1/7.6</f>
        <v>0.21710526315789477</v>
      </c>
    </row>
    <row r="7" spans="1:62" x14ac:dyDescent="0.55000000000000004">
      <c r="A7" s="54"/>
      <c r="B7" s="54"/>
      <c r="C7" s="54"/>
      <c r="D7" s="54"/>
      <c r="E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66" t="s">
        <v>156</v>
      </c>
      <c r="BJ7" s="69">
        <f>0.6*1.1/7.6</f>
        <v>8.6842105263157901E-2</v>
      </c>
    </row>
    <row r="8" spans="1:62" x14ac:dyDescent="0.55000000000000004">
      <c r="A8" s="54"/>
      <c r="B8" s="54"/>
      <c r="C8" s="54"/>
      <c r="D8" s="54"/>
      <c r="E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row>
    <row r="9" spans="1:62" x14ac:dyDescent="0.55000000000000004">
      <c r="A9" s="54"/>
      <c r="B9" s="54"/>
      <c r="C9" s="54"/>
      <c r="D9" s="54"/>
      <c r="E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row>
    <row r="10" spans="1:62" x14ac:dyDescent="0.55000000000000004">
      <c r="A10" s="54"/>
      <c r="B10" s="54"/>
      <c r="C10" s="54"/>
      <c r="D10" s="54"/>
      <c r="E10" s="54"/>
      <c r="G10" s="54"/>
      <c r="H10" s="54"/>
      <c r="I10" s="54"/>
      <c r="J10" s="55"/>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row>
    <row r="11" spans="1:62" x14ac:dyDescent="0.55000000000000004">
      <c r="A11" s="54"/>
      <c r="B11" s="54"/>
      <c r="C11" s="54"/>
      <c r="D11" s="54"/>
      <c r="E11" s="54"/>
      <c r="G11" s="54"/>
      <c r="H11" s="54"/>
      <c r="I11" s="54"/>
      <c r="J11" s="55"/>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row>
    <row r="12" spans="1:62" x14ac:dyDescent="0.55000000000000004">
      <c r="A12" s="54"/>
      <c r="B12" s="54"/>
      <c r="C12" s="54"/>
      <c r="D12" s="54"/>
      <c r="E12" s="54"/>
      <c r="G12" s="54"/>
      <c r="H12" s="54"/>
      <c r="I12" s="54"/>
      <c r="J12" s="55"/>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row>
    <row r="13" spans="1:62" x14ac:dyDescent="0.55000000000000004">
      <c r="A13" s="54"/>
      <c r="B13" s="54"/>
      <c r="C13" s="54"/>
      <c r="D13" s="54"/>
      <c r="E13" s="54"/>
      <c r="G13" s="54"/>
      <c r="H13" s="54"/>
      <c r="I13" s="54"/>
      <c r="J13" s="55"/>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H13" s="54"/>
    </row>
    <row r="14" spans="1:62" x14ac:dyDescent="0.55000000000000004">
      <c r="A14" s="54"/>
      <c r="B14" s="54"/>
      <c r="C14" s="54"/>
      <c r="D14" s="54"/>
      <c r="E14" s="54"/>
      <c r="G14" s="54"/>
      <c r="H14" s="54"/>
      <c r="I14" s="54"/>
      <c r="J14" s="55"/>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row>
    <row r="15" spans="1:62" x14ac:dyDescent="0.55000000000000004">
      <c r="A15" s="54"/>
      <c r="B15" s="54"/>
      <c r="C15" s="54"/>
      <c r="D15" s="54"/>
      <c r="E15" s="54"/>
      <c r="G15" s="54"/>
      <c r="H15" s="54"/>
      <c r="I15" s="54"/>
      <c r="J15" s="55"/>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row>
    <row r="16" spans="1:62" x14ac:dyDescent="0.55000000000000004">
      <c r="A16" s="54"/>
      <c r="B16" s="54"/>
      <c r="C16" s="54"/>
      <c r="D16" s="54"/>
      <c r="E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row>
    <row r="17" spans="1:60" x14ac:dyDescent="0.55000000000000004">
      <c r="A17" s="54"/>
      <c r="B17" s="54"/>
      <c r="C17" s="54"/>
      <c r="D17" s="54"/>
      <c r="E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row>
    <row r="18" spans="1:60" x14ac:dyDescent="0.55000000000000004">
      <c r="A18" s="54"/>
      <c r="B18" s="54"/>
      <c r="C18" s="54"/>
      <c r="D18" s="54"/>
      <c r="E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row>
    <row r="19" spans="1:60" x14ac:dyDescent="0.55000000000000004">
      <c r="A19" s="54"/>
      <c r="B19" s="54"/>
      <c r="C19" s="54"/>
      <c r="D19" s="54"/>
      <c r="E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row>
    <row r="20" spans="1:60" x14ac:dyDescent="0.55000000000000004">
      <c r="A20" s="54"/>
      <c r="B20" s="54"/>
      <c r="C20" s="54"/>
      <c r="D20" s="54"/>
      <c r="E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row>
    <row r="21" spans="1:60" x14ac:dyDescent="0.55000000000000004">
      <c r="A21" s="54"/>
      <c r="B21" s="54"/>
      <c r="C21" s="54"/>
      <c r="D21" s="54"/>
      <c r="E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row>
    <row r="22" spans="1:60" x14ac:dyDescent="0.55000000000000004">
      <c r="A22" s="54"/>
      <c r="B22" s="54"/>
      <c r="C22" s="54"/>
      <c r="D22" s="54"/>
      <c r="E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row>
    <row r="23" spans="1:60" x14ac:dyDescent="0.55000000000000004">
      <c r="A23" s="54"/>
      <c r="B23" s="54"/>
      <c r="C23" s="54"/>
      <c r="D23" s="54"/>
      <c r="E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row>
    <row r="24" spans="1:60" x14ac:dyDescent="0.55000000000000004">
      <c r="A24" s="54"/>
      <c r="B24" s="54"/>
      <c r="C24" s="54"/>
      <c r="D24" s="54"/>
      <c r="E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row>
    <row r="25" spans="1:60" x14ac:dyDescent="0.55000000000000004">
      <c r="A25" s="54"/>
      <c r="B25" s="54"/>
      <c r="C25" s="54"/>
      <c r="D25" s="54"/>
      <c r="E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row>
    <row r="26" spans="1:60" x14ac:dyDescent="0.55000000000000004">
      <c r="A26" s="54"/>
      <c r="B26" s="54"/>
      <c r="C26" s="54"/>
      <c r="D26" s="54"/>
      <c r="E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row>
    <row r="27" spans="1:60" x14ac:dyDescent="0.55000000000000004">
      <c r="A27" s="54"/>
      <c r="B27" s="54"/>
      <c r="C27" s="54"/>
      <c r="D27" s="54"/>
      <c r="E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row>
    <row r="28" spans="1:60" x14ac:dyDescent="0.55000000000000004">
      <c r="A28" s="54"/>
      <c r="B28" s="54"/>
      <c r="C28" s="54"/>
      <c r="D28" s="54"/>
      <c r="E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row>
    <row r="29" spans="1:60" x14ac:dyDescent="0.55000000000000004">
      <c r="A29" s="54"/>
      <c r="B29" s="54"/>
      <c r="C29" s="54"/>
      <c r="D29" s="54"/>
      <c r="E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row>
    <row r="30" spans="1:60" x14ac:dyDescent="0.55000000000000004">
      <c r="A30" s="54"/>
      <c r="B30" s="54"/>
      <c r="C30" s="54"/>
      <c r="D30" s="54"/>
      <c r="E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row>
    <row r="31" spans="1:60" x14ac:dyDescent="0.55000000000000004">
      <c r="A31" s="54"/>
      <c r="B31" s="54"/>
      <c r="C31" s="54"/>
      <c r="D31" s="54"/>
      <c r="E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row>
    <row r="32" spans="1:60" x14ac:dyDescent="0.55000000000000004">
      <c r="A32" s="54"/>
      <c r="B32" s="54"/>
      <c r="C32" s="54"/>
      <c r="D32" s="54"/>
      <c r="E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row>
    <row r="33" spans="1:60" x14ac:dyDescent="0.55000000000000004">
      <c r="A33" s="54"/>
      <c r="B33" s="54"/>
      <c r="C33" s="54"/>
      <c r="D33" s="54"/>
      <c r="E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row>
    <row r="34" spans="1:60" x14ac:dyDescent="0.55000000000000004">
      <c r="A34" s="54"/>
      <c r="B34" s="54"/>
      <c r="C34" s="54"/>
      <c r="D34" s="54"/>
      <c r="E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row>
    <row r="35" spans="1:60" x14ac:dyDescent="0.55000000000000004">
      <c r="A35" s="54"/>
      <c r="B35" s="54"/>
      <c r="C35" s="54"/>
      <c r="D35" s="54"/>
      <c r="E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row>
    <row r="36" spans="1:60" x14ac:dyDescent="0.55000000000000004">
      <c r="A36" s="54"/>
      <c r="B36" s="54"/>
      <c r="C36" s="54"/>
      <c r="D36" s="54"/>
      <c r="E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row>
    <row r="37" spans="1:60" x14ac:dyDescent="0.55000000000000004">
      <c r="A37" s="54"/>
      <c r="B37" s="54"/>
      <c r="C37" s="54"/>
      <c r="D37" s="54"/>
      <c r="E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row>
    <row r="38" spans="1:60" x14ac:dyDescent="0.55000000000000004">
      <c r="A38" s="54"/>
      <c r="B38" s="54"/>
      <c r="C38" s="54"/>
      <c r="D38" s="54"/>
      <c r="E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row>
    <row r="39" spans="1:60" x14ac:dyDescent="0.55000000000000004">
      <c r="A39" s="54"/>
      <c r="B39" s="54"/>
      <c r="C39" s="54"/>
      <c r="D39" s="54"/>
      <c r="E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row>
    <row r="40" spans="1:60" x14ac:dyDescent="0.55000000000000004">
      <c r="A40" s="54"/>
      <c r="B40" s="54"/>
      <c r="C40" s="54"/>
      <c r="D40" s="54"/>
      <c r="E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row>
    <row r="41" spans="1:60" x14ac:dyDescent="0.55000000000000004">
      <c r="A41" s="54"/>
      <c r="B41" s="54"/>
      <c r="C41" s="54"/>
      <c r="D41" s="54"/>
      <c r="E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row>
    <row r="42" spans="1:60" x14ac:dyDescent="0.55000000000000004">
      <c r="A42" s="54"/>
      <c r="B42" s="54"/>
      <c r="C42" s="54"/>
      <c r="D42" s="54"/>
      <c r="E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row>
    <row r="43" spans="1:60" x14ac:dyDescent="0.55000000000000004">
      <c r="A43" s="54"/>
      <c r="B43" s="54"/>
      <c r="C43" s="54"/>
      <c r="D43" s="54"/>
      <c r="E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row>
    <row r="44" spans="1:60" x14ac:dyDescent="0.55000000000000004">
      <c r="A44" s="54"/>
      <c r="B44" s="54"/>
      <c r="C44" s="54"/>
      <c r="D44" s="54"/>
      <c r="E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row>
    <row r="45" spans="1:60" x14ac:dyDescent="0.55000000000000004">
      <c r="A45" s="54"/>
      <c r="B45" s="54"/>
      <c r="C45" s="54"/>
      <c r="D45" s="54"/>
      <c r="E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row>
    <row r="46" spans="1:60" x14ac:dyDescent="0.55000000000000004">
      <c r="A46" s="54"/>
      <c r="B46" s="54"/>
      <c r="C46" s="54"/>
      <c r="D46" s="54"/>
      <c r="E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row>
    <row r="47" spans="1:60" x14ac:dyDescent="0.55000000000000004">
      <c r="A47" s="54"/>
      <c r="B47" s="54"/>
      <c r="C47" s="54"/>
      <c r="D47" s="54"/>
      <c r="E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row>
    <row r="48" spans="1:60" x14ac:dyDescent="0.55000000000000004">
      <c r="A48" s="54"/>
      <c r="B48" s="54"/>
      <c r="C48" s="54"/>
      <c r="D48" s="54"/>
      <c r="E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row>
    <row r="49" spans="1:60" x14ac:dyDescent="0.55000000000000004">
      <c r="A49" s="54"/>
      <c r="B49" s="54"/>
      <c r="C49" s="54"/>
      <c r="D49" s="54"/>
      <c r="E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row>
    <row r="50" spans="1:60" x14ac:dyDescent="0.55000000000000004">
      <c r="A50" s="54"/>
      <c r="B50" s="54"/>
      <c r="C50" s="54"/>
      <c r="D50" s="54"/>
      <c r="E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row>
    <row r="51" spans="1:60" x14ac:dyDescent="0.55000000000000004">
      <c r="A51" s="54"/>
      <c r="B51" s="54"/>
      <c r="C51" s="54"/>
      <c r="D51" s="54"/>
      <c r="E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row>
    <row r="52" spans="1:60" x14ac:dyDescent="0.55000000000000004">
      <c r="A52" s="54"/>
      <c r="B52" s="54"/>
      <c r="C52" s="54"/>
      <c r="D52" s="54"/>
      <c r="E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row>
    <row r="53" spans="1:60" x14ac:dyDescent="0.55000000000000004">
      <c r="A53" s="54"/>
      <c r="B53" s="54"/>
      <c r="C53" s="54"/>
      <c r="D53" s="54"/>
      <c r="E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row>
    <row r="54" spans="1:60" x14ac:dyDescent="0.55000000000000004">
      <c r="A54" s="54"/>
      <c r="B54" s="54"/>
      <c r="C54" s="54"/>
      <c r="D54" s="54"/>
      <c r="E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row>
    <row r="55" spans="1:60" x14ac:dyDescent="0.55000000000000004">
      <c r="A55" s="54"/>
      <c r="B55" s="54"/>
      <c r="C55" s="54"/>
      <c r="D55" s="54"/>
      <c r="E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row>
    <row r="56" spans="1:60" x14ac:dyDescent="0.55000000000000004">
      <c r="A56" s="54"/>
      <c r="B56" s="54"/>
      <c r="C56" s="54"/>
      <c r="D56" s="54"/>
      <c r="E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row>
    <row r="57" spans="1:60" x14ac:dyDescent="0.55000000000000004">
      <c r="A57" s="54"/>
      <c r="B57" s="54"/>
      <c r="C57" s="54"/>
      <c r="D57" s="54"/>
      <c r="E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row>
    <row r="58" spans="1:60" x14ac:dyDescent="0.55000000000000004">
      <c r="A58" s="54"/>
      <c r="B58" s="54"/>
      <c r="C58" s="54"/>
      <c r="D58" s="54"/>
      <c r="E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row>
    <row r="59" spans="1:60" x14ac:dyDescent="0.55000000000000004">
      <c r="A59" s="54"/>
      <c r="B59" s="54"/>
      <c r="C59" s="54"/>
      <c r="D59" s="54"/>
      <c r="E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row>
    <row r="60" spans="1:60" x14ac:dyDescent="0.55000000000000004">
      <c r="A60" s="54"/>
      <c r="B60" s="54"/>
      <c r="C60" s="54"/>
      <c r="D60" s="54"/>
      <c r="E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row>
    <row r="61" spans="1:60" x14ac:dyDescent="0.55000000000000004">
      <c r="A61" s="54"/>
      <c r="B61" s="54"/>
      <c r="C61" s="54"/>
      <c r="D61" s="54"/>
      <c r="E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row>
    <row r="62" spans="1:60" x14ac:dyDescent="0.55000000000000004">
      <c r="A62" s="54"/>
      <c r="B62" s="54"/>
      <c r="C62" s="54"/>
      <c r="D62" s="54"/>
      <c r="E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row>
    <row r="63" spans="1:60" x14ac:dyDescent="0.55000000000000004">
      <c r="A63" s="54"/>
      <c r="B63" s="54"/>
      <c r="C63" s="54"/>
      <c r="D63" s="54"/>
      <c r="E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row>
    <row r="64" spans="1:60" x14ac:dyDescent="0.55000000000000004">
      <c r="A64" s="54"/>
      <c r="B64" s="54"/>
      <c r="C64" s="54"/>
      <c r="D64" s="54"/>
      <c r="E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row>
    <row r="65" spans="1:60" x14ac:dyDescent="0.55000000000000004">
      <c r="A65" s="54"/>
      <c r="B65" s="54"/>
      <c r="C65" s="54"/>
      <c r="D65" s="54"/>
      <c r="E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row>
    <row r="66" spans="1:60" x14ac:dyDescent="0.55000000000000004">
      <c r="A66" s="54"/>
      <c r="B66" s="54"/>
      <c r="C66" s="54"/>
      <c r="D66" s="54"/>
      <c r="E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row>
    <row r="67" spans="1:60" x14ac:dyDescent="0.55000000000000004">
      <c r="A67" s="54"/>
      <c r="B67" s="54"/>
      <c r="C67" s="54"/>
      <c r="D67" s="54"/>
      <c r="E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row>
    <row r="68" spans="1:60" x14ac:dyDescent="0.55000000000000004">
      <c r="A68" s="54"/>
      <c r="B68" s="54"/>
      <c r="C68" s="54"/>
      <c r="D68" s="54"/>
      <c r="E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54"/>
      <c r="BG68" s="54"/>
      <c r="BH68" s="54"/>
    </row>
    <row r="69" spans="1:60" x14ac:dyDescent="0.55000000000000004">
      <c r="A69" s="54"/>
      <c r="B69" s="54"/>
      <c r="C69" s="54"/>
      <c r="D69" s="54"/>
      <c r="E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row>
    <row r="70" spans="1:60" x14ac:dyDescent="0.55000000000000004">
      <c r="A70" s="54"/>
      <c r="B70" s="54"/>
      <c r="C70" s="54"/>
      <c r="D70" s="54"/>
      <c r="E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row>
    <row r="71" spans="1:60" x14ac:dyDescent="0.55000000000000004">
      <c r="A71" s="54"/>
      <c r="B71" s="54"/>
      <c r="C71" s="54"/>
      <c r="D71" s="54"/>
      <c r="E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row>
    <row r="72" spans="1:60" x14ac:dyDescent="0.55000000000000004">
      <c r="A72" s="54"/>
      <c r="B72" s="54"/>
      <c r="C72" s="54"/>
      <c r="D72" s="54"/>
      <c r="E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row>
    <row r="73" spans="1:60" x14ac:dyDescent="0.55000000000000004">
      <c r="A73" s="54"/>
      <c r="B73" s="54"/>
      <c r="C73" s="54"/>
      <c r="D73" s="54"/>
      <c r="E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row>
    <row r="74" spans="1:60" x14ac:dyDescent="0.55000000000000004">
      <c r="A74" s="54"/>
      <c r="B74" s="54"/>
      <c r="C74" s="54"/>
      <c r="D74" s="54"/>
      <c r="E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row>
    <row r="75" spans="1:60" x14ac:dyDescent="0.55000000000000004">
      <c r="A75" s="54"/>
      <c r="B75" s="54"/>
      <c r="C75" s="54"/>
      <c r="D75" s="54"/>
      <c r="E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row>
    <row r="76" spans="1:60" x14ac:dyDescent="0.55000000000000004">
      <c r="A76" s="54"/>
      <c r="B76" s="54"/>
      <c r="C76" s="54"/>
      <c r="D76" s="54"/>
      <c r="E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row>
    <row r="77" spans="1:60" x14ac:dyDescent="0.55000000000000004">
      <c r="A77" s="54"/>
      <c r="B77" s="54"/>
      <c r="C77" s="54"/>
      <c r="D77" s="54"/>
      <c r="E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row>
    <row r="78" spans="1:60" x14ac:dyDescent="0.55000000000000004">
      <c r="A78" s="54"/>
      <c r="B78" s="54"/>
      <c r="C78" s="54"/>
      <c r="D78" s="54"/>
      <c r="E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row>
    <row r="79" spans="1:60" x14ac:dyDescent="0.55000000000000004">
      <c r="A79" s="54"/>
      <c r="B79" s="54"/>
      <c r="C79" s="54"/>
      <c r="D79" s="54"/>
      <c r="E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row>
    <row r="80" spans="1:60" x14ac:dyDescent="0.55000000000000004">
      <c r="A80" s="54"/>
      <c r="B80" s="54"/>
      <c r="C80" s="54"/>
      <c r="D80" s="54"/>
      <c r="E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row>
    <row r="81" spans="1:60" x14ac:dyDescent="0.55000000000000004">
      <c r="A81" s="54"/>
      <c r="B81" s="54"/>
      <c r="C81" s="54"/>
      <c r="D81" s="54"/>
      <c r="E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row>
    <row r="82" spans="1:60" x14ac:dyDescent="0.55000000000000004">
      <c r="A82" s="54"/>
      <c r="B82" s="54"/>
      <c r="C82" s="54"/>
      <c r="D82" s="54"/>
      <c r="E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row>
    <row r="83" spans="1:60" x14ac:dyDescent="0.55000000000000004">
      <c r="A83" s="54"/>
      <c r="B83" s="54"/>
      <c r="C83" s="54"/>
      <c r="D83" s="54"/>
      <c r="E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row>
    <row r="84" spans="1:60" x14ac:dyDescent="0.55000000000000004">
      <c r="A84" s="54"/>
      <c r="B84" s="54"/>
      <c r="C84" s="54"/>
      <c r="D84" s="54"/>
      <c r="E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row>
    <row r="85" spans="1:60" x14ac:dyDescent="0.55000000000000004">
      <c r="A85" s="54"/>
      <c r="B85" s="54"/>
      <c r="C85" s="54"/>
      <c r="D85" s="54"/>
      <c r="E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row>
    <row r="86" spans="1:60" x14ac:dyDescent="0.55000000000000004">
      <c r="A86" s="54"/>
      <c r="B86" s="54"/>
      <c r="C86" s="54"/>
      <c r="D86" s="54"/>
      <c r="E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row>
    <row r="87" spans="1:60" x14ac:dyDescent="0.55000000000000004">
      <c r="A87" s="54"/>
      <c r="B87" s="54"/>
      <c r="C87" s="54"/>
      <c r="D87" s="54"/>
      <c r="E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row>
    <row r="88" spans="1:60" x14ac:dyDescent="0.55000000000000004">
      <c r="A88" s="54"/>
      <c r="B88" s="54"/>
      <c r="C88" s="54"/>
      <c r="D88" s="54"/>
      <c r="E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row>
    <row r="89" spans="1:60" x14ac:dyDescent="0.55000000000000004">
      <c r="A89" s="54"/>
      <c r="B89" s="54"/>
      <c r="C89" s="54"/>
      <c r="D89" s="54"/>
      <c r="E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row>
    <row r="90" spans="1:60" x14ac:dyDescent="0.55000000000000004">
      <c r="A90" s="54"/>
      <c r="B90" s="54"/>
      <c r="C90" s="54"/>
      <c r="D90" s="54"/>
      <c r="E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row>
    <row r="91" spans="1:60" x14ac:dyDescent="0.55000000000000004">
      <c r="A91" s="54"/>
      <c r="B91" s="54"/>
      <c r="C91" s="54"/>
      <c r="D91" s="54"/>
      <c r="E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row>
    <row r="92" spans="1:60" x14ac:dyDescent="0.55000000000000004">
      <c r="A92" s="54"/>
      <c r="B92" s="54"/>
      <c r="C92" s="54"/>
      <c r="D92" s="54"/>
      <c r="E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row>
    <row r="93" spans="1:60" x14ac:dyDescent="0.55000000000000004">
      <c r="A93" s="54"/>
      <c r="B93" s="54"/>
      <c r="C93" s="54"/>
      <c r="D93" s="54"/>
      <c r="E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row>
    <row r="94" spans="1:60" x14ac:dyDescent="0.55000000000000004">
      <c r="A94" s="54"/>
      <c r="B94" s="54"/>
      <c r="C94" s="54"/>
      <c r="D94" s="54"/>
      <c r="E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row>
    <row r="95" spans="1:60" x14ac:dyDescent="0.55000000000000004">
      <c r="A95" s="54"/>
      <c r="B95" s="54"/>
      <c r="C95" s="54"/>
      <c r="D95" s="54"/>
      <c r="E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row>
    <row r="96" spans="1:60" x14ac:dyDescent="0.55000000000000004">
      <c r="A96" s="54"/>
      <c r="B96" s="54"/>
      <c r="C96" s="54"/>
      <c r="D96" s="54"/>
      <c r="E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row>
    <row r="97" spans="1:60" x14ac:dyDescent="0.55000000000000004">
      <c r="A97" s="54"/>
      <c r="B97" s="54"/>
      <c r="C97" s="54"/>
      <c r="D97" s="54"/>
      <c r="E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row>
    <row r="98" spans="1:60" x14ac:dyDescent="0.55000000000000004">
      <c r="A98" s="54"/>
      <c r="B98" s="54"/>
      <c r="C98" s="54"/>
      <c r="D98" s="54"/>
      <c r="E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row>
    <row r="99" spans="1:60" x14ac:dyDescent="0.55000000000000004">
      <c r="A99" s="54"/>
      <c r="B99" s="54"/>
      <c r="C99" s="54"/>
      <c r="D99" s="54"/>
      <c r="E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row>
    <row r="100" spans="1:60" x14ac:dyDescent="0.55000000000000004">
      <c r="A100" s="54"/>
      <c r="B100" s="54"/>
      <c r="C100" s="54"/>
      <c r="D100" s="54"/>
      <c r="E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row>
    <row r="101" spans="1:60" x14ac:dyDescent="0.55000000000000004">
      <c r="A101" s="54"/>
      <c r="B101" s="54"/>
      <c r="C101" s="54"/>
      <c r="D101" s="54"/>
      <c r="E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row>
    <row r="102" spans="1:60" x14ac:dyDescent="0.55000000000000004">
      <c r="A102" s="54"/>
      <c r="B102" s="54"/>
      <c r="C102" s="54"/>
      <c r="D102" s="54"/>
      <c r="E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row>
    <row r="103" spans="1:60" x14ac:dyDescent="0.55000000000000004">
      <c r="A103" s="54"/>
      <c r="B103" s="54"/>
      <c r="C103" s="54"/>
      <c r="D103" s="54"/>
      <c r="E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row>
    <row r="104" spans="1:60" x14ac:dyDescent="0.55000000000000004">
      <c r="A104" s="54"/>
      <c r="B104" s="54"/>
      <c r="C104" s="54"/>
      <c r="D104" s="54"/>
      <c r="E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row>
    <row r="105" spans="1:60" x14ac:dyDescent="0.55000000000000004">
      <c r="A105" s="54"/>
      <c r="B105" s="54"/>
      <c r="C105" s="54"/>
      <c r="D105" s="54"/>
      <c r="E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row>
    <row r="106" spans="1:60" x14ac:dyDescent="0.55000000000000004">
      <c r="A106" s="54"/>
      <c r="B106" s="54"/>
      <c r="C106" s="54"/>
      <c r="D106" s="54"/>
      <c r="E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row>
    <row r="107" spans="1:60" x14ac:dyDescent="0.55000000000000004">
      <c r="A107" s="54"/>
      <c r="B107" s="54"/>
      <c r="C107" s="54"/>
      <c r="D107" s="54"/>
      <c r="E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row>
    <row r="108" spans="1:60" x14ac:dyDescent="0.55000000000000004">
      <c r="A108" s="54"/>
      <c r="B108" s="54"/>
      <c r="C108" s="54"/>
      <c r="D108" s="54"/>
      <c r="E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row>
    <row r="109" spans="1:60" x14ac:dyDescent="0.55000000000000004">
      <c r="A109" s="54"/>
      <c r="B109" s="54"/>
      <c r="C109" s="54"/>
      <c r="D109" s="54"/>
      <c r="E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row>
    <row r="110" spans="1:60" x14ac:dyDescent="0.55000000000000004">
      <c r="A110" s="54"/>
      <c r="B110" s="54"/>
      <c r="C110" s="54"/>
      <c r="D110" s="54"/>
      <c r="E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row>
    <row r="111" spans="1:60" x14ac:dyDescent="0.55000000000000004">
      <c r="A111" s="54"/>
      <c r="B111" s="54"/>
      <c r="C111" s="54"/>
      <c r="D111" s="54"/>
      <c r="E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row>
    <row r="112" spans="1:60" x14ac:dyDescent="0.55000000000000004">
      <c r="A112" s="54"/>
      <c r="B112" s="54"/>
      <c r="C112" s="54"/>
      <c r="D112" s="54"/>
      <c r="E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row>
    <row r="113" spans="1:60" x14ac:dyDescent="0.55000000000000004">
      <c r="A113" s="54"/>
      <c r="B113" s="54"/>
      <c r="C113" s="54"/>
      <c r="D113" s="54"/>
      <c r="E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row>
    <row r="114" spans="1:60" x14ac:dyDescent="0.55000000000000004">
      <c r="A114" s="54"/>
      <c r="B114" s="54"/>
      <c r="C114" s="54"/>
      <c r="D114" s="54"/>
      <c r="E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row>
    <row r="115" spans="1:60" x14ac:dyDescent="0.55000000000000004">
      <c r="A115" s="54"/>
      <c r="B115" s="54"/>
      <c r="C115" s="54"/>
      <c r="D115" s="54"/>
      <c r="E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row>
    <row r="116" spans="1:60" x14ac:dyDescent="0.55000000000000004">
      <c r="A116" s="54"/>
      <c r="B116" s="54"/>
      <c r="C116" s="54"/>
      <c r="D116" s="54"/>
      <c r="E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row>
    <row r="117" spans="1:60" x14ac:dyDescent="0.55000000000000004">
      <c r="A117" s="54"/>
      <c r="B117" s="54"/>
      <c r="C117" s="54"/>
      <c r="D117" s="54"/>
      <c r="E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row>
    <row r="118" spans="1:60" x14ac:dyDescent="0.55000000000000004">
      <c r="A118" s="54"/>
      <c r="B118" s="54"/>
      <c r="C118" s="54"/>
      <c r="D118" s="54"/>
      <c r="E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row>
    <row r="119" spans="1:60" x14ac:dyDescent="0.55000000000000004">
      <c r="A119" s="54"/>
      <c r="B119" s="54"/>
      <c r="C119" s="54"/>
      <c r="D119" s="54"/>
      <c r="E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row>
    <row r="120" spans="1:60" x14ac:dyDescent="0.55000000000000004">
      <c r="A120" s="54"/>
      <c r="B120" s="54"/>
      <c r="C120" s="54"/>
      <c r="D120" s="54"/>
      <c r="E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row>
    <row r="121" spans="1:60" x14ac:dyDescent="0.55000000000000004">
      <c r="A121" s="54"/>
      <c r="B121" s="54"/>
      <c r="C121" s="54"/>
      <c r="D121" s="54"/>
      <c r="E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row>
    <row r="122" spans="1:60" x14ac:dyDescent="0.55000000000000004">
      <c r="A122" s="54"/>
      <c r="B122" s="54"/>
      <c r="C122" s="54"/>
      <c r="D122" s="54"/>
      <c r="E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row>
    <row r="123" spans="1:60" x14ac:dyDescent="0.55000000000000004">
      <c r="A123" s="54"/>
      <c r="B123" s="54"/>
      <c r="C123" s="54"/>
      <c r="D123" s="54"/>
      <c r="E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row>
    <row r="124" spans="1:60" x14ac:dyDescent="0.55000000000000004">
      <c r="A124" s="54"/>
      <c r="B124" s="54"/>
      <c r="C124" s="54"/>
      <c r="D124" s="54"/>
      <c r="E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row>
    <row r="125" spans="1:60" x14ac:dyDescent="0.55000000000000004">
      <c r="A125" s="54"/>
      <c r="B125" s="54"/>
      <c r="C125" s="54"/>
      <c r="D125" s="54"/>
      <c r="E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row>
    <row r="126" spans="1:60" x14ac:dyDescent="0.55000000000000004">
      <c r="A126" s="54"/>
      <c r="B126" s="54"/>
      <c r="C126" s="54"/>
      <c r="D126" s="54"/>
      <c r="E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row>
    <row r="127" spans="1:60" x14ac:dyDescent="0.55000000000000004">
      <c r="A127" s="54"/>
      <c r="B127" s="54"/>
      <c r="C127" s="54"/>
      <c r="D127" s="54"/>
      <c r="E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row>
    <row r="128" spans="1:60" x14ac:dyDescent="0.55000000000000004">
      <c r="A128" s="54"/>
      <c r="B128" s="54"/>
      <c r="C128" s="54"/>
      <c r="D128" s="54"/>
      <c r="E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row>
    <row r="129" spans="1:60" x14ac:dyDescent="0.55000000000000004">
      <c r="A129" s="54"/>
      <c r="B129" s="54"/>
      <c r="C129" s="54"/>
      <c r="D129" s="54"/>
      <c r="E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row>
    <row r="130" spans="1:60" x14ac:dyDescent="0.55000000000000004">
      <c r="A130" s="54"/>
      <c r="B130" s="54"/>
      <c r="C130" s="54"/>
      <c r="D130" s="54"/>
      <c r="E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row>
    <row r="131" spans="1:60" x14ac:dyDescent="0.55000000000000004">
      <c r="A131" s="54"/>
      <c r="B131" s="54"/>
      <c r="C131" s="54"/>
      <c r="D131" s="54"/>
      <c r="E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row>
    <row r="132" spans="1:60" x14ac:dyDescent="0.55000000000000004">
      <c r="A132" s="54"/>
      <c r="B132" s="54"/>
      <c r="C132" s="54"/>
      <c r="D132" s="54"/>
      <c r="E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row>
    <row r="133" spans="1:60" x14ac:dyDescent="0.55000000000000004">
      <c r="A133" s="54"/>
      <c r="B133" s="54"/>
      <c r="C133" s="54"/>
      <c r="D133" s="54"/>
      <c r="E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row>
    <row r="134" spans="1:60" x14ac:dyDescent="0.55000000000000004">
      <c r="A134" s="54"/>
      <c r="B134" s="54"/>
      <c r="C134" s="54"/>
      <c r="D134" s="54"/>
      <c r="E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row>
    <row r="135" spans="1:60" x14ac:dyDescent="0.55000000000000004">
      <c r="A135" s="54"/>
      <c r="B135" s="54"/>
      <c r="C135" s="54"/>
      <c r="D135" s="54"/>
      <c r="E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row>
    <row r="136" spans="1:60" x14ac:dyDescent="0.55000000000000004">
      <c r="A136" s="54"/>
      <c r="B136" s="54"/>
      <c r="C136" s="54"/>
      <c r="D136" s="54"/>
      <c r="E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row>
    <row r="137" spans="1:60" x14ac:dyDescent="0.55000000000000004">
      <c r="A137" s="54"/>
      <c r="B137" s="54"/>
      <c r="C137" s="54"/>
      <c r="D137" s="54"/>
      <c r="E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row>
    <row r="138" spans="1:60" x14ac:dyDescent="0.55000000000000004">
      <c r="A138" s="54"/>
      <c r="B138" s="54"/>
      <c r="C138" s="54"/>
      <c r="D138" s="54"/>
      <c r="E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row>
    <row r="139" spans="1:60" x14ac:dyDescent="0.55000000000000004">
      <c r="A139" s="54"/>
      <c r="B139" s="54"/>
      <c r="C139" s="54"/>
      <c r="D139" s="54"/>
      <c r="E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row>
    <row r="140" spans="1:60" x14ac:dyDescent="0.55000000000000004">
      <c r="A140" s="54"/>
      <c r="B140" s="54"/>
      <c r="C140" s="54"/>
      <c r="D140" s="54"/>
      <c r="E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row>
    <row r="141" spans="1:60" x14ac:dyDescent="0.55000000000000004">
      <c r="A141" s="54"/>
      <c r="B141" s="54"/>
      <c r="C141" s="54"/>
      <c r="D141" s="54"/>
      <c r="E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row>
    <row r="142" spans="1:60" x14ac:dyDescent="0.55000000000000004">
      <c r="A142" s="54"/>
      <c r="B142" s="54"/>
      <c r="C142" s="54"/>
      <c r="D142" s="54"/>
      <c r="E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row>
    <row r="143" spans="1:60" x14ac:dyDescent="0.55000000000000004">
      <c r="A143" s="54"/>
      <c r="B143" s="54"/>
      <c r="C143" s="54"/>
      <c r="D143" s="54"/>
      <c r="E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row>
    <row r="144" spans="1:60" x14ac:dyDescent="0.55000000000000004">
      <c r="A144" s="54"/>
      <c r="B144" s="54"/>
      <c r="C144" s="54"/>
      <c r="D144" s="54"/>
      <c r="E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row>
    <row r="145" spans="1:60" x14ac:dyDescent="0.55000000000000004">
      <c r="A145" s="54"/>
      <c r="B145" s="54"/>
      <c r="C145" s="54"/>
      <c r="D145" s="54"/>
      <c r="E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row>
    <row r="146" spans="1:60" x14ac:dyDescent="0.55000000000000004">
      <c r="A146" s="54"/>
      <c r="B146" s="54"/>
      <c r="C146" s="54"/>
      <c r="D146" s="54"/>
      <c r="E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row>
    <row r="147" spans="1:60" x14ac:dyDescent="0.55000000000000004">
      <c r="A147" s="54"/>
      <c r="B147" s="54"/>
      <c r="C147" s="54"/>
      <c r="D147" s="54"/>
      <c r="E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row>
    <row r="148" spans="1:60" x14ac:dyDescent="0.55000000000000004">
      <c r="A148" s="54"/>
      <c r="B148" s="54"/>
      <c r="C148" s="54"/>
      <c r="D148" s="54"/>
      <c r="E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row>
    <row r="149" spans="1:60" x14ac:dyDescent="0.55000000000000004">
      <c r="A149" s="54"/>
      <c r="B149" s="54"/>
      <c r="C149" s="54"/>
      <c r="D149" s="54"/>
      <c r="E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row>
    <row r="150" spans="1:60" x14ac:dyDescent="0.55000000000000004">
      <c r="A150" s="54"/>
      <c r="B150" s="54"/>
      <c r="C150" s="54"/>
      <c r="D150" s="54"/>
      <c r="E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row>
    <row r="151" spans="1:60" x14ac:dyDescent="0.55000000000000004">
      <c r="A151" s="54"/>
      <c r="B151" s="54"/>
      <c r="C151" s="54"/>
      <c r="D151" s="54"/>
      <c r="E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row>
    <row r="152" spans="1:60" x14ac:dyDescent="0.55000000000000004">
      <c r="A152" s="54"/>
      <c r="B152" s="54"/>
      <c r="C152" s="54"/>
      <c r="D152" s="54"/>
      <c r="E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row>
    <row r="153" spans="1:60" x14ac:dyDescent="0.55000000000000004">
      <c r="A153" s="54"/>
      <c r="B153" s="54"/>
      <c r="C153" s="54"/>
      <c r="D153" s="54"/>
      <c r="E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row>
    <row r="154" spans="1:60" x14ac:dyDescent="0.55000000000000004">
      <c r="A154" s="54"/>
      <c r="B154" s="54"/>
      <c r="C154" s="54"/>
      <c r="D154" s="54"/>
      <c r="E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row>
    <row r="155" spans="1:60" x14ac:dyDescent="0.55000000000000004">
      <c r="A155" s="54"/>
      <c r="B155" s="54"/>
      <c r="C155" s="54"/>
      <c r="D155" s="54"/>
      <c r="E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row>
    <row r="156" spans="1:60" x14ac:dyDescent="0.55000000000000004">
      <c r="A156" s="54"/>
      <c r="B156" s="54"/>
      <c r="C156" s="54"/>
      <c r="D156" s="54"/>
      <c r="E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row>
    <row r="157" spans="1:60" x14ac:dyDescent="0.55000000000000004">
      <c r="A157" s="54"/>
      <c r="B157" s="54"/>
      <c r="C157" s="54"/>
      <c r="D157" s="54"/>
      <c r="E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row>
    <row r="158" spans="1:60" x14ac:dyDescent="0.55000000000000004">
      <c r="A158" s="54"/>
      <c r="B158" s="54"/>
      <c r="C158" s="54"/>
      <c r="D158" s="54"/>
      <c r="E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row>
    <row r="159" spans="1:60" x14ac:dyDescent="0.55000000000000004">
      <c r="A159" s="54"/>
      <c r="B159" s="54"/>
      <c r="C159" s="54"/>
      <c r="D159" s="54"/>
      <c r="E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row>
    <row r="160" spans="1:60" x14ac:dyDescent="0.55000000000000004">
      <c r="A160" s="54"/>
      <c r="B160" s="54"/>
      <c r="C160" s="54"/>
      <c r="D160" s="54"/>
      <c r="E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row>
    <row r="161" spans="1:60" x14ac:dyDescent="0.55000000000000004">
      <c r="A161" s="54"/>
      <c r="B161" s="54"/>
      <c r="C161" s="54"/>
      <c r="D161" s="54"/>
      <c r="E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row>
    <row r="162" spans="1:60" x14ac:dyDescent="0.55000000000000004">
      <c r="A162" s="54"/>
      <c r="B162" s="54"/>
      <c r="C162" s="54"/>
      <c r="D162" s="54"/>
      <c r="E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row>
    <row r="163" spans="1:60" x14ac:dyDescent="0.55000000000000004">
      <c r="A163" s="54"/>
      <c r="B163" s="54"/>
      <c r="C163" s="54"/>
      <c r="D163" s="54"/>
      <c r="E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row>
    <row r="164" spans="1:60" x14ac:dyDescent="0.55000000000000004">
      <c r="A164" s="54"/>
      <c r="B164" s="54"/>
      <c r="C164" s="54"/>
      <c r="D164" s="54"/>
      <c r="E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row>
    <row r="165" spans="1:60" x14ac:dyDescent="0.55000000000000004">
      <c r="A165" s="54"/>
      <c r="B165" s="54"/>
      <c r="C165" s="54"/>
      <c r="D165" s="54"/>
      <c r="E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row>
    <row r="166" spans="1:60" x14ac:dyDescent="0.55000000000000004">
      <c r="A166" s="54"/>
      <c r="B166" s="54"/>
      <c r="C166" s="54"/>
      <c r="D166" s="54"/>
      <c r="E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row>
    <row r="167" spans="1:60" x14ac:dyDescent="0.55000000000000004">
      <c r="A167" s="54"/>
      <c r="B167" s="54"/>
      <c r="C167" s="54"/>
      <c r="D167" s="54"/>
      <c r="E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row>
    <row r="168" spans="1:60" x14ac:dyDescent="0.55000000000000004">
      <c r="A168" s="54"/>
      <c r="B168" s="54"/>
      <c r="C168" s="54"/>
      <c r="D168" s="54"/>
      <c r="E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row>
    <row r="169" spans="1:60" x14ac:dyDescent="0.55000000000000004">
      <c r="A169" s="54"/>
      <c r="B169" s="54"/>
      <c r="C169" s="54"/>
      <c r="D169" s="54"/>
      <c r="E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row>
    <row r="170" spans="1:60" x14ac:dyDescent="0.55000000000000004">
      <c r="A170" s="54"/>
      <c r="B170" s="54"/>
      <c r="C170" s="54"/>
      <c r="D170" s="54"/>
      <c r="E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row>
    <row r="171" spans="1:60" x14ac:dyDescent="0.55000000000000004">
      <c r="A171" s="54"/>
      <c r="B171" s="54"/>
      <c r="C171" s="54"/>
      <c r="D171" s="54"/>
      <c r="E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c r="BA171" s="54"/>
      <c r="BB171" s="54"/>
      <c r="BC171" s="54"/>
      <c r="BD171" s="54"/>
      <c r="BE171" s="54"/>
      <c r="BF171" s="54"/>
      <c r="BG171" s="54"/>
      <c r="BH171" s="54"/>
    </row>
    <row r="172" spans="1:60" x14ac:dyDescent="0.55000000000000004">
      <c r="A172" s="54"/>
      <c r="B172" s="54"/>
      <c r="C172" s="54"/>
      <c r="D172" s="54"/>
      <c r="E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c r="BA172" s="54"/>
      <c r="BB172" s="54"/>
      <c r="BC172" s="54"/>
      <c r="BD172" s="54"/>
      <c r="BE172" s="54"/>
      <c r="BF172" s="54"/>
      <c r="BG172" s="54"/>
      <c r="BH172" s="54"/>
    </row>
    <row r="173" spans="1:60" x14ac:dyDescent="0.55000000000000004">
      <c r="A173" s="54"/>
      <c r="B173" s="54"/>
      <c r="C173" s="54"/>
      <c r="D173" s="54"/>
      <c r="E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row>
    <row r="174" spans="1:60" x14ac:dyDescent="0.55000000000000004">
      <c r="A174" s="54"/>
      <c r="B174" s="54"/>
      <c r="C174" s="54"/>
      <c r="D174" s="54"/>
      <c r="E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row>
    <row r="175" spans="1:60" x14ac:dyDescent="0.55000000000000004">
      <c r="A175" s="54"/>
      <c r="B175" s="54"/>
      <c r="C175" s="54"/>
      <c r="D175" s="54"/>
      <c r="E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c r="BA175" s="54"/>
      <c r="BB175" s="54"/>
      <c r="BC175" s="54"/>
      <c r="BD175" s="54"/>
      <c r="BE175" s="54"/>
      <c r="BF175" s="54"/>
      <c r="BG175" s="54"/>
      <c r="BH175" s="54"/>
    </row>
    <row r="176" spans="1:60" x14ac:dyDescent="0.55000000000000004">
      <c r="A176" s="54"/>
      <c r="B176" s="54"/>
      <c r="C176" s="54"/>
      <c r="D176" s="54"/>
      <c r="E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c r="BA176" s="54"/>
      <c r="BB176" s="54"/>
      <c r="BC176" s="54"/>
      <c r="BD176" s="54"/>
      <c r="BE176" s="54"/>
      <c r="BF176" s="54"/>
      <c r="BG176" s="54"/>
      <c r="BH176" s="54"/>
    </row>
    <row r="177" spans="1:60" x14ac:dyDescent="0.55000000000000004">
      <c r="A177" s="54"/>
      <c r="B177" s="54"/>
      <c r="C177" s="54"/>
      <c r="D177" s="54"/>
      <c r="E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c r="BC177" s="54"/>
      <c r="BD177" s="54"/>
      <c r="BE177" s="54"/>
      <c r="BF177" s="54"/>
      <c r="BG177" s="54"/>
      <c r="BH177" s="54"/>
    </row>
    <row r="178" spans="1:60" x14ac:dyDescent="0.55000000000000004">
      <c r="A178" s="54"/>
      <c r="B178" s="54"/>
      <c r="C178" s="54"/>
      <c r="D178" s="54"/>
      <c r="E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c r="BA178" s="54"/>
      <c r="BB178" s="54"/>
      <c r="BC178" s="54"/>
      <c r="BD178" s="54"/>
      <c r="BE178" s="54"/>
      <c r="BF178" s="54"/>
      <c r="BG178" s="54"/>
      <c r="BH178" s="54"/>
    </row>
    <row r="179" spans="1:60" x14ac:dyDescent="0.55000000000000004">
      <c r="A179" s="54"/>
      <c r="B179" s="54"/>
      <c r="C179" s="54"/>
      <c r="D179" s="54"/>
      <c r="E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c r="BA179" s="54"/>
      <c r="BB179" s="54"/>
      <c r="BC179" s="54"/>
      <c r="BD179" s="54"/>
      <c r="BE179" s="54"/>
      <c r="BF179" s="54"/>
      <c r="BG179" s="54"/>
      <c r="BH179" s="54"/>
    </row>
    <row r="180" spans="1:60" x14ac:dyDescent="0.55000000000000004">
      <c r="A180" s="54"/>
      <c r="B180" s="54"/>
      <c r="C180" s="54"/>
      <c r="D180" s="54"/>
      <c r="E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row>
    <row r="181" spans="1:60" x14ac:dyDescent="0.55000000000000004">
      <c r="A181" s="54"/>
      <c r="B181" s="54"/>
      <c r="C181" s="54"/>
      <c r="D181" s="54"/>
      <c r="E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c r="BA181" s="54"/>
      <c r="BB181" s="54"/>
      <c r="BC181" s="54"/>
      <c r="BD181" s="54"/>
      <c r="BE181" s="54"/>
      <c r="BF181" s="54"/>
      <c r="BG181" s="54"/>
      <c r="BH181" s="54"/>
    </row>
    <row r="182" spans="1:60" x14ac:dyDescent="0.55000000000000004">
      <c r="A182" s="54"/>
      <c r="B182" s="54"/>
      <c r="C182" s="54"/>
      <c r="D182" s="54"/>
      <c r="E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c r="BA182" s="54"/>
      <c r="BB182" s="54"/>
      <c r="BC182" s="54"/>
      <c r="BD182" s="54"/>
      <c r="BE182" s="54"/>
      <c r="BF182" s="54"/>
      <c r="BG182" s="54"/>
      <c r="BH182" s="54"/>
    </row>
    <row r="183" spans="1:60" x14ac:dyDescent="0.55000000000000004">
      <c r="A183" s="54"/>
      <c r="B183" s="54"/>
      <c r="C183" s="54"/>
      <c r="D183" s="54"/>
      <c r="E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c r="AI183" s="54"/>
      <c r="AJ183" s="54"/>
      <c r="AK183" s="54"/>
      <c r="AL183" s="54"/>
      <c r="AM183" s="54"/>
      <c r="AN183" s="54"/>
      <c r="AO183" s="54"/>
      <c r="AP183" s="54"/>
      <c r="AQ183" s="54"/>
      <c r="AR183" s="54"/>
      <c r="AS183" s="54"/>
      <c r="AT183" s="54"/>
      <c r="AU183" s="54"/>
      <c r="AV183" s="54"/>
      <c r="AW183" s="54"/>
      <c r="AX183" s="54"/>
      <c r="AY183" s="54"/>
      <c r="AZ183" s="54"/>
      <c r="BA183" s="54"/>
      <c r="BB183" s="54"/>
      <c r="BC183" s="54"/>
      <c r="BD183" s="54"/>
      <c r="BE183" s="54"/>
      <c r="BF183" s="54"/>
      <c r="BG183" s="54"/>
      <c r="BH183" s="54"/>
    </row>
    <row r="184" spans="1:60" x14ac:dyDescent="0.55000000000000004">
      <c r="A184" s="54"/>
      <c r="B184" s="54"/>
      <c r="C184" s="54"/>
      <c r="D184" s="54"/>
      <c r="E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c r="BA184" s="54"/>
      <c r="BB184" s="54"/>
      <c r="BC184" s="54"/>
      <c r="BD184" s="54"/>
      <c r="BE184" s="54"/>
      <c r="BF184" s="54"/>
      <c r="BG184" s="54"/>
      <c r="BH184" s="54"/>
    </row>
    <row r="185" spans="1:60" x14ac:dyDescent="0.55000000000000004">
      <c r="A185" s="54"/>
      <c r="B185" s="54"/>
      <c r="C185" s="54"/>
      <c r="D185" s="54"/>
      <c r="E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row>
    <row r="186" spans="1:60" x14ac:dyDescent="0.55000000000000004">
      <c r="A186" s="54"/>
      <c r="B186" s="54"/>
      <c r="C186" s="54"/>
      <c r="D186" s="54"/>
      <c r="E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c r="BA186" s="54"/>
      <c r="BB186" s="54"/>
      <c r="BC186" s="54"/>
      <c r="BD186" s="54"/>
      <c r="BE186" s="54"/>
      <c r="BF186" s="54"/>
      <c r="BG186" s="54"/>
      <c r="BH186" s="54"/>
    </row>
    <row r="187" spans="1:60" x14ac:dyDescent="0.55000000000000004">
      <c r="A187" s="54"/>
      <c r="B187" s="54"/>
      <c r="C187" s="54"/>
      <c r="D187" s="54"/>
      <c r="E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c r="BA187" s="54"/>
      <c r="BB187" s="54"/>
      <c r="BC187" s="54"/>
      <c r="BD187" s="54"/>
      <c r="BE187" s="54"/>
      <c r="BF187" s="54"/>
      <c r="BG187" s="54"/>
      <c r="BH187" s="54"/>
    </row>
    <row r="188" spans="1:60" x14ac:dyDescent="0.55000000000000004">
      <c r="A188" s="54"/>
      <c r="B188" s="54"/>
      <c r="C188" s="54"/>
      <c r="D188" s="54"/>
      <c r="E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c r="BA188" s="54"/>
      <c r="BB188" s="54"/>
      <c r="BC188" s="54"/>
      <c r="BD188" s="54"/>
      <c r="BE188" s="54"/>
      <c r="BF188" s="54"/>
      <c r="BG188" s="54"/>
      <c r="BH188" s="54"/>
    </row>
    <row r="189" spans="1:60" x14ac:dyDescent="0.55000000000000004">
      <c r="A189" s="54"/>
      <c r="B189" s="54"/>
      <c r="C189" s="54"/>
      <c r="D189" s="54"/>
      <c r="E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row>
    <row r="190" spans="1:60" x14ac:dyDescent="0.55000000000000004">
      <c r="A190" s="54"/>
      <c r="B190" s="54"/>
      <c r="C190" s="54"/>
      <c r="D190" s="54"/>
      <c r="E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row>
    <row r="191" spans="1:60" x14ac:dyDescent="0.55000000000000004">
      <c r="A191" s="54"/>
      <c r="B191" s="54"/>
      <c r="C191" s="54"/>
      <c r="D191" s="54"/>
      <c r="E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row>
    <row r="192" spans="1:60" x14ac:dyDescent="0.55000000000000004">
      <c r="A192" s="54"/>
      <c r="B192" s="54"/>
      <c r="C192" s="54"/>
      <c r="D192" s="54"/>
      <c r="E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c r="BA192" s="54"/>
      <c r="BB192" s="54"/>
      <c r="BC192" s="54"/>
      <c r="BD192" s="54"/>
      <c r="BE192" s="54"/>
      <c r="BF192" s="54"/>
      <c r="BG192" s="54"/>
      <c r="BH192" s="54"/>
    </row>
    <row r="193" spans="1:60" x14ac:dyDescent="0.55000000000000004">
      <c r="A193" s="54"/>
      <c r="B193" s="54"/>
      <c r="C193" s="54"/>
      <c r="D193" s="54"/>
      <c r="E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row>
    <row r="194" spans="1:60" x14ac:dyDescent="0.55000000000000004">
      <c r="A194" s="54"/>
      <c r="B194" s="54"/>
      <c r="C194" s="54"/>
      <c r="D194" s="54"/>
      <c r="E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row>
    <row r="195" spans="1:60" x14ac:dyDescent="0.55000000000000004">
      <c r="A195" s="54"/>
      <c r="B195" s="54"/>
      <c r="C195" s="54"/>
      <c r="D195" s="54"/>
      <c r="E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row>
    <row r="196" spans="1:60" x14ac:dyDescent="0.55000000000000004">
      <c r="A196" s="54"/>
      <c r="B196" s="54"/>
      <c r="C196" s="54"/>
      <c r="D196" s="54"/>
      <c r="E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c r="BA196" s="54"/>
      <c r="BB196" s="54"/>
      <c r="BC196" s="54"/>
      <c r="BD196" s="54"/>
      <c r="BE196" s="54"/>
      <c r="BF196" s="54"/>
      <c r="BG196" s="54"/>
      <c r="BH196" s="54"/>
    </row>
    <row r="197" spans="1:60" x14ac:dyDescent="0.55000000000000004">
      <c r="A197" s="54"/>
      <c r="B197" s="54"/>
      <c r="C197" s="54"/>
      <c r="D197" s="54"/>
      <c r="E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c r="BA197" s="54"/>
      <c r="BB197" s="54"/>
      <c r="BC197" s="54"/>
      <c r="BD197" s="54"/>
      <c r="BE197" s="54"/>
      <c r="BF197" s="54"/>
      <c r="BG197" s="54"/>
      <c r="BH197" s="54"/>
    </row>
    <row r="198" spans="1:60" x14ac:dyDescent="0.55000000000000004">
      <c r="A198" s="54"/>
      <c r="B198" s="54"/>
      <c r="C198" s="54"/>
      <c r="D198" s="54"/>
      <c r="E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c r="AR198" s="54"/>
      <c r="AS198" s="54"/>
      <c r="AT198" s="54"/>
      <c r="AU198" s="54"/>
      <c r="AV198" s="54"/>
      <c r="AW198" s="54"/>
      <c r="AX198" s="54"/>
      <c r="AY198" s="54"/>
      <c r="AZ198" s="54"/>
      <c r="BA198" s="54"/>
      <c r="BB198" s="54"/>
      <c r="BC198" s="54"/>
      <c r="BD198" s="54"/>
      <c r="BE198" s="54"/>
      <c r="BF198" s="54"/>
      <c r="BG198" s="54"/>
      <c r="BH198" s="54"/>
    </row>
    <row r="199" spans="1:60" x14ac:dyDescent="0.55000000000000004">
      <c r="A199" s="54"/>
      <c r="B199" s="54"/>
      <c r="C199" s="54"/>
      <c r="D199" s="54"/>
      <c r="E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54"/>
      <c r="BB199" s="54"/>
      <c r="BC199" s="54"/>
      <c r="BD199" s="54"/>
      <c r="BE199" s="54"/>
      <c r="BF199" s="54"/>
      <c r="BG199" s="54"/>
      <c r="BH199" s="54"/>
    </row>
    <row r="200" spans="1:60" x14ac:dyDescent="0.55000000000000004">
      <c r="A200" s="54"/>
      <c r="B200" s="54"/>
      <c r="C200" s="54"/>
      <c r="D200" s="54"/>
      <c r="E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c r="BA200" s="54"/>
      <c r="BB200" s="54"/>
      <c r="BC200" s="54"/>
      <c r="BD200" s="54"/>
      <c r="BE200" s="54"/>
      <c r="BF200" s="54"/>
      <c r="BG200" s="54"/>
      <c r="BH200" s="54"/>
    </row>
    <row r="201" spans="1:60" x14ac:dyDescent="0.55000000000000004">
      <c r="A201" s="54"/>
      <c r="B201" s="54"/>
      <c r="C201" s="54"/>
      <c r="D201" s="54"/>
      <c r="E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c r="AM201" s="54"/>
      <c r="AN201" s="54"/>
      <c r="AO201" s="54"/>
      <c r="AP201" s="54"/>
      <c r="AQ201" s="54"/>
      <c r="AR201" s="54"/>
      <c r="AS201" s="54"/>
      <c r="AT201" s="54"/>
      <c r="AU201" s="54"/>
      <c r="AV201" s="54"/>
      <c r="AW201" s="54"/>
      <c r="AX201" s="54"/>
      <c r="AY201" s="54"/>
      <c r="AZ201" s="54"/>
      <c r="BA201" s="54"/>
      <c r="BB201" s="54"/>
      <c r="BC201" s="54"/>
      <c r="BD201" s="54"/>
      <c r="BE201" s="54"/>
      <c r="BF201" s="54"/>
      <c r="BG201" s="54"/>
      <c r="BH201" s="54"/>
    </row>
    <row r="202" spans="1:60" x14ac:dyDescent="0.55000000000000004">
      <c r="A202" s="54"/>
      <c r="B202" s="54"/>
      <c r="C202" s="54"/>
      <c r="D202" s="54"/>
      <c r="E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c r="BA202" s="54"/>
      <c r="BB202" s="54"/>
      <c r="BC202" s="54"/>
      <c r="BD202" s="54"/>
      <c r="BE202" s="54"/>
      <c r="BF202" s="54"/>
      <c r="BG202" s="54"/>
      <c r="BH202" s="54"/>
    </row>
    <row r="203" spans="1:60" x14ac:dyDescent="0.55000000000000004">
      <c r="A203" s="54"/>
      <c r="B203" s="54"/>
      <c r="C203" s="54"/>
      <c r="D203" s="54"/>
      <c r="E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c r="BA203" s="54"/>
      <c r="BB203" s="54"/>
      <c r="BC203" s="54"/>
      <c r="BD203" s="54"/>
      <c r="BE203" s="54"/>
      <c r="BF203" s="54"/>
      <c r="BG203" s="54"/>
      <c r="BH203" s="54"/>
    </row>
    <row r="204" spans="1:60" x14ac:dyDescent="0.55000000000000004">
      <c r="A204" s="54"/>
      <c r="B204" s="54"/>
      <c r="C204" s="54"/>
      <c r="D204" s="54"/>
      <c r="E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row>
    <row r="205" spans="1:60" x14ac:dyDescent="0.55000000000000004">
      <c r="A205" s="54"/>
      <c r="B205" s="54"/>
      <c r="C205" s="54"/>
      <c r="D205" s="54"/>
      <c r="E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row>
    <row r="206" spans="1:60" x14ac:dyDescent="0.55000000000000004">
      <c r="A206" s="54"/>
      <c r="B206" s="54"/>
      <c r="C206" s="54"/>
      <c r="D206" s="54"/>
      <c r="E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row>
    <row r="207" spans="1:60" x14ac:dyDescent="0.55000000000000004">
      <c r="A207" s="54"/>
      <c r="B207" s="54"/>
      <c r="C207" s="54"/>
      <c r="D207" s="54"/>
      <c r="E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row>
    <row r="208" spans="1:60" x14ac:dyDescent="0.55000000000000004">
      <c r="A208" s="54"/>
      <c r="B208" s="54"/>
      <c r="C208" s="54"/>
      <c r="D208" s="54"/>
      <c r="E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c r="AI208" s="54"/>
      <c r="AJ208" s="54"/>
      <c r="AK208" s="54"/>
      <c r="AL208" s="54"/>
      <c r="AM208" s="54"/>
      <c r="AN208" s="54"/>
      <c r="AO208" s="54"/>
      <c r="AP208" s="54"/>
      <c r="AQ208" s="54"/>
      <c r="AR208" s="54"/>
      <c r="AS208" s="54"/>
      <c r="AT208" s="54"/>
      <c r="AU208" s="54"/>
      <c r="AV208" s="54"/>
      <c r="AW208" s="54"/>
      <c r="AX208" s="54"/>
      <c r="AY208" s="54"/>
      <c r="AZ208" s="54"/>
      <c r="BA208" s="54"/>
      <c r="BB208" s="54"/>
      <c r="BC208" s="54"/>
      <c r="BD208" s="54"/>
      <c r="BE208" s="54"/>
      <c r="BF208" s="54"/>
      <c r="BG208" s="54"/>
      <c r="BH208" s="54"/>
    </row>
    <row r="209" spans="1:60" x14ac:dyDescent="0.55000000000000004">
      <c r="A209" s="54"/>
      <c r="B209" s="54"/>
      <c r="C209" s="54"/>
      <c r="D209" s="54"/>
      <c r="E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4"/>
      <c r="AR209" s="54"/>
      <c r="AS209" s="54"/>
      <c r="AT209" s="54"/>
      <c r="AU209" s="54"/>
      <c r="AV209" s="54"/>
      <c r="AW209" s="54"/>
      <c r="AX209" s="54"/>
      <c r="AY209" s="54"/>
      <c r="AZ209" s="54"/>
      <c r="BA209" s="54"/>
      <c r="BB209" s="54"/>
      <c r="BC209" s="54"/>
      <c r="BD209" s="54"/>
      <c r="BE209" s="54"/>
      <c r="BF209" s="54"/>
      <c r="BG209" s="54"/>
      <c r="BH209" s="54"/>
    </row>
    <row r="210" spans="1:60" x14ac:dyDescent="0.55000000000000004">
      <c r="A210" s="54"/>
      <c r="B210" s="54"/>
      <c r="C210" s="54"/>
      <c r="D210" s="54"/>
      <c r="E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c r="AI210" s="54"/>
      <c r="AJ210" s="54"/>
      <c r="AK210" s="54"/>
      <c r="AL210" s="54"/>
      <c r="AM210" s="54"/>
      <c r="AN210" s="54"/>
      <c r="AO210" s="54"/>
      <c r="AP210" s="54"/>
      <c r="AQ210" s="54"/>
      <c r="AR210" s="54"/>
      <c r="AS210" s="54"/>
      <c r="AT210" s="54"/>
      <c r="AU210" s="54"/>
      <c r="AV210" s="54"/>
      <c r="AW210" s="54"/>
      <c r="AX210" s="54"/>
      <c r="AY210" s="54"/>
      <c r="AZ210" s="54"/>
      <c r="BA210" s="54"/>
      <c r="BB210" s="54"/>
      <c r="BC210" s="54"/>
      <c r="BD210" s="54"/>
      <c r="BE210" s="54"/>
      <c r="BF210" s="54"/>
      <c r="BG210" s="54"/>
      <c r="BH210" s="54"/>
    </row>
    <row r="211" spans="1:60" x14ac:dyDescent="0.55000000000000004">
      <c r="A211" s="54"/>
      <c r="B211" s="54"/>
      <c r="C211" s="54"/>
      <c r="D211" s="54"/>
      <c r="E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c r="BA211" s="54"/>
      <c r="BB211" s="54"/>
      <c r="BC211" s="54"/>
      <c r="BD211" s="54"/>
      <c r="BE211" s="54"/>
      <c r="BF211" s="54"/>
      <c r="BG211" s="54"/>
      <c r="BH211" s="54"/>
    </row>
    <row r="212" spans="1:60" x14ac:dyDescent="0.55000000000000004">
      <c r="A212" s="54"/>
      <c r="B212" s="54"/>
      <c r="C212" s="54"/>
      <c r="D212" s="54"/>
      <c r="E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c r="BA212" s="54"/>
      <c r="BB212" s="54"/>
      <c r="BC212" s="54"/>
      <c r="BD212" s="54"/>
      <c r="BE212" s="54"/>
      <c r="BF212" s="54"/>
      <c r="BG212" s="54"/>
      <c r="BH212" s="54"/>
    </row>
    <row r="213" spans="1:60" x14ac:dyDescent="0.55000000000000004">
      <c r="A213" s="54"/>
      <c r="B213" s="54"/>
      <c r="C213" s="54"/>
      <c r="D213" s="54"/>
      <c r="E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row>
    <row r="214" spans="1:60" x14ac:dyDescent="0.55000000000000004">
      <c r="A214" s="54"/>
      <c r="B214" s="54"/>
      <c r="C214" s="54"/>
      <c r="D214" s="54"/>
      <c r="E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c r="BA214" s="54"/>
      <c r="BB214" s="54"/>
      <c r="BC214" s="54"/>
      <c r="BD214" s="54"/>
      <c r="BE214" s="54"/>
      <c r="BF214" s="54"/>
      <c r="BG214" s="54"/>
      <c r="BH214" s="54"/>
    </row>
    <row r="215" spans="1:60" x14ac:dyDescent="0.55000000000000004">
      <c r="A215" s="54"/>
      <c r="B215" s="54"/>
      <c r="C215" s="54"/>
      <c r="D215" s="54"/>
      <c r="E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54"/>
      <c r="BD215" s="54"/>
      <c r="BE215" s="54"/>
      <c r="BF215" s="54"/>
      <c r="BG215" s="54"/>
      <c r="BH215" s="54"/>
    </row>
    <row r="216" spans="1:60" x14ac:dyDescent="0.55000000000000004">
      <c r="A216" s="54"/>
      <c r="B216" s="54"/>
      <c r="C216" s="54"/>
      <c r="D216" s="54"/>
      <c r="E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c r="BA216" s="54"/>
      <c r="BB216" s="54"/>
      <c r="BC216" s="54"/>
      <c r="BD216" s="54"/>
      <c r="BE216" s="54"/>
      <c r="BF216" s="54"/>
      <c r="BG216" s="54"/>
      <c r="BH216" s="54"/>
    </row>
    <row r="217" spans="1:60" x14ac:dyDescent="0.55000000000000004">
      <c r="A217" s="54"/>
      <c r="B217" s="54"/>
      <c r="C217" s="54"/>
      <c r="D217" s="54"/>
      <c r="E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c r="BA217" s="54"/>
      <c r="BB217" s="54"/>
      <c r="BC217" s="54"/>
      <c r="BD217" s="54"/>
      <c r="BE217" s="54"/>
      <c r="BF217" s="54"/>
      <c r="BG217" s="54"/>
      <c r="BH217" s="54"/>
    </row>
    <row r="218" spans="1:60" x14ac:dyDescent="0.55000000000000004">
      <c r="A218" s="54"/>
      <c r="B218" s="54"/>
      <c r="C218" s="54"/>
      <c r="D218" s="54"/>
      <c r="E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row>
    <row r="219" spans="1:60" x14ac:dyDescent="0.55000000000000004">
      <c r="A219" s="54"/>
      <c r="B219" s="54"/>
      <c r="C219" s="54"/>
      <c r="D219" s="54"/>
      <c r="E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c r="BA219" s="54"/>
      <c r="BB219" s="54"/>
      <c r="BC219" s="54"/>
      <c r="BD219" s="54"/>
      <c r="BE219" s="54"/>
      <c r="BF219" s="54"/>
      <c r="BG219" s="54"/>
      <c r="BH219" s="54"/>
    </row>
    <row r="220" spans="1:60" x14ac:dyDescent="0.55000000000000004">
      <c r="A220" s="54"/>
      <c r="B220" s="54"/>
      <c r="C220" s="54"/>
      <c r="D220" s="54"/>
      <c r="E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c r="BA220" s="54"/>
      <c r="BB220" s="54"/>
      <c r="BC220" s="54"/>
      <c r="BD220" s="54"/>
      <c r="BE220" s="54"/>
      <c r="BF220" s="54"/>
      <c r="BG220" s="54"/>
      <c r="BH220" s="54"/>
    </row>
    <row r="221" spans="1:60" x14ac:dyDescent="0.55000000000000004">
      <c r="A221" s="54"/>
      <c r="B221" s="54"/>
      <c r="C221" s="54"/>
      <c r="D221" s="54"/>
      <c r="E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c r="BA221" s="54"/>
      <c r="BB221" s="54"/>
      <c r="BC221" s="54"/>
      <c r="BD221" s="54"/>
      <c r="BE221" s="54"/>
      <c r="BF221" s="54"/>
      <c r="BG221" s="54"/>
      <c r="BH221" s="54"/>
    </row>
    <row r="222" spans="1:60" x14ac:dyDescent="0.55000000000000004">
      <c r="A222" s="54"/>
      <c r="B222" s="54"/>
      <c r="C222" s="54"/>
      <c r="D222" s="54"/>
      <c r="E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54"/>
      <c r="AP222" s="54"/>
      <c r="AQ222" s="54"/>
      <c r="AR222" s="54"/>
      <c r="AS222" s="54"/>
      <c r="AT222" s="54"/>
      <c r="AU222" s="54"/>
      <c r="AV222" s="54"/>
      <c r="AW222" s="54"/>
      <c r="AX222" s="54"/>
      <c r="AY222" s="54"/>
      <c r="AZ222" s="54"/>
      <c r="BA222" s="54"/>
      <c r="BB222" s="54"/>
      <c r="BC222" s="54"/>
      <c r="BD222" s="54"/>
      <c r="BE222" s="54"/>
      <c r="BF222" s="54"/>
      <c r="BG222" s="54"/>
      <c r="BH222" s="54"/>
    </row>
    <row r="223" spans="1:60" x14ac:dyDescent="0.55000000000000004">
      <c r="A223" s="54"/>
      <c r="B223" s="54"/>
      <c r="C223" s="54"/>
      <c r="D223" s="54"/>
      <c r="E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4"/>
      <c r="AU223" s="54"/>
      <c r="AV223" s="54"/>
      <c r="AW223" s="54"/>
      <c r="AX223" s="54"/>
      <c r="AY223" s="54"/>
      <c r="AZ223" s="54"/>
      <c r="BA223" s="54"/>
      <c r="BB223" s="54"/>
      <c r="BC223" s="54"/>
      <c r="BD223" s="54"/>
      <c r="BE223" s="54"/>
      <c r="BF223" s="54"/>
      <c r="BG223" s="54"/>
      <c r="BH223" s="54"/>
    </row>
    <row r="224" spans="1:60" x14ac:dyDescent="0.55000000000000004">
      <c r="A224" s="54"/>
      <c r="B224" s="54"/>
      <c r="C224" s="54"/>
      <c r="D224" s="54"/>
      <c r="E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c r="BA224" s="54"/>
      <c r="BB224" s="54"/>
      <c r="BC224" s="54"/>
      <c r="BD224" s="54"/>
      <c r="BE224" s="54"/>
      <c r="BF224" s="54"/>
      <c r="BG224" s="54"/>
      <c r="BH224" s="54"/>
    </row>
    <row r="225" spans="1:60" x14ac:dyDescent="0.55000000000000004">
      <c r="A225" s="54"/>
      <c r="B225" s="54"/>
      <c r="C225" s="54"/>
      <c r="D225" s="54"/>
      <c r="E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c r="AI225" s="54"/>
      <c r="AJ225" s="54"/>
      <c r="AK225" s="54"/>
      <c r="AL225" s="54"/>
      <c r="AM225" s="54"/>
      <c r="AN225" s="54"/>
      <c r="AO225" s="54"/>
      <c r="AP225" s="54"/>
      <c r="AQ225" s="54"/>
      <c r="AR225" s="54"/>
      <c r="AS225" s="54"/>
      <c r="AT225" s="54"/>
      <c r="AU225" s="54"/>
      <c r="AV225" s="54"/>
      <c r="AW225" s="54"/>
      <c r="AX225" s="54"/>
      <c r="AY225" s="54"/>
      <c r="AZ225" s="54"/>
      <c r="BA225" s="54"/>
      <c r="BB225" s="54"/>
      <c r="BC225" s="54"/>
      <c r="BD225" s="54"/>
      <c r="BE225" s="54"/>
      <c r="BF225" s="54"/>
      <c r="BG225" s="54"/>
      <c r="BH225" s="54"/>
    </row>
    <row r="226" spans="1:60" x14ac:dyDescent="0.55000000000000004">
      <c r="A226" s="54"/>
      <c r="B226" s="54"/>
      <c r="C226" s="54"/>
      <c r="D226" s="54"/>
      <c r="E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54"/>
      <c r="AP226" s="54"/>
      <c r="AQ226" s="54"/>
      <c r="AR226" s="54"/>
      <c r="AS226" s="54"/>
      <c r="AT226" s="54"/>
      <c r="AU226" s="54"/>
      <c r="AV226" s="54"/>
      <c r="AW226" s="54"/>
      <c r="AX226" s="54"/>
      <c r="AY226" s="54"/>
      <c r="AZ226" s="54"/>
      <c r="BA226" s="54"/>
      <c r="BB226" s="54"/>
      <c r="BC226" s="54"/>
      <c r="BD226" s="54"/>
      <c r="BE226" s="54"/>
      <c r="BF226" s="54"/>
      <c r="BG226" s="54"/>
      <c r="BH226" s="54"/>
    </row>
    <row r="227" spans="1:60" x14ac:dyDescent="0.55000000000000004">
      <c r="A227" s="54"/>
      <c r="B227" s="54"/>
      <c r="C227" s="54"/>
      <c r="D227" s="54"/>
      <c r="E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c r="AI227" s="54"/>
      <c r="AJ227" s="54"/>
      <c r="AK227" s="54"/>
      <c r="AL227" s="54"/>
      <c r="AM227" s="54"/>
      <c r="AN227" s="54"/>
      <c r="AO227" s="54"/>
      <c r="AP227" s="54"/>
      <c r="AQ227" s="54"/>
      <c r="AR227" s="54"/>
      <c r="AS227" s="54"/>
      <c r="AT227" s="54"/>
      <c r="AU227" s="54"/>
      <c r="AV227" s="54"/>
      <c r="AW227" s="54"/>
      <c r="AX227" s="54"/>
      <c r="AY227" s="54"/>
      <c r="AZ227" s="54"/>
      <c r="BA227" s="54"/>
      <c r="BB227" s="54"/>
      <c r="BC227" s="54"/>
      <c r="BD227" s="54"/>
      <c r="BE227" s="54"/>
      <c r="BF227" s="54"/>
      <c r="BG227" s="54"/>
      <c r="BH227" s="54"/>
    </row>
    <row r="228" spans="1:60" x14ac:dyDescent="0.55000000000000004">
      <c r="A228" s="54"/>
      <c r="B228" s="54"/>
      <c r="C228" s="54"/>
      <c r="D228" s="54"/>
      <c r="E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c r="AI228" s="54"/>
      <c r="AJ228" s="54"/>
      <c r="AK228" s="54"/>
      <c r="AL228" s="54"/>
      <c r="AM228" s="54"/>
      <c r="AN228" s="54"/>
      <c r="AO228" s="54"/>
      <c r="AP228" s="54"/>
      <c r="AQ228" s="54"/>
      <c r="AR228" s="54"/>
      <c r="AS228" s="54"/>
      <c r="AT228" s="54"/>
      <c r="AU228" s="54"/>
      <c r="AV228" s="54"/>
      <c r="AW228" s="54"/>
      <c r="AX228" s="54"/>
      <c r="AY228" s="54"/>
      <c r="AZ228" s="54"/>
      <c r="BA228" s="54"/>
      <c r="BB228" s="54"/>
      <c r="BC228" s="54"/>
      <c r="BD228" s="54"/>
      <c r="BE228" s="54"/>
      <c r="BF228" s="54"/>
      <c r="BG228" s="54"/>
      <c r="BH228" s="54"/>
    </row>
    <row r="229" spans="1:60" x14ac:dyDescent="0.55000000000000004">
      <c r="A229" s="54"/>
      <c r="B229" s="54"/>
      <c r="C229" s="54"/>
      <c r="D229" s="54"/>
      <c r="E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c r="BA229" s="54"/>
      <c r="BB229" s="54"/>
      <c r="BC229" s="54"/>
      <c r="BD229" s="54"/>
      <c r="BE229" s="54"/>
      <c r="BF229" s="54"/>
      <c r="BG229" s="54"/>
      <c r="BH229" s="54"/>
    </row>
    <row r="230" spans="1:60" x14ac:dyDescent="0.55000000000000004">
      <c r="A230" s="54"/>
      <c r="B230" s="54"/>
      <c r="C230" s="54"/>
      <c r="D230" s="54"/>
      <c r="E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4"/>
      <c r="AU230" s="54"/>
      <c r="AV230" s="54"/>
      <c r="AW230" s="54"/>
      <c r="AX230" s="54"/>
      <c r="AY230" s="54"/>
      <c r="AZ230" s="54"/>
      <c r="BA230" s="54"/>
      <c r="BB230" s="54"/>
      <c r="BC230" s="54"/>
      <c r="BD230" s="54"/>
      <c r="BE230" s="54"/>
      <c r="BF230" s="54"/>
      <c r="BG230" s="54"/>
      <c r="BH230" s="54"/>
    </row>
    <row r="231" spans="1:60" x14ac:dyDescent="0.55000000000000004">
      <c r="A231" s="54"/>
      <c r="B231" s="54"/>
      <c r="C231" s="54"/>
      <c r="D231" s="54"/>
      <c r="E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c r="BA231" s="54"/>
      <c r="BB231" s="54"/>
      <c r="BC231" s="54"/>
      <c r="BD231" s="54"/>
      <c r="BE231" s="54"/>
      <c r="BF231" s="54"/>
      <c r="BG231" s="54"/>
      <c r="BH231" s="54"/>
    </row>
    <row r="232" spans="1:60" x14ac:dyDescent="0.55000000000000004">
      <c r="A232" s="54"/>
      <c r="B232" s="54"/>
      <c r="C232" s="54"/>
      <c r="D232" s="54"/>
      <c r="E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54"/>
      <c r="AK232" s="54"/>
      <c r="AL232" s="54"/>
      <c r="AM232" s="54"/>
      <c r="AN232" s="54"/>
      <c r="AO232" s="54"/>
      <c r="AP232" s="54"/>
      <c r="AQ232" s="54"/>
      <c r="AR232" s="54"/>
      <c r="AS232" s="54"/>
      <c r="AT232" s="54"/>
      <c r="AU232" s="54"/>
      <c r="AV232" s="54"/>
      <c r="AW232" s="54"/>
      <c r="AX232" s="54"/>
      <c r="AY232" s="54"/>
      <c r="AZ232" s="54"/>
      <c r="BA232" s="54"/>
      <c r="BB232" s="54"/>
      <c r="BC232" s="54"/>
      <c r="BD232" s="54"/>
      <c r="BE232" s="54"/>
      <c r="BF232" s="54"/>
      <c r="BG232" s="54"/>
      <c r="BH232" s="54"/>
    </row>
    <row r="233" spans="1:60" x14ac:dyDescent="0.55000000000000004">
      <c r="A233" s="54"/>
      <c r="B233" s="54"/>
      <c r="C233" s="54"/>
      <c r="D233" s="54"/>
      <c r="E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54"/>
      <c r="AK233" s="54"/>
      <c r="AL233" s="54"/>
      <c r="AM233" s="54"/>
      <c r="AN233" s="54"/>
      <c r="AO233" s="54"/>
      <c r="AP233" s="54"/>
      <c r="AQ233" s="54"/>
      <c r="AR233" s="54"/>
      <c r="AS233" s="54"/>
      <c r="AT233" s="54"/>
      <c r="AU233" s="54"/>
      <c r="AV233" s="54"/>
      <c r="AW233" s="54"/>
      <c r="AX233" s="54"/>
      <c r="AY233" s="54"/>
      <c r="AZ233" s="54"/>
      <c r="BA233" s="54"/>
      <c r="BB233" s="54"/>
      <c r="BC233" s="54"/>
      <c r="BD233" s="54"/>
      <c r="BE233" s="54"/>
      <c r="BF233" s="54"/>
      <c r="BG233" s="54"/>
      <c r="BH233" s="54"/>
    </row>
    <row r="234" spans="1:60" x14ac:dyDescent="0.55000000000000004">
      <c r="A234" s="54"/>
      <c r="B234" s="54"/>
      <c r="C234" s="54"/>
      <c r="D234" s="54"/>
      <c r="E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54"/>
      <c r="AK234" s="54"/>
      <c r="AL234" s="54"/>
      <c r="AM234" s="54"/>
      <c r="AN234" s="54"/>
      <c r="AO234" s="54"/>
      <c r="AP234" s="54"/>
      <c r="AQ234" s="54"/>
      <c r="AR234" s="54"/>
      <c r="AS234" s="54"/>
      <c r="AT234" s="54"/>
      <c r="AU234" s="54"/>
      <c r="AV234" s="54"/>
      <c r="AW234" s="54"/>
      <c r="AX234" s="54"/>
      <c r="AY234" s="54"/>
      <c r="AZ234" s="54"/>
      <c r="BA234" s="54"/>
      <c r="BB234" s="54"/>
      <c r="BC234" s="54"/>
      <c r="BD234" s="54"/>
      <c r="BE234" s="54"/>
      <c r="BF234" s="54"/>
      <c r="BG234" s="54"/>
      <c r="BH234" s="54"/>
    </row>
    <row r="235" spans="1:60" x14ac:dyDescent="0.55000000000000004">
      <c r="A235" s="54"/>
      <c r="B235" s="54"/>
      <c r="C235" s="54"/>
      <c r="D235" s="54"/>
      <c r="E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4"/>
      <c r="AN235" s="54"/>
      <c r="AO235" s="54"/>
      <c r="AP235" s="54"/>
      <c r="AQ235" s="54"/>
      <c r="AR235" s="54"/>
      <c r="AS235" s="54"/>
      <c r="AT235" s="54"/>
      <c r="AU235" s="54"/>
      <c r="AV235" s="54"/>
      <c r="AW235" s="54"/>
      <c r="AX235" s="54"/>
      <c r="AY235" s="54"/>
      <c r="AZ235" s="54"/>
      <c r="BA235" s="54"/>
      <c r="BB235" s="54"/>
      <c r="BC235" s="54"/>
      <c r="BD235" s="54"/>
      <c r="BE235" s="54"/>
      <c r="BF235" s="54"/>
      <c r="BG235" s="54"/>
      <c r="BH235" s="54"/>
    </row>
    <row r="236" spans="1:60" x14ac:dyDescent="0.55000000000000004">
      <c r="A236" s="54"/>
      <c r="B236" s="54"/>
      <c r="C236" s="54"/>
      <c r="D236" s="54"/>
      <c r="E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c r="BA236" s="54"/>
      <c r="BB236" s="54"/>
      <c r="BC236" s="54"/>
      <c r="BD236" s="54"/>
      <c r="BE236" s="54"/>
      <c r="BF236" s="54"/>
      <c r="BG236" s="54"/>
      <c r="BH236" s="54"/>
    </row>
    <row r="237" spans="1:60" x14ac:dyDescent="0.55000000000000004">
      <c r="A237" s="54"/>
      <c r="B237" s="54"/>
      <c r="C237" s="54"/>
      <c r="D237" s="54"/>
      <c r="E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c r="BA237" s="54"/>
      <c r="BB237" s="54"/>
      <c r="BC237" s="54"/>
      <c r="BD237" s="54"/>
      <c r="BE237" s="54"/>
      <c r="BF237" s="54"/>
      <c r="BG237" s="54"/>
      <c r="BH237" s="54"/>
    </row>
    <row r="238" spans="1:60" x14ac:dyDescent="0.55000000000000004">
      <c r="A238" s="54"/>
      <c r="B238" s="54"/>
      <c r="C238" s="54"/>
      <c r="D238" s="54"/>
      <c r="E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54"/>
      <c r="AK238" s="54"/>
      <c r="AL238" s="54"/>
      <c r="AM238" s="54"/>
      <c r="AN238" s="54"/>
      <c r="AO238" s="54"/>
      <c r="AP238" s="54"/>
      <c r="AQ238" s="54"/>
      <c r="AR238" s="54"/>
      <c r="AS238" s="54"/>
      <c r="AT238" s="54"/>
      <c r="AU238" s="54"/>
      <c r="AV238" s="54"/>
      <c r="AW238" s="54"/>
      <c r="AX238" s="54"/>
      <c r="AY238" s="54"/>
      <c r="AZ238" s="54"/>
      <c r="BA238" s="54"/>
      <c r="BB238" s="54"/>
      <c r="BC238" s="54"/>
      <c r="BD238" s="54"/>
      <c r="BE238" s="54"/>
      <c r="BF238" s="54"/>
      <c r="BG238" s="54"/>
      <c r="BH238" s="54"/>
    </row>
    <row r="239" spans="1:60" x14ac:dyDescent="0.55000000000000004">
      <c r="A239" s="54"/>
      <c r="B239" s="54"/>
      <c r="C239" s="54"/>
      <c r="D239" s="54"/>
      <c r="E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c r="AM239" s="54"/>
      <c r="AN239" s="54"/>
      <c r="AO239" s="54"/>
      <c r="AP239" s="54"/>
      <c r="AQ239" s="54"/>
      <c r="AR239" s="54"/>
      <c r="AS239" s="54"/>
      <c r="AT239" s="54"/>
      <c r="AU239" s="54"/>
      <c r="AV239" s="54"/>
      <c r="AW239" s="54"/>
      <c r="AX239" s="54"/>
      <c r="AY239" s="54"/>
      <c r="AZ239" s="54"/>
      <c r="BA239" s="54"/>
      <c r="BB239" s="54"/>
      <c r="BC239" s="54"/>
      <c r="BD239" s="54"/>
      <c r="BE239" s="54"/>
      <c r="BF239" s="54"/>
      <c r="BG239" s="54"/>
      <c r="BH239" s="54"/>
    </row>
    <row r="240" spans="1:60" x14ac:dyDescent="0.55000000000000004">
      <c r="A240" s="54"/>
      <c r="B240" s="54"/>
      <c r="C240" s="54"/>
      <c r="D240" s="54"/>
      <c r="E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c r="AM240" s="54"/>
      <c r="AN240" s="54"/>
      <c r="AO240" s="54"/>
      <c r="AP240" s="54"/>
      <c r="AQ240" s="54"/>
      <c r="AR240" s="54"/>
      <c r="AS240" s="54"/>
      <c r="AT240" s="54"/>
      <c r="AU240" s="54"/>
      <c r="AV240" s="54"/>
      <c r="AW240" s="54"/>
      <c r="AX240" s="54"/>
      <c r="AY240" s="54"/>
      <c r="AZ240" s="54"/>
      <c r="BA240" s="54"/>
      <c r="BB240" s="54"/>
      <c r="BC240" s="54"/>
      <c r="BD240" s="54"/>
      <c r="BE240" s="54"/>
      <c r="BF240" s="54"/>
      <c r="BG240" s="54"/>
      <c r="BH240" s="54"/>
    </row>
    <row r="241" spans="1:60" x14ac:dyDescent="0.55000000000000004">
      <c r="A241" s="54"/>
      <c r="B241" s="54"/>
      <c r="C241" s="54"/>
      <c r="D241" s="54"/>
      <c r="E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4"/>
      <c r="AN241" s="54"/>
      <c r="AO241" s="54"/>
      <c r="AP241" s="54"/>
      <c r="AQ241" s="54"/>
      <c r="AR241" s="54"/>
      <c r="AS241" s="54"/>
      <c r="AT241" s="54"/>
      <c r="AU241" s="54"/>
      <c r="AV241" s="54"/>
      <c r="AW241" s="54"/>
      <c r="AX241" s="54"/>
      <c r="AY241" s="54"/>
      <c r="AZ241" s="54"/>
      <c r="BA241" s="54"/>
      <c r="BB241" s="54"/>
      <c r="BC241" s="54"/>
      <c r="BD241" s="54"/>
      <c r="BE241" s="54"/>
      <c r="BF241" s="54"/>
      <c r="BG241" s="54"/>
      <c r="BH241" s="54"/>
    </row>
    <row r="242" spans="1:60" x14ac:dyDescent="0.55000000000000004">
      <c r="A242" s="54"/>
      <c r="B242" s="54"/>
      <c r="C242" s="54"/>
      <c r="D242" s="54"/>
      <c r="E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4"/>
      <c r="AU242" s="54"/>
      <c r="AV242" s="54"/>
      <c r="AW242" s="54"/>
      <c r="AX242" s="54"/>
      <c r="AY242" s="54"/>
      <c r="AZ242" s="54"/>
      <c r="BA242" s="54"/>
      <c r="BB242" s="54"/>
      <c r="BC242" s="54"/>
      <c r="BD242" s="54"/>
      <c r="BE242" s="54"/>
      <c r="BF242" s="54"/>
      <c r="BG242" s="54"/>
      <c r="BH242" s="54"/>
    </row>
    <row r="243" spans="1:60" x14ac:dyDescent="0.55000000000000004">
      <c r="A243" s="54"/>
      <c r="B243" s="54"/>
      <c r="C243" s="54"/>
      <c r="D243" s="54"/>
      <c r="E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c r="AM243" s="54"/>
      <c r="AN243" s="54"/>
      <c r="AO243" s="54"/>
      <c r="AP243" s="54"/>
      <c r="AQ243" s="54"/>
      <c r="AR243" s="54"/>
      <c r="AS243" s="54"/>
      <c r="AT243" s="54"/>
      <c r="AU243" s="54"/>
      <c r="AV243" s="54"/>
      <c r="AW243" s="54"/>
      <c r="AX243" s="54"/>
      <c r="AY243" s="54"/>
      <c r="AZ243" s="54"/>
      <c r="BA243" s="54"/>
      <c r="BB243" s="54"/>
      <c r="BC243" s="54"/>
      <c r="BD243" s="54"/>
      <c r="BE243" s="54"/>
      <c r="BF243" s="54"/>
      <c r="BG243" s="54"/>
      <c r="BH243" s="54"/>
    </row>
    <row r="244" spans="1:60" x14ac:dyDescent="0.55000000000000004">
      <c r="A244" s="54"/>
      <c r="B244" s="54"/>
      <c r="C244" s="54"/>
      <c r="D244" s="54"/>
      <c r="E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54"/>
      <c r="BA244" s="54"/>
      <c r="BB244" s="54"/>
      <c r="BC244" s="54"/>
      <c r="BD244" s="54"/>
      <c r="BE244" s="54"/>
      <c r="BF244" s="54"/>
      <c r="BG244" s="54"/>
      <c r="BH244" s="54"/>
    </row>
    <row r="245" spans="1:60" x14ac:dyDescent="0.55000000000000004">
      <c r="A245" s="54"/>
      <c r="B245" s="54"/>
      <c r="C245" s="54"/>
      <c r="D245" s="54"/>
      <c r="E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54"/>
      <c r="AP245" s="54"/>
      <c r="AQ245" s="54"/>
      <c r="AR245" s="54"/>
      <c r="AS245" s="54"/>
      <c r="AT245" s="54"/>
      <c r="AU245" s="54"/>
      <c r="AV245" s="54"/>
      <c r="AW245" s="54"/>
      <c r="AX245" s="54"/>
      <c r="AY245" s="54"/>
      <c r="AZ245" s="54"/>
      <c r="BA245" s="54"/>
      <c r="BB245" s="54"/>
      <c r="BC245" s="54"/>
      <c r="BD245" s="54"/>
      <c r="BE245" s="54"/>
      <c r="BF245" s="54"/>
      <c r="BG245" s="54"/>
      <c r="BH245" s="54"/>
    </row>
    <row r="246" spans="1:60" x14ac:dyDescent="0.55000000000000004">
      <c r="A246" s="54"/>
      <c r="B246" s="54"/>
      <c r="C246" s="54"/>
      <c r="D246" s="54"/>
      <c r="E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c r="BA246" s="54"/>
      <c r="BB246" s="54"/>
      <c r="BC246" s="54"/>
      <c r="BD246" s="54"/>
      <c r="BE246" s="54"/>
      <c r="BF246" s="54"/>
      <c r="BG246" s="54"/>
      <c r="BH246" s="54"/>
    </row>
    <row r="247" spans="1:60" x14ac:dyDescent="0.55000000000000004">
      <c r="A247" s="54"/>
      <c r="B247" s="54"/>
      <c r="C247" s="54"/>
      <c r="D247" s="54"/>
      <c r="E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54"/>
      <c r="AP247" s="54"/>
      <c r="AQ247" s="54"/>
      <c r="AR247" s="54"/>
      <c r="AS247" s="54"/>
      <c r="AT247" s="54"/>
      <c r="AU247" s="54"/>
      <c r="AV247" s="54"/>
      <c r="AW247" s="54"/>
      <c r="AX247" s="54"/>
      <c r="AY247" s="54"/>
      <c r="AZ247" s="54"/>
      <c r="BA247" s="54"/>
      <c r="BB247" s="54"/>
      <c r="BC247" s="54"/>
      <c r="BD247" s="54"/>
      <c r="BE247" s="54"/>
      <c r="BF247" s="54"/>
      <c r="BG247" s="54"/>
      <c r="BH247" s="54"/>
    </row>
    <row r="248" spans="1:60" x14ac:dyDescent="0.55000000000000004">
      <c r="A248" s="54"/>
      <c r="B248" s="54"/>
      <c r="C248" s="54"/>
      <c r="D248" s="54"/>
      <c r="E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54"/>
      <c r="AP248" s="54"/>
      <c r="AQ248" s="54"/>
      <c r="AR248" s="54"/>
      <c r="AS248" s="54"/>
      <c r="AT248" s="54"/>
      <c r="AU248" s="54"/>
      <c r="AV248" s="54"/>
      <c r="AW248" s="54"/>
      <c r="AX248" s="54"/>
      <c r="AY248" s="54"/>
      <c r="AZ248" s="54"/>
      <c r="BA248" s="54"/>
      <c r="BB248" s="54"/>
      <c r="BC248" s="54"/>
      <c r="BD248" s="54"/>
      <c r="BE248" s="54"/>
      <c r="BF248" s="54"/>
      <c r="BG248" s="54"/>
      <c r="BH248" s="54"/>
    </row>
    <row r="249" spans="1:60" x14ac:dyDescent="0.55000000000000004">
      <c r="A249" s="54"/>
      <c r="B249" s="54"/>
      <c r="C249" s="54"/>
      <c r="D249" s="54"/>
      <c r="E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c r="AM249" s="54"/>
      <c r="AN249" s="54"/>
      <c r="AO249" s="54"/>
      <c r="AP249" s="54"/>
      <c r="AQ249" s="54"/>
      <c r="AR249" s="54"/>
      <c r="AS249" s="54"/>
      <c r="AT249" s="54"/>
      <c r="AU249" s="54"/>
      <c r="AV249" s="54"/>
      <c r="AW249" s="54"/>
      <c r="AX249" s="54"/>
      <c r="AY249" s="54"/>
      <c r="AZ249" s="54"/>
      <c r="BA249" s="54"/>
      <c r="BB249" s="54"/>
      <c r="BC249" s="54"/>
      <c r="BD249" s="54"/>
      <c r="BE249" s="54"/>
      <c r="BF249" s="54"/>
      <c r="BG249" s="54"/>
      <c r="BH249" s="54"/>
    </row>
    <row r="250" spans="1:60" x14ac:dyDescent="0.55000000000000004">
      <c r="A250" s="54"/>
      <c r="B250" s="54"/>
      <c r="C250" s="54"/>
      <c r="D250" s="54"/>
      <c r="E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c r="BA250" s="54"/>
      <c r="BB250" s="54"/>
      <c r="BC250" s="54"/>
      <c r="BD250" s="54"/>
      <c r="BE250" s="54"/>
      <c r="BF250" s="54"/>
      <c r="BG250" s="54"/>
      <c r="BH250" s="54"/>
    </row>
    <row r="251" spans="1:60" x14ac:dyDescent="0.55000000000000004">
      <c r="A251" s="54"/>
      <c r="B251" s="54"/>
      <c r="C251" s="54"/>
      <c r="D251" s="54"/>
      <c r="E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54"/>
      <c r="AP251" s="54"/>
      <c r="AQ251" s="54"/>
      <c r="AR251" s="54"/>
      <c r="AS251" s="54"/>
      <c r="AT251" s="54"/>
      <c r="AU251" s="54"/>
      <c r="AV251" s="54"/>
      <c r="AW251" s="54"/>
      <c r="AX251" s="54"/>
      <c r="AY251" s="54"/>
      <c r="AZ251" s="54"/>
      <c r="BA251" s="54"/>
      <c r="BB251" s="54"/>
      <c r="BC251" s="54"/>
      <c r="BD251" s="54"/>
      <c r="BE251" s="54"/>
      <c r="BF251" s="54"/>
      <c r="BG251" s="54"/>
      <c r="BH251" s="54"/>
    </row>
    <row r="252" spans="1:60" x14ac:dyDescent="0.55000000000000004">
      <c r="A252" s="54"/>
      <c r="B252" s="54"/>
      <c r="C252" s="54"/>
      <c r="D252" s="54"/>
      <c r="E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c r="AM252" s="54"/>
      <c r="AN252" s="54"/>
      <c r="AO252" s="54"/>
      <c r="AP252" s="54"/>
      <c r="AQ252" s="54"/>
      <c r="AR252" s="54"/>
      <c r="AS252" s="54"/>
      <c r="AT252" s="54"/>
      <c r="AU252" s="54"/>
      <c r="AV252" s="54"/>
      <c r="AW252" s="54"/>
      <c r="AX252" s="54"/>
      <c r="AY252" s="54"/>
      <c r="AZ252" s="54"/>
      <c r="BA252" s="54"/>
      <c r="BB252" s="54"/>
      <c r="BC252" s="54"/>
      <c r="BD252" s="54"/>
      <c r="BE252" s="54"/>
      <c r="BF252" s="54"/>
      <c r="BG252" s="54"/>
      <c r="BH252" s="54"/>
    </row>
    <row r="253" spans="1:60" x14ac:dyDescent="0.55000000000000004">
      <c r="A253" s="54"/>
      <c r="B253" s="54"/>
      <c r="C253" s="54"/>
      <c r="D253" s="54"/>
      <c r="E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row>
    <row r="254" spans="1:60" x14ac:dyDescent="0.55000000000000004">
      <c r="A254" s="54"/>
      <c r="B254" s="54"/>
      <c r="C254" s="54"/>
      <c r="D254" s="54"/>
      <c r="E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row>
    <row r="255" spans="1:60" x14ac:dyDescent="0.55000000000000004">
      <c r="A255" s="54"/>
      <c r="B255" s="54"/>
      <c r="C255" s="54"/>
      <c r="D255" s="54"/>
      <c r="E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row>
    <row r="256" spans="1:60" x14ac:dyDescent="0.55000000000000004">
      <c r="A256" s="54"/>
      <c r="B256" s="54"/>
      <c r="C256" s="54"/>
      <c r="D256" s="54"/>
      <c r="E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row>
    <row r="257" spans="1:60" x14ac:dyDescent="0.55000000000000004">
      <c r="A257" s="54"/>
      <c r="B257" s="54"/>
      <c r="C257" s="54"/>
      <c r="D257" s="54"/>
      <c r="E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row>
    <row r="258" spans="1:60" x14ac:dyDescent="0.55000000000000004">
      <c r="A258" s="54"/>
      <c r="B258" s="54"/>
      <c r="C258" s="54"/>
      <c r="D258" s="54"/>
      <c r="E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row>
    <row r="259" spans="1:60" x14ac:dyDescent="0.55000000000000004">
      <c r="A259" s="54"/>
      <c r="B259" s="54"/>
      <c r="C259" s="54"/>
      <c r="D259" s="54"/>
      <c r="E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row>
    <row r="260" spans="1:60" x14ac:dyDescent="0.55000000000000004">
      <c r="A260" s="54"/>
      <c r="B260" s="54"/>
      <c r="C260" s="54"/>
      <c r="D260" s="54"/>
      <c r="E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row>
    <row r="261" spans="1:60" x14ac:dyDescent="0.55000000000000004">
      <c r="A261" s="54"/>
      <c r="B261" s="54"/>
      <c r="C261" s="54"/>
      <c r="D261" s="54"/>
      <c r="E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c r="BA261" s="54"/>
      <c r="BB261" s="54"/>
      <c r="BC261" s="54"/>
      <c r="BD261" s="54"/>
      <c r="BE261" s="54"/>
      <c r="BF261" s="54"/>
      <c r="BG261" s="54"/>
      <c r="BH261" s="54"/>
    </row>
    <row r="262" spans="1:60" x14ac:dyDescent="0.55000000000000004">
      <c r="A262" s="54"/>
      <c r="B262" s="54"/>
      <c r="C262" s="54"/>
      <c r="D262" s="54"/>
      <c r="E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c r="BA262" s="54"/>
      <c r="BB262" s="54"/>
      <c r="BC262" s="54"/>
      <c r="BD262" s="54"/>
      <c r="BE262" s="54"/>
      <c r="BF262" s="54"/>
      <c r="BG262" s="54"/>
      <c r="BH262" s="54"/>
    </row>
    <row r="263" spans="1:60" x14ac:dyDescent="0.55000000000000004">
      <c r="A263" s="54"/>
      <c r="B263" s="54"/>
      <c r="C263" s="54"/>
      <c r="D263" s="54"/>
      <c r="E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54"/>
      <c r="AP263" s="54"/>
      <c r="AQ263" s="54"/>
      <c r="AR263" s="54"/>
      <c r="AS263" s="54"/>
      <c r="AT263" s="54"/>
      <c r="AU263" s="54"/>
      <c r="AV263" s="54"/>
      <c r="AW263" s="54"/>
      <c r="AX263" s="54"/>
      <c r="AY263" s="54"/>
      <c r="AZ263" s="54"/>
      <c r="BA263" s="54"/>
      <c r="BB263" s="54"/>
      <c r="BC263" s="54"/>
      <c r="BD263" s="54"/>
      <c r="BE263" s="54"/>
      <c r="BF263" s="54"/>
      <c r="BG263" s="54"/>
      <c r="BH263" s="54"/>
    </row>
    <row r="264" spans="1:60" x14ac:dyDescent="0.55000000000000004">
      <c r="A264" s="54"/>
      <c r="B264" s="54"/>
      <c r="C264" s="54"/>
      <c r="D264" s="54"/>
      <c r="E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c r="BA264" s="54"/>
      <c r="BB264" s="54"/>
      <c r="BC264" s="54"/>
      <c r="BD264" s="54"/>
      <c r="BE264" s="54"/>
      <c r="BF264" s="54"/>
      <c r="BG264" s="54"/>
      <c r="BH264" s="54"/>
    </row>
    <row r="265" spans="1:60" x14ac:dyDescent="0.55000000000000004">
      <c r="A265" s="54"/>
      <c r="B265" s="54"/>
      <c r="C265" s="54"/>
      <c r="D265" s="54"/>
      <c r="E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4"/>
      <c r="AU265" s="54"/>
      <c r="AV265" s="54"/>
      <c r="AW265" s="54"/>
      <c r="AX265" s="54"/>
      <c r="AY265" s="54"/>
      <c r="AZ265" s="54"/>
      <c r="BA265" s="54"/>
      <c r="BB265" s="54"/>
      <c r="BC265" s="54"/>
      <c r="BD265" s="54"/>
      <c r="BE265" s="54"/>
      <c r="BF265" s="54"/>
      <c r="BG265" s="54"/>
      <c r="BH265" s="54"/>
    </row>
    <row r="266" spans="1:60" x14ac:dyDescent="0.55000000000000004">
      <c r="A266" s="54"/>
      <c r="B266" s="54"/>
      <c r="C266" s="54"/>
      <c r="D266" s="54"/>
      <c r="E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c r="BA266" s="54"/>
      <c r="BB266" s="54"/>
      <c r="BC266" s="54"/>
      <c r="BD266" s="54"/>
      <c r="BE266" s="54"/>
      <c r="BF266" s="54"/>
      <c r="BG266" s="54"/>
      <c r="BH266" s="54"/>
    </row>
    <row r="267" spans="1:60" x14ac:dyDescent="0.55000000000000004">
      <c r="A267" s="54"/>
      <c r="B267" s="54"/>
      <c r="C267" s="54"/>
      <c r="D267" s="54"/>
      <c r="E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c r="AO267" s="54"/>
      <c r="AP267" s="54"/>
      <c r="AQ267" s="54"/>
      <c r="AR267" s="54"/>
      <c r="AS267" s="54"/>
      <c r="AT267" s="54"/>
      <c r="AU267" s="54"/>
      <c r="AV267" s="54"/>
      <c r="AW267" s="54"/>
      <c r="AX267" s="54"/>
      <c r="AY267" s="54"/>
      <c r="AZ267" s="54"/>
      <c r="BA267" s="54"/>
      <c r="BB267" s="54"/>
      <c r="BC267" s="54"/>
      <c r="BD267" s="54"/>
      <c r="BE267" s="54"/>
      <c r="BF267" s="54"/>
      <c r="BG267" s="54"/>
      <c r="BH267" s="54"/>
    </row>
    <row r="268" spans="1:60" x14ac:dyDescent="0.55000000000000004">
      <c r="A268" s="54"/>
      <c r="B268" s="54"/>
      <c r="C268" s="54"/>
      <c r="D268" s="54"/>
      <c r="E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c r="BA268" s="54"/>
      <c r="BB268" s="54"/>
      <c r="BC268" s="54"/>
      <c r="BD268" s="54"/>
      <c r="BE268" s="54"/>
      <c r="BF268" s="54"/>
      <c r="BG268" s="54"/>
      <c r="BH268" s="54"/>
    </row>
    <row r="269" spans="1:60" x14ac:dyDescent="0.55000000000000004">
      <c r="A269" s="54"/>
      <c r="B269" s="54"/>
      <c r="C269" s="54"/>
      <c r="D269" s="54"/>
      <c r="E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54"/>
      <c r="AL269" s="54"/>
      <c r="AM269" s="54"/>
      <c r="AN269" s="54"/>
      <c r="AO269" s="54"/>
      <c r="AP269" s="54"/>
      <c r="AQ269" s="54"/>
      <c r="AR269" s="54"/>
      <c r="AS269" s="54"/>
      <c r="AT269" s="54"/>
      <c r="AU269" s="54"/>
      <c r="AV269" s="54"/>
      <c r="AW269" s="54"/>
      <c r="AX269" s="54"/>
      <c r="AY269" s="54"/>
      <c r="AZ269" s="54"/>
      <c r="BA269" s="54"/>
      <c r="BB269" s="54"/>
      <c r="BC269" s="54"/>
      <c r="BD269" s="54"/>
      <c r="BE269" s="54"/>
      <c r="BF269" s="54"/>
      <c r="BG269" s="54"/>
      <c r="BH269" s="54"/>
    </row>
    <row r="270" spans="1:60" x14ac:dyDescent="0.55000000000000004">
      <c r="A270" s="54"/>
      <c r="B270" s="54"/>
      <c r="C270" s="54"/>
      <c r="D270" s="54"/>
      <c r="E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54"/>
      <c r="AL270" s="54"/>
      <c r="AM270" s="54"/>
      <c r="AN270" s="54"/>
      <c r="AO270" s="54"/>
      <c r="AP270" s="54"/>
      <c r="AQ270" s="54"/>
      <c r="AR270" s="54"/>
      <c r="AS270" s="54"/>
      <c r="AT270" s="54"/>
      <c r="AU270" s="54"/>
      <c r="AV270" s="54"/>
      <c r="AW270" s="54"/>
      <c r="AX270" s="54"/>
      <c r="AY270" s="54"/>
      <c r="AZ270" s="54"/>
      <c r="BA270" s="54"/>
      <c r="BB270" s="54"/>
      <c r="BC270" s="54"/>
      <c r="BD270" s="54"/>
      <c r="BE270" s="54"/>
      <c r="BF270" s="54"/>
      <c r="BG270" s="54"/>
      <c r="BH270" s="54"/>
    </row>
    <row r="271" spans="1:60" x14ac:dyDescent="0.55000000000000004">
      <c r="A271" s="54"/>
      <c r="B271" s="54"/>
      <c r="C271" s="54"/>
      <c r="D271" s="54"/>
      <c r="E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4"/>
      <c r="AN271" s="54"/>
      <c r="AO271" s="54"/>
      <c r="AP271" s="54"/>
      <c r="AQ271" s="54"/>
      <c r="AR271" s="54"/>
      <c r="AS271" s="54"/>
      <c r="AT271" s="54"/>
      <c r="AU271" s="54"/>
      <c r="AV271" s="54"/>
      <c r="AW271" s="54"/>
      <c r="AX271" s="54"/>
      <c r="AY271" s="54"/>
      <c r="AZ271" s="54"/>
      <c r="BA271" s="54"/>
      <c r="BB271" s="54"/>
      <c r="BC271" s="54"/>
      <c r="BD271" s="54"/>
      <c r="BE271" s="54"/>
      <c r="BF271" s="54"/>
      <c r="BG271" s="54"/>
      <c r="BH271" s="54"/>
    </row>
    <row r="272" spans="1:60" x14ac:dyDescent="0.55000000000000004">
      <c r="A272" s="54"/>
      <c r="B272" s="54"/>
      <c r="C272" s="54"/>
      <c r="D272" s="54"/>
      <c r="E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54"/>
      <c r="AL272" s="54"/>
      <c r="AM272" s="54"/>
      <c r="AN272" s="54"/>
      <c r="AO272" s="54"/>
      <c r="AP272" s="54"/>
      <c r="AQ272" s="54"/>
      <c r="AR272" s="54"/>
      <c r="AS272" s="54"/>
      <c r="AT272" s="54"/>
      <c r="AU272" s="54"/>
      <c r="AV272" s="54"/>
      <c r="AW272" s="54"/>
      <c r="AX272" s="54"/>
      <c r="AY272" s="54"/>
      <c r="AZ272" s="54"/>
      <c r="BA272" s="54"/>
      <c r="BB272" s="54"/>
      <c r="BC272" s="54"/>
      <c r="BD272" s="54"/>
      <c r="BE272" s="54"/>
      <c r="BF272" s="54"/>
      <c r="BG272" s="54"/>
      <c r="BH272" s="54"/>
    </row>
    <row r="273" spans="1:60" x14ac:dyDescent="0.55000000000000004">
      <c r="A273" s="54"/>
      <c r="B273" s="54"/>
      <c r="C273" s="54"/>
      <c r="D273" s="54"/>
      <c r="E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54"/>
      <c r="AP273" s="54"/>
      <c r="AQ273" s="54"/>
      <c r="AR273" s="54"/>
      <c r="AS273" s="54"/>
      <c r="AT273" s="54"/>
      <c r="AU273" s="54"/>
      <c r="AV273" s="54"/>
      <c r="AW273" s="54"/>
      <c r="AX273" s="54"/>
      <c r="AY273" s="54"/>
      <c r="AZ273" s="54"/>
      <c r="BA273" s="54"/>
      <c r="BB273" s="54"/>
      <c r="BC273" s="54"/>
      <c r="BD273" s="54"/>
      <c r="BE273" s="54"/>
      <c r="BF273" s="54"/>
      <c r="BG273" s="54"/>
      <c r="BH273" s="54"/>
    </row>
    <row r="274" spans="1:60" x14ac:dyDescent="0.55000000000000004">
      <c r="A274" s="54"/>
      <c r="B274" s="54"/>
      <c r="C274" s="54"/>
      <c r="D274" s="54"/>
      <c r="E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c r="AM274" s="54"/>
      <c r="AN274" s="54"/>
      <c r="AO274" s="54"/>
      <c r="AP274" s="54"/>
      <c r="AQ274" s="54"/>
      <c r="AR274" s="54"/>
      <c r="AS274" s="54"/>
      <c r="AT274" s="54"/>
      <c r="AU274" s="54"/>
      <c r="AV274" s="54"/>
      <c r="AW274" s="54"/>
      <c r="AX274" s="54"/>
      <c r="AY274" s="54"/>
      <c r="AZ274" s="54"/>
      <c r="BA274" s="54"/>
      <c r="BB274" s="54"/>
      <c r="BC274" s="54"/>
      <c r="BD274" s="54"/>
      <c r="BE274" s="54"/>
      <c r="BF274" s="54"/>
      <c r="BG274" s="54"/>
      <c r="BH274" s="54"/>
    </row>
    <row r="275" spans="1:60" x14ac:dyDescent="0.55000000000000004">
      <c r="A275" s="54"/>
      <c r="B275" s="54"/>
      <c r="C275" s="54"/>
      <c r="D275" s="54"/>
      <c r="E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c r="AM275" s="54"/>
      <c r="AN275" s="54"/>
      <c r="AO275" s="54"/>
      <c r="AP275" s="54"/>
      <c r="AQ275" s="54"/>
      <c r="AR275" s="54"/>
      <c r="AS275" s="54"/>
      <c r="AT275" s="54"/>
      <c r="AU275" s="54"/>
      <c r="AV275" s="54"/>
      <c r="AW275" s="54"/>
      <c r="AX275" s="54"/>
      <c r="AY275" s="54"/>
      <c r="AZ275" s="54"/>
      <c r="BA275" s="54"/>
      <c r="BB275" s="54"/>
      <c r="BC275" s="54"/>
      <c r="BD275" s="54"/>
      <c r="BE275" s="54"/>
      <c r="BF275" s="54"/>
      <c r="BG275" s="54"/>
      <c r="BH275" s="54"/>
    </row>
    <row r="276" spans="1:60" x14ac:dyDescent="0.55000000000000004">
      <c r="A276" s="54"/>
      <c r="B276" s="54"/>
      <c r="C276" s="54"/>
      <c r="D276" s="54"/>
      <c r="E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54"/>
      <c r="AL276" s="54"/>
      <c r="AM276" s="54"/>
      <c r="AN276" s="54"/>
      <c r="AO276" s="54"/>
      <c r="AP276" s="54"/>
      <c r="AQ276" s="54"/>
      <c r="AR276" s="54"/>
      <c r="AS276" s="54"/>
      <c r="AT276" s="54"/>
      <c r="AU276" s="54"/>
      <c r="AV276" s="54"/>
      <c r="AW276" s="54"/>
      <c r="AX276" s="54"/>
      <c r="AY276" s="54"/>
      <c r="AZ276" s="54"/>
      <c r="BA276" s="54"/>
      <c r="BB276" s="54"/>
      <c r="BC276" s="54"/>
      <c r="BD276" s="54"/>
      <c r="BE276" s="54"/>
      <c r="BF276" s="54"/>
      <c r="BG276" s="54"/>
      <c r="BH276" s="54"/>
    </row>
    <row r="277" spans="1:60" x14ac:dyDescent="0.55000000000000004">
      <c r="A277" s="54"/>
      <c r="B277" s="54"/>
      <c r="C277" s="54"/>
      <c r="D277" s="54"/>
      <c r="E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4"/>
      <c r="AN277" s="54"/>
      <c r="AO277" s="54"/>
      <c r="AP277" s="54"/>
      <c r="AQ277" s="54"/>
      <c r="AR277" s="54"/>
      <c r="AS277" s="54"/>
      <c r="AT277" s="54"/>
      <c r="AU277" s="54"/>
      <c r="AV277" s="54"/>
      <c r="AW277" s="54"/>
      <c r="AX277" s="54"/>
      <c r="AY277" s="54"/>
      <c r="AZ277" s="54"/>
      <c r="BA277" s="54"/>
      <c r="BB277" s="54"/>
      <c r="BC277" s="54"/>
      <c r="BD277" s="54"/>
      <c r="BE277" s="54"/>
      <c r="BF277" s="54"/>
      <c r="BG277" s="54"/>
      <c r="BH277" s="54"/>
    </row>
    <row r="278" spans="1:60" x14ac:dyDescent="0.55000000000000004">
      <c r="A278" s="54"/>
      <c r="B278" s="54"/>
      <c r="C278" s="54"/>
      <c r="D278" s="54"/>
      <c r="E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54"/>
      <c r="AP278" s="54"/>
      <c r="AQ278" s="54"/>
      <c r="AR278" s="54"/>
      <c r="AS278" s="54"/>
      <c r="AT278" s="54"/>
      <c r="AU278" s="54"/>
      <c r="AV278" s="54"/>
      <c r="AW278" s="54"/>
      <c r="AX278" s="54"/>
      <c r="AY278" s="54"/>
      <c r="AZ278" s="54"/>
      <c r="BA278" s="54"/>
      <c r="BB278" s="54"/>
      <c r="BC278" s="54"/>
      <c r="BD278" s="54"/>
      <c r="BE278" s="54"/>
      <c r="BF278" s="54"/>
      <c r="BG278" s="54"/>
      <c r="BH278" s="54"/>
    </row>
    <row r="279" spans="1:60" x14ac:dyDescent="0.55000000000000004">
      <c r="A279" s="54"/>
      <c r="B279" s="54"/>
      <c r="C279" s="54"/>
      <c r="D279" s="54"/>
      <c r="E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54"/>
      <c r="AL279" s="54"/>
      <c r="AM279" s="54"/>
      <c r="AN279" s="54"/>
      <c r="AO279" s="54"/>
      <c r="AP279" s="54"/>
      <c r="AQ279" s="54"/>
      <c r="AR279" s="54"/>
      <c r="AS279" s="54"/>
      <c r="AT279" s="54"/>
      <c r="AU279" s="54"/>
      <c r="AV279" s="54"/>
      <c r="AW279" s="54"/>
      <c r="AX279" s="54"/>
      <c r="AY279" s="54"/>
      <c r="AZ279" s="54"/>
      <c r="BA279" s="54"/>
      <c r="BB279" s="54"/>
      <c r="BC279" s="54"/>
      <c r="BD279" s="54"/>
      <c r="BE279" s="54"/>
      <c r="BF279" s="54"/>
      <c r="BG279" s="54"/>
      <c r="BH279" s="54"/>
    </row>
    <row r="280" spans="1:60" x14ac:dyDescent="0.55000000000000004">
      <c r="A280" s="54"/>
      <c r="B280" s="54"/>
      <c r="C280" s="54"/>
      <c r="D280" s="54"/>
      <c r="E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c r="AO280" s="54"/>
      <c r="AP280" s="54"/>
      <c r="AQ280" s="54"/>
      <c r="AR280" s="54"/>
      <c r="AS280" s="54"/>
      <c r="AT280" s="54"/>
      <c r="AU280" s="54"/>
      <c r="AV280" s="54"/>
      <c r="AW280" s="54"/>
      <c r="AX280" s="54"/>
      <c r="AY280" s="54"/>
      <c r="AZ280" s="54"/>
      <c r="BA280" s="54"/>
      <c r="BB280" s="54"/>
      <c r="BC280" s="54"/>
      <c r="BD280" s="54"/>
      <c r="BE280" s="54"/>
      <c r="BF280" s="54"/>
      <c r="BG280" s="54"/>
      <c r="BH280" s="54"/>
    </row>
    <row r="281" spans="1:60" x14ac:dyDescent="0.55000000000000004">
      <c r="A281" s="54"/>
      <c r="B281" s="54"/>
      <c r="C281" s="54"/>
      <c r="D281" s="54"/>
      <c r="E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54"/>
      <c r="AL281" s="54"/>
      <c r="AM281" s="54"/>
      <c r="AN281" s="54"/>
      <c r="AO281" s="54"/>
      <c r="AP281" s="54"/>
      <c r="AQ281" s="54"/>
      <c r="AR281" s="54"/>
      <c r="AS281" s="54"/>
      <c r="AT281" s="54"/>
      <c r="AU281" s="54"/>
      <c r="AV281" s="54"/>
      <c r="AW281" s="54"/>
      <c r="AX281" s="54"/>
      <c r="AY281" s="54"/>
      <c r="AZ281" s="54"/>
      <c r="BA281" s="54"/>
      <c r="BB281" s="54"/>
      <c r="BC281" s="54"/>
      <c r="BD281" s="54"/>
      <c r="BE281" s="54"/>
      <c r="BF281" s="54"/>
      <c r="BG281" s="54"/>
      <c r="BH281" s="54"/>
    </row>
    <row r="282" spans="1:60" x14ac:dyDescent="0.55000000000000004">
      <c r="A282" s="54"/>
      <c r="B282" s="54"/>
      <c r="C282" s="54"/>
      <c r="D282" s="54"/>
      <c r="E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54"/>
      <c r="AL282" s="54"/>
      <c r="AM282" s="54"/>
      <c r="AN282" s="54"/>
      <c r="AO282" s="54"/>
      <c r="AP282" s="54"/>
      <c r="AQ282" s="54"/>
      <c r="AR282" s="54"/>
      <c r="AS282" s="54"/>
      <c r="AT282" s="54"/>
      <c r="AU282" s="54"/>
      <c r="AV282" s="54"/>
      <c r="AW282" s="54"/>
      <c r="AX282" s="54"/>
      <c r="AY282" s="54"/>
      <c r="AZ282" s="54"/>
      <c r="BA282" s="54"/>
      <c r="BB282" s="54"/>
      <c r="BC282" s="54"/>
      <c r="BD282" s="54"/>
      <c r="BE282" s="54"/>
      <c r="BF282" s="54"/>
      <c r="BG282" s="54"/>
      <c r="BH282" s="54"/>
    </row>
    <row r="283" spans="1:60" x14ac:dyDescent="0.55000000000000004">
      <c r="A283" s="54"/>
      <c r="B283" s="54"/>
      <c r="C283" s="54"/>
      <c r="D283" s="54"/>
      <c r="E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54"/>
      <c r="AP283" s="54"/>
      <c r="AQ283" s="54"/>
      <c r="AR283" s="54"/>
      <c r="AS283" s="54"/>
      <c r="AT283" s="54"/>
      <c r="AU283" s="54"/>
      <c r="AV283" s="54"/>
      <c r="AW283" s="54"/>
      <c r="AX283" s="54"/>
      <c r="AY283" s="54"/>
      <c r="AZ283" s="54"/>
      <c r="BA283" s="54"/>
      <c r="BB283" s="54"/>
      <c r="BC283" s="54"/>
      <c r="BD283" s="54"/>
      <c r="BE283" s="54"/>
      <c r="BF283" s="54"/>
      <c r="BG283" s="54"/>
      <c r="BH283" s="54"/>
    </row>
    <row r="284" spans="1:60" x14ac:dyDescent="0.55000000000000004">
      <c r="A284" s="54"/>
      <c r="B284" s="54"/>
      <c r="C284" s="54"/>
      <c r="D284" s="54"/>
      <c r="E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54"/>
      <c r="AL284" s="54"/>
      <c r="AM284" s="54"/>
      <c r="AN284" s="54"/>
      <c r="AO284" s="54"/>
      <c r="AP284" s="54"/>
      <c r="AQ284" s="54"/>
      <c r="AR284" s="54"/>
      <c r="AS284" s="54"/>
      <c r="AT284" s="54"/>
      <c r="AU284" s="54"/>
      <c r="AV284" s="54"/>
      <c r="AW284" s="54"/>
      <c r="AX284" s="54"/>
      <c r="AY284" s="54"/>
      <c r="AZ284" s="54"/>
      <c r="BA284" s="54"/>
      <c r="BB284" s="54"/>
      <c r="BC284" s="54"/>
      <c r="BD284" s="54"/>
      <c r="BE284" s="54"/>
      <c r="BF284" s="54"/>
      <c r="BG284" s="54"/>
      <c r="BH284" s="54"/>
    </row>
    <row r="285" spans="1:60" x14ac:dyDescent="0.55000000000000004">
      <c r="A285" s="54"/>
      <c r="B285" s="54"/>
      <c r="C285" s="54"/>
      <c r="D285" s="54"/>
      <c r="E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54"/>
      <c r="AP285" s="54"/>
      <c r="AQ285" s="54"/>
      <c r="AR285" s="54"/>
      <c r="AS285" s="54"/>
      <c r="AT285" s="54"/>
      <c r="AU285" s="54"/>
      <c r="AV285" s="54"/>
      <c r="AW285" s="54"/>
      <c r="AX285" s="54"/>
      <c r="AY285" s="54"/>
      <c r="AZ285" s="54"/>
      <c r="BA285" s="54"/>
      <c r="BB285" s="54"/>
      <c r="BC285" s="54"/>
      <c r="BD285" s="54"/>
      <c r="BE285" s="54"/>
      <c r="BF285" s="54"/>
      <c r="BG285" s="54"/>
      <c r="BH285" s="54"/>
    </row>
    <row r="286" spans="1:60" x14ac:dyDescent="0.55000000000000004">
      <c r="A286" s="54"/>
      <c r="B286" s="54"/>
      <c r="C286" s="54"/>
      <c r="D286" s="54"/>
      <c r="E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54"/>
      <c r="AP286" s="54"/>
      <c r="AQ286" s="54"/>
      <c r="AR286" s="54"/>
      <c r="AS286" s="54"/>
      <c r="AT286" s="54"/>
      <c r="AU286" s="54"/>
      <c r="AV286" s="54"/>
      <c r="AW286" s="54"/>
      <c r="AX286" s="54"/>
      <c r="AY286" s="54"/>
      <c r="AZ286" s="54"/>
      <c r="BA286" s="54"/>
      <c r="BB286" s="54"/>
      <c r="BC286" s="54"/>
      <c r="BD286" s="54"/>
      <c r="BE286" s="54"/>
      <c r="BF286" s="54"/>
      <c r="BG286" s="54"/>
      <c r="BH286" s="54"/>
    </row>
    <row r="287" spans="1:60" x14ac:dyDescent="0.55000000000000004">
      <c r="A287" s="54"/>
      <c r="B287" s="54"/>
      <c r="C287" s="54"/>
      <c r="D287" s="54"/>
      <c r="E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54"/>
      <c r="AL287" s="54"/>
      <c r="AM287" s="54"/>
      <c r="AN287" s="54"/>
      <c r="AO287" s="54"/>
      <c r="AP287" s="54"/>
      <c r="AQ287" s="54"/>
      <c r="AR287" s="54"/>
      <c r="AS287" s="54"/>
      <c r="AT287" s="54"/>
      <c r="AU287" s="54"/>
      <c r="AV287" s="54"/>
      <c r="AW287" s="54"/>
      <c r="AX287" s="54"/>
      <c r="AY287" s="54"/>
      <c r="AZ287" s="54"/>
      <c r="BA287" s="54"/>
      <c r="BB287" s="54"/>
      <c r="BC287" s="54"/>
      <c r="BD287" s="54"/>
      <c r="BE287" s="54"/>
      <c r="BF287" s="54"/>
      <c r="BG287" s="54"/>
      <c r="BH287" s="54"/>
    </row>
    <row r="288" spans="1:60" x14ac:dyDescent="0.55000000000000004">
      <c r="A288" s="54"/>
      <c r="B288" s="54"/>
      <c r="C288" s="54"/>
      <c r="D288" s="54"/>
      <c r="E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4"/>
      <c r="AP288" s="54"/>
      <c r="AQ288" s="54"/>
      <c r="AR288" s="54"/>
      <c r="AS288" s="54"/>
      <c r="AT288" s="54"/>
      <c r="AU288" s="54"/>
      <c r="AV288" s="54"/>
      <c r="AW288" s="54"/>
      <c r="AX288" s="54"/>
      <c r="AY288" s="54"/>
      <c r="AZ288" s="54"/>
      <c r="BA288" s="54"/>
      <c r="BB288" s="54"/>
      <c r="BC288" s="54"/>
      <c r="BD288" s="54"/>
      <c r="BE288" s="54"/>
      <c r="BF288" s="54"/>
      <c r="BG288" s="54"/>
      <c r="BH288" s="54"/>
    </row>
    <row r="289" spans="1:60" x14ac:dyDescent="0.55000000000000004">
      <c r="A289" s="54"/>
      <c r="B289" s="54"/>
      <c r="C289" s="54"/>
      <c r="D289" s="54"/>
      <c r="E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4"/>
      <c r="AN289" s="54"/>
      <c r="AO289" s="54"/>
      <c r="AP289" s="54"/>
      <c r="AQ289" s="54"/>
      <c r="AR289" s="54"/>
      <c r="AS289" s="54"/>
      <c r="AT289" s="54"/>
      <c r="AU289" s="54"/>
      <c r="AV289" s="54"/>
      <c r="AW289" s="54"/>
      <c r="AX289" s="54"/>
      <c r="AY289" s="54"/>
      <c r="AZ289" s="54"/>
      <c r="BA289" s="54"/>
      <c r="BB289" s="54"/>
      <c r="BC289" s="54"/>
      <c r="BD289" s="54"/>
      <c r="BE289" s="54"/>
      <c r="BF289" s="54"/>
      <c r="BG289" s="54"/>
      <c r="BH289" s="54"/>
    </row>
    <row r="290" spans="1:60" x14ac:dyDescent="0.55000000000000004">
      <c r="A290" s="54"/>
      <c r="B290" s="54"/>
      <c r="C290" s="54"/>
      <c r="D290" s="54"/>
      <c r="E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54"/>
      <c r="AL290" s="54"/>
      <c r="AM290" s="54"/>
      <c r="AN290" s="54"/>
      <c r="AO290" s="54"/>
      <c r="AP290" s="54"/>
      <c r="AQ290" s="54"/>
      <c r="AR290" s="54"/>
      <c r="AS290" s="54"/>
      <c r="AT290" s="54"/>
      <c r="AU290" s="54"/>
      <c r="AV290" s="54"/>
      <c r="AW290" s="54"/>
      <c r="AX290" s="54"/>
      <c r="AY290" s="54"/>
      <c r="AZ290" s="54"/>
      <c r="BA290" s="54"/>
      <c r="BB290" s="54"/>
      <c r="BC290" s="54"/>
      <c r="BD290" s="54"/>
      <c r="BE290" s="54"/>
      <c r="BF290" s="54"/>
      <c r="BG290" s="54"/>
      <c r="BH290" s="54"/>
    </row>
    <row r="291" spans="1:60" x14ac:dyDescent="0.55000000000000004">
      <c r="A291" s="54"/>
      <c r="B291" s="54"/>
      <c r="C291" s="54"/>
      <c r="D291" s="54"/>
      <c r="E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row>
    <row r="292" spans="1:60" x14ac:dyDescent="0.55000000000000004">
      <c r="A292" s="54"/>
      <c r="B292" s="54"/>
      <c r="C292" s="54"/>
      <c r="D292" s="54"/>
      <c r="E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row>
    <row r="293" spans="1:60" x14ac:dyDescent="0.55000000000000004">
      <c r="A293" s="54"/>
      <c r="B293" s="54"/>
      <c r="C293" s="54"/>
      <c r="D293" s="54"/>
      <c r="E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row>
    <row r="294" spans="1:60" x14ac:dyDescent="0.55000000000000004">
      <c r="A294" s="54"/>
      <c r="B294" s="54"/>
      <c r="C294" s="54"/>
      <c r="D294" s="54"/>
      <c r="E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54"/>
      <c r="AP294" s="54"/>
      <c r="AQ294" s="54"/>
      <c r="AR294" s="54"/>
      <c r="AS294" s="54"/>
      <c r="AT294" s="54"/>
      <c r="AU294" s="54"/>
      <c r="AV294" s="54"/>
      <c r="AW294" s="54"/>
      <c r="AX294" s="54"/>
      <c r="AY294" s="54"/>
      <c r="AZ294" s="54"/>
      <c r="BA294" s="54"/>
      <c r="BB294" s="54"/>
      <c r="BC294" s="54"/>
      <c r="BD294" s="54"/>
      <c r="BE294" s="54"/>
      <c r="BF294" s="54"/>
      <c r="BG294" s="54"/>
      <c r="BH294" s="54"/>
    </row>
    <row r="295" spans="1:60" x14ac:dyDescent="0.55000000000000004">
      <c r="A295" s="54"/>
      <c r="B295" s="54"/>
      <c r="C295" s="54"/>
      <c r="D295" s="54"/>
      <c r="E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4"/>
      <c r="AN295" s="54"/>
      <c r="AO295" s="54"/>
      <c r="AP295" s="54"/>
      <c r="AQ295" s="54"/>
      <c r="AR295" s="54"/>
      <c r="AS295" s="54"/>
      <c r="AT295" s="54"/>
      <c r="AU295" s="54"/>
      <c r="AV295" s="54"/>
      <c r="AW295" s="54"/>
      <c r="AX295" s="54"/>
      <c r="AY295" s="54"/>
      <c r="AZ295" s="54"/>
      <c r="BA295" s="54"/>
      <c r="BB295" s="54"/>
      <c r="BC295" s="54"/>
      <c r="BD295" s="54"/>
      <c r="BE295" s="54"/>
      <c r="BF295" s="54"/>
      <c r="BG295" s="54"/>
      <c r="BH295" s="54"/>
    </row>
    <row r="296" spans="1:60" x14ac:dyDescent="0.55000000000000004">
      <c r="A296" s="54"/>
      <c r="B296" s="54"/>
      <c r="C296" s="54"/>
      <c r="D296" s="54"/>
      <c r="E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54"/>
      <c r="AP296" s="54"/>
      <c r="AQ296" s="54"/>
      <c r="AR296" s="54"/>
      <c r="AS296" s="54"/>
      <c r="AT296" s="54"/>
      <c r="AU296" s="54"/>
      <c r="AV296" s="54"/>
      <c r="AW296" s="54"/>
      <c r="AX296" s="54"/>
      <c r="AY296" s="54"/>
      <c r="AZ296" s="54"/>
      <c r="BA296" s="54"/>
      <c r="BB296" s="54"/>
      <c r="BC296" s="54"/>
      <c r="BD296" s="54"/>
      <c r="BE296" s="54"/>
      <c r="BF296" s="54"/>
      <c r="BG296" s="54"/>
      <c r="BH296" s="54"/>
    </row>
    <row r="297" spans="1:60" x14ac:dyDescent="0.55000000000000004">
      <c r="A297" s="54"/>
      <c r="B297" s="54"/>
      <c r="C297" s="54"/>
      <c r="D297" s="54"/>
      <c r="E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c r="AO297" s="54"/>
      <c r="AP297" s="54"/>
      <c r="AQ297" s="54"/>
      <c r="AR297" s="54"/>
      <c r="AS297" s="54"/>
      <c r="AT297" s="54"/>
      <c r="AU297" s="54"/>
      <c r="AV297" s="54"/>
      <c r="AW297" s="54"/>
      <c r="AX297" s="54"/>
      <c r="AY297" s="54"/>
      <c r="AZ297" s="54"/>
      <c r="BA297" s="54"/>
      <c r="BB297" s="54"/>
      <c r="BC297" s="54"/>
      <c r="BD297" s="54"/>
      <c r="BE297" s="54"/>
      <c r="BF297" s="54"/>
      <c r="BG297" s="54"/>
      <c r="BH297" s="54"/>
    </row>
    <row r="298" spans="1:60" x14ac:dyDescent="0.55000000000000004">
      <c r="A298" s="54"/>
      <c r="B298" s="54"/>
      <c r="C298" s="54"/>
      <c r="D298" s="54"/>
      <c r="E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54"/>
      <c r="AL298" s="54"/>
      <c r="AM298" s="54"/>
      <c r="AN298" s="54"/>
      <c r="AO298" s="54"/>
      <c r="AP298" s="54"/>
      <c r="AQ298" s="54"/>
      <c r="AR298" s="54"/>
      <c r="AS298" s="54"/>
      <c r="AT298" s="54"/>
      <c r="AU298" s="54"/>
      <c r="AV298" s="54"/>
      <c r="AW298" s="54"/>
      <c r="AX298" s="54"/>
      <c r="AY298" s="54"/>
      <c r="AZ298" s="54"/>
      <c r="BA298" s="54"/>
      <c r="BB298" s="54"/>
      <c r="BC298" s="54"/>
      <c r="BD298" s="54"/>
      <c r="BE298" s="54"/>
      <c r="BF298" s="54"/>
      <c r="BG298" s="54"/>
      <c r="BH298" s="54"/>
    </row>
    <row r="299" spans="1:60" x14ac:dyDescent="0.55000000000000004">
      <c r="A299" s="54"/>
      <c r="B299" s="54"/>
      <c r="C299" s="54"/>
      <c r="D299" s="54"/>
      <c r="E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4"/>
      <c r="AP299" s="54"/>
      <c r="AQ299" s="54"/>
      <c r="AR299" s="54"/>
      <c r="AS299" s="54"/>
      <c r="AT299" s="54"/>
      <c r="AU299" s="54"/>
      <c r="AV299" s="54"/>
      <c r="AW299" s="54"/>
      <c r="AX299" s="54"/>
      <c r="AY299" s="54"/>
      <c r="AZ299" s="54"/>
      <c r="BA299" s="54"/>
      <c r="BB299" s="54"/>
      <c r="BC299" s="54"/>
      <c r="BD299" s="54"/>
      <c r="BE299" s="54"/>
      <c r="BF299" s="54"/>
      <c r="BG299" s="54"/>
      <c r="BH299" s="54"/>
    </row>
    <row r="300" spans="1:60" x14ac:dyDescent="0.55000000000000004">
      <c r="A300" s="54"/>
      <c r="B300" s="54"/>
      <c r="C300" s="54"/>
      <c r="D300" s="54"/>
      <c r="E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c r="AM300" s="54"/>
      <c r="AN300" s="54"/>
      <c r="AO300" s="54"/>
      <c r="AP300" s="54"/>
      <c r="AQ300" s="54"/>
      <c r="AR300" s="54"/>
      <c r="AS300" s="54"/>
      <c r="AT300" s="54"/>
      <c r="AU300" s="54"/>
      <c r="AV300" s="54"/>
      <c r="AW300" s="54"/>
      <c r="AX300" s="54"/>
      <c r="AY300" s="54"/>
      <c r="AZ300" s="54"/>
      <c r="BA300" s="54"/>
      <c r="BB300" s="54"/>
      <c r="BC300" s="54"/>
      <c r="BD300" s="54"/>
      <c r="BE300" s="54"/>
      <c r="BF300" s="54"/>
      <c r="BG300" s="54"/>
      <c r="BH300" s="54"/>
    </row>
    <row r="301" spans="1:60" x14ac:dyDescent="0.55000000000000004">
      <c r="A301" s="54"/>
      <c r="B301" s="54"/>
      <c r="C301" s="54"/>
      <c r="D301" s="54"/>
      <c r="E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4"/>
      <c r="AN301" s="54"/>
      <c r="AO301" s="54"/>
      <c r="AP301" s="54"/>
      <c r="AQ301" s="54"/>
      <c r="AR301" s="54"/>
      <c r="AS301" s="54"/>
      <c r="AT301" s="54"/>
      <c r="AU301" s="54"/>
      <c r="AV301" s="54"/>
      <c r="AW301" s="54"/>
      <c r="AX301" s="54"/>
      <c r="AY301" s="54"/>
      <c r="AZ301" s="54"/>
      <c r="BA301" s="54"/>
      <c r="BB301" s="54"/>
      <c r="BC301" s="54"/>
      <c r="BD301" s="54"/>
      <c r="BE301" s="54"/>
      <c r="BF301" s="54"/>
      <c r="BG301" s="54"/>
      <c r="BH301" s="54"/>
    </row>
    <row r="302" spans="1:60" x14ac:dyDescent="0.55000000000000004">
      <c r="A302" s="54"/>
      <c r="B302" s="54"/>
      <c r="C302" s="54"/>
      <c r="D302" s="54"/>
      <c r="E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54"/>
      <c r="AL302" s="54"/>
      <c r="AM302" s="54"/>
      <c r="AN302" s="54"/>
      <c r="AO302" s="54"/>
      <c r="AP302" s="54"/>
      <c r="AQ302" s="54"/>
      <c r="AR302" s="54"/>
      <c r="AS302" s="54"/>
      <c r="AT302" s="54"/>
      <c r="AU302" s="54"/>
      <c r="AV302" s="54"/>
      <c r="AW302" s="54"/>
      <c r="AX302" s="54"/>
      <c r="AY302" s="54"/>
      <c r="AZ302" s="54"/>
      <c r="BA302" s="54"/>
      <c r="BB302" s="54"/>
      <c r="BC302" s="54"/>
      <c r="BD302" s="54"/>
      <c r="BE302" s="54"/>
      <c r="BF302" s="54"/>
      <c r="BG302" s="54"/>
      <c r="BH302" s="54"/>
    </row>
    <row r="303" spans="1:60" x14ac:dyDescent="0.55000000000000004">
      <c r="A303" s="54"/>
      <c r="B303" s="54"/>
      <c r="C303" s="54"/>
      <c r="D303" s="54"/>
      <c r="E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c r="AO303" s="54"/>
      <c r="AP303" s="54"/>
      <c r="AQ303" s="54"/>
      <c r="AR303" s="54"/>
      <c r="AS303" s="54"/>
      <c r="AT303" s="54"/>
      <c r="AU303" s="54"/>
      <c r="AV303" s="54"/>
      <c r="AW303" s="54"/>
      <c r="AX303" s="54"/>
      <c r="AY303" s="54"/>
      <c r="AZ303" s="54"/>
      <c r="BA303" s="54"/>
      <c r="BB303" s="54"/>
      <c r="BC303" s="54"/>
      <c r="BD303" s="54"/>
      <c r="BE303" s="54"/>
      <c r="BF303" s="54"/>
      <c r="BG303" s="54"/>
      <c r="BH303" s="54"/>
    </row>
    <row r="304" spans="1:60" x14ac:dyDescent="0.55000000000000004">
      <c r="A304" s="54"/>
      <c r="B304" s="54"/>
      <c r="C304" s="54"/>
      <c r="D304" s="54"/>
      <c r="E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54"/>
      <c r="AL304" s="54"/>
      <c r="AM304" s="54"/>
      <c r="AN304" s="54"/>
      <c r="AO304" s="54"/>
      <c r="AP304" s="54"/>
      <c r="AQ304" s="54"/>
      <c r="AR304" s="54"/>
      <c r="AS304" s="54"/>
      <c r="AT304" s="54"/>
      <c r="AU304" s="54"/>
      <c r="AV304" s="54"/>
      <c r="AW304" s="54"/>
      <c r="AX304" s="54"/>
      <c r="AY304" s="54"/>
      <c r="AZ304" s="54"/>
      <c r="BA304" s="54"/>
      <c r="BB304" s="54"/>
      <c r="BC304" s="54"/>
      <c r="BD304" s="54"/>
      <c r="BE304" s="54"/>
      <c r="BF304" s="54"/>
      <c r="BG304" s="54"/>
      <c r="BH304" s="54"/>
    </row>
    <row r="305" spans="1:60" x14ac:dyDescent="0.55000000000000004">
      <c r="A305" s="54"/>
      <c r="B305" s="54"/>
      <c r="C305" s="54"/>
      <c r="D305" s="54"/>
      <c r="E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54"/>
      <c r="AP305" s="54"/>
      <c r="AQ305" s="54"/>
      <c r="AR305" s="54"/>
      <c r="AS305" s="54"/>
      <c r="AT305" s="54"/>
      <c r="AU305" s="54"/>
      <c r="AV305" s="54"/>
      <c r="AW305" s="54"/>
      <c r="AX305" s="54"/>
      <c r="AY305" s="54"/>
      <c r="AZ305" s="54"/>
      <c r="BA305" s="54"/>
      <c r="BB305" s="54"/>
      <c r="BC305" s="54"/>
      <c r="BD305" s="54"/>
      <c r="BE305" s="54"/>
      <c r="BF305" s="54"/>
      <c r="BG305" s="54"/>
      <c r="BH305" s="54"/>
    </row>
    <row r="306" spans="1:60" x14ac:dyDescent="0.55000000000000004">
      <c r="A306" s="54"/>
      <c r="B306" s="54"/>
      <c r="C306" s="54"/>
      <c r="D306" s="54"/>
      <c r="E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54"/>
      <c r="AL306" s="54"/>
      <c r="AM306" s="54"/>
      <c r="AN306" s="54"/>
      <c r="AO306" s="54"/>
      <c r="AP306" s="54"/>
      <c r="AQ306" s="54"/>
      <c r="AR306" s="54"/>
      <c r="AS306" s="54"/>
      <c r="AT306" s="54"/>
      <c r="AU306" s="54"/>
      <c r="AV306" s="54"/>
      <c r="AW306" s="54"/>
      <c r="AX306" s="54"/>
      <c r="AY306" s="54"/>
      <c r="AZ306" s="54"/>
      <c r="BA306" s="54"/>
      <c r="BB306" s="54"/>
      <c r="BC306" s="54"/>
      <c r="BD306" s="54"/>
      <c r="BE306" s="54"/>
      <c r="BF306" s="54"/>
      <c r="BG306" s="54"/>
      <c r="BH306" s="54"/>
    </row>
    <row r="307" spans="1:60" x14ac:dyDescent="0.55000000000000004">
      <c r="A307" s="54"/>
      <c r="B307" s="54"/>
      <c r="C307" s="54"/>
      <c r="D307" s="54"/>
      <c r="E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4"/>
      <c r="AN307" s="54"/>
      <c r="AO307" s="54"/>
      <c r="AP307" s="54"/>
      <c r="AQ307" s="54"/>
      <c r="AR307" s="54"/>
      <c r="AS307" s="54"/>
      <c r="AT307" s="54"/>
      <c r="AU307" s="54"/>
      <c r="AV307" s="54"/>
      <c r="AW307" s="54"/>
      <c r="AX307" s="54"/>
      <c r="AY307" s="54"/>
      <c r="AZ307" s="54"/>
      <c r="BA307" s="54"/>
      <c r="BB307" s="54"/>
      <c r="BC307" s="54"/>
      <c r="BD307" s="54"/>
      <c r="BE307" s="54"/>
      <c r="BF307" s="54"/>
      <c r="BG307" s="54"/>
      <c r="BH307" s="54"/>
    </row>
    <row r="308" spans="1:60" x14ac:dyDescent="0.55000000000000004">
      <c r="A308" s="54"/>
      <c r="B308" s="54"/>
      <c r="C308" s="54"/>
      <c r="D308" s="54"/>
      <c r="E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54"/>
      <c r="AP308" s="54"/>
      <c r="AQ308" s="54"/>
      <c r="AR308" s="54"/>
      <c r="AS308" s="54"/>
      <c r="AT308" s="54"/>
      <c r="AU308" s="54"/>
      <c r="AV308" s="54"/>
      <c r="AW308" s="54"/>
      <c r="AX308" s="54"/>
      <c r="AY308" s="54"/>
      <c r="AZ308" s="54"/>
      <c r="BA308" s="54"/>
      <c r="BB308" s="54"/>
      <c r="BC308" s="54"/>
      <c r="BD308" s="54"/>
      <c r="BE308" s="54"/>
      <c r="BF308" s="54"/>
      <c r="BG308" s="54"/>
      <c r="BH308" s="54"/>
    </row>
    <row r="309" spans="1:60" x14ac:dyDescent="0.55000000000000004">
      <c r="A309" s="54"/>
      <c r="B309" s="54"/>
      <c r="C309" s="54"/>
      <c r="D309" s="54"/>
      <c r="E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54"/>
      <c r="AP309" s="54"/>
      <c r="AQ309" s="54"/>
      <c r="AR309" s="54"/>
      <c r="AS309" s="54"/>
      <c r="AT309" s="54"/>
      <c r="AU309" s="54"/>
      <c r="AV309" s="54"/>
      <c r="AW309" s="54"/>
      <c r="AX309" s="54"/>
      <c r="AY309" s="54"/>
      <c r="AZ309" s="54"/>
      <c r="BA309" s="54"/>
      <c r="BB309" s="54"/>
      <c r="BC309" s="54"/>
      <c r="BD309" s="54"/>
      <c r="BE309" s="54"/>
      <c r="BF309" s="54"/>
      <c r="BG309" s="54"/>
      <c r="BH309" s="54"/>
    </row>
    <row r="310" spans="1:60" x14ac:dyDescent="0.55000000000000004">
      <c r="A310" s="54"/>
      <c r="B310" s="54"/>
      <c r="C310" s="54"/>
      <c r="D310" s="54"/>
      <c r="E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54"/>
      <c r="AP310" s="54"/>
      <c r="AQ310" s="54"/>
      <c r="AR310" s="54"/>
      <c r="AS310" s="54"/>
      <c r="AT310" s="54"/>
      <c r="AU310" s="54"/>
      <c r="AV310" s="54"/>
      <c r="AW310" s="54"/>
      <c r="AX310" s="54"/>
      <c r="AY310" s="54"/>
      <c r="AZ310" s="54"/>
      <c r="BA310" s="54"/>
      <c r="BB310" s="54"/>
      <c r="BC310" s="54"/>
      <c r="BD310" s="54"/>
      <c r="BE310" s="54"/>
      <c r="BF310" s="54"/>
      <c r="BG310" s="54"/>
      <c r="BH310" s="54"/>
    </row>
    <row r="311" spans="1:60" x14ac:dyDescent="0.55000000000000004">
      <c r="A311" s="54"/>
      <c r="B311" s="54"/>
      <c r="C311" s="54"/>
      <c r="D311" s="54"/>
      <c r="E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54"/>
      <c r="AP311" s="54"/>
      <c r="AQ311" s="54"/>
      <c r="AR311" s="54"/>
      <c r="AS311" s="54"/>
      <c r="AT311" s="54"/>
      <c r="AU311" s="54"/>
      <c r="AV311" s="54"/>
      <c r="AW311" s="54"/>
      <c r="AX311" s="54"/>
      <c r="AY311" s="54"/>
      <c r="AZ311" s="54"/>
      <c r="BA311" s="54"/>
      <c r="BB311" s="54"/>
      <c r="BC311" s="54"/>
      <c r="BD311" s="54"/>
      <c r="BE311" s="54"/>
      <c r="BF311" s="54"/>
      <c r="BG311" s="54"/>
      <c r="BH311" s="54"/>
    </row>
    <row r="312" spans="1:60" x14ac:dyDescent="0.55000000000000004">
      <c r="A312" s="54"/>
      <c r="B312" s="54"/>
      <c r="C312" s="54"/>
      <c r="D312" s="54"/>
      <c r="E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54"/>
      <c r="AP312" s="54"/>
      <c r="AQ312" s="54"/>
      <c r="AR312" s="54"/>
      <c r="AS312" s="54"/>
      <c r="AT312" s="54"/>
      <c r="AU312" s="54"/>
      <c r="AV312" s="54"/>
      <c r="AW312" s="54"/>
      <c r="AX312" s="54"/>
      <c r="AY312" s="54"/>
      <c r="AZ312" s="54"/>
      <c r="BA312" s="54"/>
      <c r="BB312" s="54"/>
      <c r="BC312" s="54"/>
      <c r="BD312" s="54"/>
      <c r="BE312" s="54"/>
      <c r="BF312" s="54"/>
      <c r="BG312" s="54"/>
      <c r="BH312" s="54"/>
    </row>
    <row r="313" spans="1:60" x14ac:dyDescent="0.55000000000000004">
      <c r="A313" s="54"/>
      <c r="B313" s="54"/>
      <c r="C313" s="54"/>
      <c r="D313" s="54"/>
      <c r="E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54"/>
      <c r="AL313" s="54"/>
      <c r="AM313" s="54"/>
      <c r="AN313" s="54"/>
      <c r="AO313" s="54"/>
      <c r="AP313" s="54"/>
      <c r="AQ313" s="54"/>
      <c r="AR313" s="54"/>
      <c r="AS313" s="54"/>
      <c r="AT313" s="54"/>
      <c r="AU313" s="54"/>
      <c r="AV313" s="54"/>
      <c r="AW313" s="54"/>
      <c r="AX313" s="54"/>
      <c r="AY313" s="54"/>
      <c r="AZ313" s="54"/>
      <c r="BA313" s="54"/>
      <c r="BB313" s="54"/>
      <c r="BC313" s="54"/>
      <c r="BD313" s="54"/>
      <c r="BE313" s="54"/>
      <c r="BF313" s="54"/>
      <c r="BG313" s="54"/>
    </row>
  </sheetData>
  <mergeCells count="11">
    <mergeCell ref="BB1:BG1"/>
    <mergeCell ref="H1:K1"/>
    <mergeCell ref="B1:F1"/>
    <mergeCell ref="L1:Q1"/>
    <mergeCell ref="R1:T1"/>
    <mergeCell ref="U1:W1"/>
    <mergeCell ref="X1:AC1"/>
    <mergeCell ref="AD1:AI1"/>
    <mergeCell ref="AJ1:AO1"/>
    <mergeCell ref="AP1:AU1"/>
    <mergeCell ref="AV1:BA1"/>
  </mergeCells>
  <phoneticPr fontId="21" type="noConversion"/>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A H X 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s A d 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A H X W i i K R 7 g O A A A A E Q A A A B M A H A B G b 3 J t d W x h c y 9 T Z W N 0 a W 9 u M S 5 t I K I Y A C i g F A A A A A A A A A A A A A A A A A A A A A A A A A A A A C t O T S 7 J z M 9 T C I b Q h t Y A U E s B A i 0 A F A A C A A g A b A H X W i L k O f y j A A A A 9 g A A A B I A A A A A A A A A A A A A A A A A A A A A A E N v b m Z p Z y 9 Q Y W N r Y W d l L n h t b F B L A Q I t A B Q A A g A I A G w B 1 1 o P y u m r p A A A A O k A A A A T A A A A A A A A A A A A A A A A A O 8 A A A B b Q 2 9 u d G V u d F 9 U e X B l c 1 0 u e G 1 s U E s B A i 0 A F A A C A A g A b A H X 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M z B F v F N G x J s a l P y J A 6 7 q A A A A A A A g A A A A A A E G Y A A A A B A A A g A A A A v O P h m p W d W + R K U L X 9 5 / t 3 A 7 Z t O d p 8 L X 8 9 c N / U a w w L D 3 I A A A A A D o A A A A A C A A A g A A A A p d G x m J Z Y e T k 5 s s f b X B g k G H V 9 i 4 L 2 5 / C 2 G Y / 1 o i 1 w O n N Q A A A A y V B 6 w 9 G / 4 m 4 V 9 7 3 z Q + 6 R V 0 H m / 2 G N s F j 7 B I K Z J k 2 t W A 3 N Z w l t Z g J f D H j 9 g H q / 5 j f X K e K K G 3 B 3 R r i v x B J D l f K A 6 g F C 0 e b B + m d E y p y O U r W F A D 9 A A A A A j N H L C p n B l K c F H q P F A L c Q c 8 N Z H L q m Q z d E 7 E W p o d R n y p w / G l T Y W K f o p D I W 5 T l 9 2 W b 4 I W o J p J / x D V x C 8 z G Q W Q o d A Q = = < / D a t a M a s h u p > 
</file>

<file path=customXml/itemProps1.xml><?xml version="1.0" encoding="utf-8"?>
<ds:datastoreItem xmlns:ds="http://schemas.openxmlformats.org/officeDocument/2006/customXml" ds:itemID="{3977FC2F-E9A1-4742-A8C7-4CB9DBEAEE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vt:lpstr>
      <vt:lpstr>User Guide</vt:lpstr>
      <vt:lpstr>Material Modeler</vt:lpstr>
      <vt:lpstr>Material Database</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Ibrahim</dc:creator>
  <cp:lastModifiedBy>Ahmed Ibrahim</cp:lastModifiedBy>
  <dcterms:created xsi:type="dcterms:W3CDTF">2024-10-04T04:04:47Z</dcterms:created>
  <dcterms:modified xsi:type="dcterms:W3CDTF">2025-06-25T14:13:12Z</dcterms:modified>
</cp:coreProperties>
</file>