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ehibamr\Downloads\Downloads\"/>
    </mc:Choice>
  </mc:AlternateContent>
  <xr:revisionPtr revIDLastSave="0" documentId="13_ncr:1_{B48C47D2-707B-4FA9-AE11-850974184344}" xr6:coauthVersionLast="47" xr6:coauthVersionMax="47" xr10:uidLastSave="{00000000-0000-0000-0000-000000000000}"/>
  <bookViews>
    <workbookView xWindow="-38520" yWindow="-120" windowWidth="38640" windowHeight="21120" activeTab="3" xr2:uid="{5EA1DA88-E9FB-4521-A55E-B04EDA6703B2}"/>
  </bookViews>
  <sheets>
    <sheet name="Revision" sheetId="4" r:id="rId1"/>
    <sheet name="User Guide" sheetId="5" r:id="rId2"/>
    <sheet name="Material Database" sheetId="13" r:id="rId3"/>
    <sheet name="Material Modeler" sheetId="12" r:id="rId4"/>
    <sheet name="Transmission Line Design" sheetId="17" r:id="rId5"/>
  </sheets>
  <definedNames>
    <definedName name="Google_Sheet_Link_1785581074" localSheetId="3" hidden="1">_EMI_Filter</definedName>
    <definedName name="Google_Sheet_Link_1785581074" localSheetId="4" hidden="1">_EMI_Filter</definedName>
    <definedName name="Google_Sheet_Link_1785581074" localSheetId="1" hidden="1">_EMI_Filter</definedName>
    <definedName name="Google_Sheet_Link_1785581074" hidden="1">_EMI_Filter</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24" i="17" l="1"/>
  <c r="AW24" i="17"/>
  <c r="AX24" i="17"/>
  <c r="AY24" i="17"/>
  <c r="AZ24" i="17"/>
  <c r="BA24" i="17"/>
  <c r="AW25" i="17"/>
  <c r="AX25" i="17"/>
  <c r="AY25" i="17"/>
  <c r="AZ25" i="17"/>
  <c r="BA25" i="17"/>
  <c r="AV25" i="17"/>
  <c r="AM34" i="17"/>
  <c r="AN34" i="17"/>
  <c r="AO34" i="17"/>
  <c r="AP34" i="17"/>
  <c r="AQ34" i="17"/>
  <c r="AR34" i="17"/>
  <c r="AM35" i="17"/>
  <c r="AN35" i="17"/>
  <c r="AO35" i="17"/>
  <c r="AP35" i="17"/>
  <c r="AQ35" i="17"/>
  <c r="AR35" i="17"/>
  <c r="AM36" i="17"/>
  <c r="AN36" i="17"/>
  <c r="AO36" i="17"/>
  <c r="AP36" i="17"/>
  <c r="AQ36" i="17"/>
  <c r="AR36" i="17"/>
  <c r="AM37" i="17"/>
  <c r="AN37" i="17"/>
  <c r="AO37" i="17"/>
  <c r="AP37" i="17"/>
  <c r="AQ37" i="17"/>
  <c r="AR37" i="17"/>
  <c r="AM38" i="17"/>
  <c r="AN38" i="17"/>
  <c r="AO38" i="17"/>
  <c r="AP38" i="17"/>
  <c r="AQ38" i="17"/>
  <c r="AR38" i="17"/>
  <c r="AM39" i="17"/>
  <c r="AN39" i="17"/>
  <c r="AO39" i="17"/>
  <c r="AP39" i="17"/>
  <c r="AQ39" i="17"/>
  <c r="AR39" i="17"/>
  <c r="AM40" i="17"/>
  <c r="AN40" i="17"/>
  <c r="AO40" i="17"/>
  <c r="AP40" i="17"/>
  <c r="AQ40" i="17"/>
  <c r="AR40" i="17"/>
  <c r="AM41" i="17"/>
  <c r="AN41" i="17"/>
  <c r="AO41" i="17"/>
  <c r="AP41" i="17"/>
  <c r="AQ41" i="17"/>
  <c r="AR41" i="17"/>
  <c r="AN42" i="17"/>
  <c r="AO42" i="17"/>
  <c r="AP42" i="17"/>
  <c r="AQ42" i="17"/>
  <c r="AR42" i="17"/>
  <c r="AN43" i="17"/>
  <c r="AO43" i="17"/>
  <c r="AP43" i="17"/>
  <c r="AQ43" i="17"/>
  <c r="AR43" i="17"/>
  <c r="AM43" i="17"/>
  <c r="AM42" i="17"/>
  <c r="G6" i="17"/>
  <c r="L12" i="17"/>
  <c r="L13" i="17" s="1"/>
  <c r="K12" i="17"/>
  <c r="K13" i="17" s="1"/>
  <c r="L11" i="17"/>
  <c r="K11" i="17"/>
  <c r="L10" i="17"/>
  <c r="L5" i="17" s="1"/>
  <c r="K10" i="17"/>
  <c r="AU19" i="17"/>
  <c r="AT17" i="17" s="1"/>
  <c r="AL19" i="17"/>
  <c r="AL45" i="17" s="1"/>
  <c r="AT44" i="17"/>
  <c r="AT33" i="17"/>
  <c r="AK44" i="17"/>
  <c r="AK33" i="17"/>
  <c r="G4" i="17"/>
  <c r="L2" i="17"/>
  <c r="H19" i="17"/>
  <c r="H34" i="17" s="1"/>
  <c r="AB19" i="17"/>
  <c r="AA44" i="17"/>
  <c r="AA33" i="17"/>
  <c r="G44" i="17"/>
  <c r="G33" i="17"/>
  <c r="BJ9" i="13"/>
  <c r="BJ5" i="13"/>
  <c r="BJ8" i="13"/>
  <c r="R45" i="17"/>
  <c r="Q44" i="17"/>
  <c r="R34" i="17"/>
  <c r="Q33" i="17"/>
  <c r="Q17" i="17"/>
  <c r="C1" i="12"/>
  <c r="BJ6" i="13"/>
  <c r="C3" i="12"/>
  <c r="AD2" i="12" s="1"/>
  <c r="BJ7" i="13"/>
  <c r="J5" i="17" l="1"/>
  <c r="I2" i="17"/>
  <c r="AU45" i="17"/>
  <c r="AU34" i="17"/>
  <c r="AK17" i="17"/>
  <c r="AL34" i="17"/>
  <c r="H45" i="17"/>
  <c r="AA17" i="17"/>
  <c r="AB34" i="17"/>
  <c r="AB45" i="17"/>
  <c r="G17" i="17"/>
  <c r="A28" i="12"/>
  <c r="C4" i="12"/>
  <c r="AE5" i="12" s="1"/>
  <c r="BC6" i="13"/>
  <c r="BD6" i="13"/>
  <c r="BE6" i="13"/>
  <c r="BF6" i="13"/>
  <c r="BG6" i="13"/>
  <c r="BB6" i="13"/>
  <c r="T6" i="13"/>
  <c r="W6" i="13"/>
  <c r="B12" i="12" s="1"/>
  <c r="AK6" i="13"/>
  <c r="AL6" i="13"/>
  <c r="AM6" i="13"/>
  <c r="AN6" i="13"/>
  <c r="AO6" i="13"/>
  <c r="H12" i="12" s="1"/>
  <c r="AJ6" i="13"/>
  <c r="C12" i="12" s="1"/>
  <c r="G12" i="12"/>
  <c r="G11" i="12"/>
  <c r="A11" i="12"/>
  <c r="B11" i="12"/>
  <c r="C11" i="12"/>
  <c r="D11" i="12"/>
  <c r="E11" i="12"/>
  <c r="F11" i="12"/>
  <c r="H11" i="12"/>
  <c r="A12" i="12"/>
  <c r="D12" i="12"/>
  <c r="E12" i="12"/>
  <c r="F12" i="12"/>
  <c r="J28" i="12" l="1"/>
  <c r="S28" i="12" s="1"/>
  <c r="BJ11" i="13"/>
  <c r="BJ10" i="13"/>
  <c r="H3" i="12"/>
  <c r="BJ4" i="13"/>
  <c r="BJ3" i="13"/>
  <c r="C2" i="12"/>
  <c r="H1" i="12"/>
  <c r="H2" i="12"/>
  <c r="AB9" i="12" s="1"/>
  <c r="M3" i="12"/>
  <c r="A10" i="12"/>
  <c r="A25" i="12" s="1"/>
  <c r="S26" i="12"/>
  <c r="S27" i="12"/>
  <c r="B10" i="12"/>
  <c r="K26" i="12"/>
  <c r="T27" i="12"/>
  <c r="C9" i="12"/>
  <c r="C10" i="12"/>
  <c r="D9" i="12"/>
  <c r="D24" i="12" s="1"/>
  <c r="D10" i="12"/>
  <c r="E9" i="12"/>
  <c r="F9" i="12"/>
  <c r="G9" i="12"/>
  <c r="P24" i="12" s="1"/>
  <c r="H9" i="12"/>
  <c r="E10" i="12"/>
  <c r="F10" i="12"/>
  <c r="G10" i="12"/>
  <c r="H10" i="12"/>
  <c r="A16" i="12"/>
  <c r="A17" i="12"/>
  <c r="A18" i="12"/>
  <c r="B16" i="12"/>
  <c r="B17" i="12"/>
  <c r="B18" i="12"/>
  <c r="C15" i="12"/>
  <c r="D15" i="12"/>
  <c r="E15" i="12"/>
  <c r="F15" i="12"/>
  <c r="G15" i="12"/>
  <c r="H15" i="12"/>
  <c r="C16" i="12"/>
  <c r="D16" i="12"/>
  <c r="E16" i="12"/>
  <c r="F16" i="12"/>
  <c r="G16" i="12"/>
  <c r="C17" i="12"/>
  <c r="D17" i="12"/>
  <c r="E17" i="12"/>
  <c r="F17" i="12"/>
  <c r="G17" i="12"/>
  <c r="H17" i="12"/>
  <c r="C18" i="12"/>
  <c r="D18" i="12"/>
  <c r="E18" i="12"/>
  <c r="F18" i="12"/>
  <c r="G18" i="12"/>
  <c r="H18" i="12"/>
  <c r="H16" i="12"/>
  <c r="C4" i="13"/>
  <c r="B4" i="13"/>
  <c r="C3" i="13"/>
  <c r="B3" i="13"/>
  <c r="T24" i="12"/>
  <c r="S24" i="12"/>
  <c r="K24" i="12"/>
  <c r="J24" i="12"/>
  <c r="B24" i="12"/>
  <c r="A24" i="12"/>
  <c r="AL18" i="12"/>
  <c r="AL13" i="12"/>
  <c r="AL8" i="12"/>
  <c r="AL3" i="12"/>
  <c r="AK1" i="12"/>
  <c r="T28" i="12" l="1"/>
  <c r="K28" i="12"/>
  <c r="AG18" i="17"/>
  <c r="AQ18" i="17"/>
  <c r="M18" i="17"/>
  <c r="M21" i="17" s="1"/>
  <c r="AZ18" i="17"/>
  <c r="W18" i="17"/>
  <c r="M1" i="12"/>
  <c r="AB4" i="12"/>
  <c r="AG5" i="12"/>
  <c r="AG2" i="12"/>
  <c r="M2" i="12"/>
  <c r="AC11" i="12"/>
  <c r="U24" i="12"/>
  <c r="A27" i="12"/>
  <c r="B27" i="12"/>
  <c r="X20" i="12"/>
  <c r="X21" i="12" s="1"/>
  <c r="G24" i="12"/>
  <c r="X24" i="12"/>
  <c r="E24" i="12"/>
  <c r="Y20" i="12"/>
  <c r="Y21" i="12" s="1"/>
  <c r="Z20" i="12"/>
  <c r="Z21" i="12" s="1"/>
  <c r="U20" i="12"/>
  <c r="V20" i="12"/>
  <c r="W20" i="12"/>
  <c r="W21" i="12" s="1"/>
  <c r="K27" i="12"/>
  <c r="D20" i="12"/>
  <c r="D21" i="12" s="1"/>
  <c r="T26" i="12"/>
  <c r="E20" i="12"/>
  <c r="E21" i="12" s="1"/>
  <c r="C20" i="12"/>
  <c r="F20" i="12"/>
  <c r="F21" i="12" s="1"/>
  <c r="G20" i="12"/>
  <c r="G21" i="12" s="1"/>
  <c r="B25" i="12"/>
  <c r="H20" i="12"/>
  <c r="H21" i="12" s="1"/>
  <c r="K25" i="12"/>
  <c r="T25" i="12"/>
  <c r="B26" i="12"/>
  <c r="J25" i="12"/>
  <c r="A26" i="12"/>
  <c r="J27" i="12"/>
  <c r="J26" i="12"/>
  <c r="S25" i="12"/>
  <c r="Q24" i="12"/>
  <c r="Z24" i="12"/>
  <c r="O24" i="12"/>
  <c r="F24" i="12"/>
  <c r="N24" i="12"/>
  <c r="H24" i="12"/>
  <c r="AQ2" i="12"/>
  <c r="Y24" i="12"/>
  <c r="W24" i="12"/>
  <c r="V24" i="12"/>
  <c r="M24" i="12"/>
  <c r="C24" i="12"/>
  <c r="L24" i="12"/>
  <c r="AC14" i="12"/>
  <c r="AH10" i="12"/>
  <c r="W21" i="17" l="1"/>
  <c r="AF19" i="17"/>
  <c r="N19" i="17"/>
  <c r="U19" i="17"/>
  <c r="AG19" i="17"/>
  <c r="V19" i="17"/>
  <c r="W19" i="17"/>
  <c r="M19" i="17"/>
  <c r="AH19" i="17"/>
  <c r="X19" i="17"/>
  <c r="K19" i="17"/>
  <c r="AD19" i="17"/>
  <c r="L19" i="17"/>
  <c r="AE19" i="17"/>
  <c r="AE25" i="17" s="1"/>
  <c r="T19" i="17"/>
  <c r="J19" i="17"/>
  <c r="AQ21" i="17"/>
  <c r="S18" i="17"/>
  <c r="AM18" i="17"/>
  <c r="I18" i="17"/>
  <c r="AV18" i="17"/>
  <c r="AC18" i="17"/>
  <c r="AC21" i="17" s="1"/>
  <c r="AX18" i="17"/>
  <c r="AE18" i="17"/>
  <c r="U18" i="17"/>
  <c r="AO18" i="17"/>
  <c r="K18" i="17"/>
  <c r="K21" i="17" s="1"/>
  <c r="U21" i="12"/>
  <c r="U28" i="12" s="1"/>
  <c r="AG21" i="17"/>
  <c r="X18" i="17"/>
  <c r="N18" i="17"/>
  <c r="AH18" i="17"/>
  <c r="AH21" i="17" s="1"/>
  <c r="AR18" i="17"/>
  <c r="BA18" i="17"/>
  <c r="AW18" i="17"/>
  <c r="AD18" i="17"/>
  <c r="AN18" i="17"/>
  <c r="J18" i="17"/>
  <c r="J21" i="17" s="1"/>
  <c r="T18" i="17"/>
  <c r="AP18" i="17"/>
  <c r="L18" i="17"/>
  <c r="L21" i="17" s="1"/>
  <c r="AF18" i="17"/>
  <c r="AF21" i="17" s="1"/>
  <c r="AY18" i="17"/>
  <c r="V18" i="17"/>
  <c r="X20" i="17"/>
  <c r="I20" i="17"/>
  <c r="J20" i="17"/>
  <c r="S20" i="17"/>
  <c r="K20" i="17"/>
  <c r="M20" i="17"/>
  <c r="U20" i="17"/>
  <c r="N20" i="17"/>
  <c r="V20" i="17"/>
  <c r="W20" i="17"/>
  <c r="L20" i="17"/>
  <c r="T20" i="17"/>
  <c r="AC20" i="17"/>
  <c r="AF20" i="17"/>
  <c r="AH20" i="17"/>
  <c r="AD20" i="17"/>
  <c r="AE20" i="17"/>
  <c r="AG20" i="17"/>
  <c r="AZ20" i="17" s="1"/>
  <c r="C21" i="12"/>
  <c r="C25" i="12" s="1"/>
  <c r="AM2" i="12"/>
  <c r="AM5" i="12" s="1"/>
  <c r="AM6" i="12" s="1"/>
  <c r="AO2" i="12"/>
  <c r="AO15" i="12" s="1"/>
  <c r="AO16" i="12" s="1"/>
  <c r="AE10" i="12"/>
  <c r="AE11" i="12" s="1"/>
  <c r="AE12" i="12" s="1"/>
  <c r="AP2" i="12"/>
  <c r="AP10" i="12" s="1"/>
  <c r="AP11" i="12" s="1"/>
  <c r="Z28" i="12"/>
  <c r="B28" i="12"/>
  <c r="H28" i="12" s="1"/>
  <c r="AQ10" i="12"/>
  <c r="AQ11" i="12" s="1"/>
  <c r="AH11" i="12"/>
  <c r="AH12" i="12" s="1"/>
  <c r="E27" i="12"/>
  <c r="D27" i="12"/>
  <c r="W26" i="12"/>
  <c r="Z25" i="12"/>
  <c r="Y26" i="12"/>
  <c r="X26" i="12"/>
  <c r="V21" i="12"/>
  <c r="V26" i="12" s="1"/>
  <c r="U27" i="12"/>
  <c r="P25" i="12"/>
  <c r="G26" i="12"/>
  <c r="AI10" i="12"/>
  <c r="AR25" i="12" s="1"/>
  <c r="AR2" i="12"/>
  <c r="AR10" i="12" s="1"/>
  <c r="AR11" i="12" s="1"/>
  <c r="AF10" i="12"/>
  <c r="Z26" i="12"/>
  <c r="Z27" i="12"/>
  <c r="U25" i="12"/>
  <c r="H27" i="12"/>
  <c r="O25" i="12"/>
  <c r="G27" i="12"/>
  <c r="O27" i="12"/>
  <c r="O26" i="12"/>
  <c r="H26" i="12"/>
  <c r="F25" i="12"/>
  <c r="G25" i="12"/>
  <c r="P27" i="12"/>
  <c r="P26" i="12"/>
  <c r="O28" i="12"/>
  <c r="F27" i="12"/>
  <c r="F26" i="12"/>
  <c r="H25" i="12"/>
  <c r="Q25" i="12"/>
  <c r="Q27" i="12"/>
  <c r="Q26" i="12"/>
  <c r="AQ5" i="12"/>
  <c r="AQ6" i="12" s="1"/>
  <c r="AQ25" i="12"/>
  <c r="AG10" i="12"/>
  <c r="AN2" i="12"/>
  <c r="AN5" i="12" s="1"/>
  <c r="AN6" i="12" s="1"/>
  <c r="AQ20" i="12"/>
  <c r="AQ21" i="12" s="1"/>
  <c r="AQ15" i="12"/>
  <c r="AQ16" i="12" s="1"/>
  <c r="AD10" i="12"/>
  <c r="AD11" i="12" s="1"/>
  <c r="AD12" i="12" s="1"/>
  <c r="Q28" i="12"/>
  <c r="P28" i="12"/>
  <c r="M28" i="12"/>
  <c r="D26" i="12"/>
  <c r="E26" i="12"/>
  <c r="Y25" i="12"/>
  <c r="X25" i="12"/>
  <c r="Y27" i="12"/>
  <c r="X27" i="12"/>
  <c r="N28" i="12"/>
  <c r="N27" i="12"/>
  <c r="W25" i="12"/>
  <c r="M26" i="12"/>
  <c r="E25" i="12"/>
  <c r="M27" i="12"/>
  <c r="D25" i="12"/>
  <c r="W27" i="12"/>
  <c r="N26" i="12"/>
  <c r="N25" i="12"/>
  <c r="M25" i="12"/>
  <c r="C6" i="4"/>
  <c r="J25" i="17" l="1"/>
  <c r="V25" i="17"/>
  <c r="U26" i="12"/>
  <c r="AH24" i="17"/>
  <c r="AH22" i="17" s="1"/>
  <c r="AH35" i="17" s="1"/>
  <c r="AH37" i="17" s="1"/>
  <c r="M25" i="17"/>
  <c r="AP20" i="17"/>
  <c r="AY20" i="17"/>
  <c r="T25" i="17"/>
  <c r="W25" i="17"/>
  <c r="W23" i="17" s="1"/>
  <c r="BA20" i="17"/>
  <c r="L25" i="17"/>
  <c r="L26" i="17" s="1"/>
  <c r="AG25" i="17"/>
  <c r="AD25" i="17"/>
  <c r="U25" i="17"/>
  <c r="K25" i="17"/>
  <c r="K26" i="17" s="1"/>
  <c r="N25" i="17"/>
  <c r="N26" i="17" s="1"/>
  <c r="X25" i="17"/>
  <c r="AF25" i="17"/>
  <c r="AF26" i="17" s="1"/>
  <c r="AH25" i="17"/>
  <c r="AH23" i="17" s="1"/>
  <c r="AH36" i="17" s="1"/>
  <c r="AH38" i="17" s="1"/>
  <c r="AN20" i="17"/>
  <c r="AM20" i="17"/>
  <c r="S21" i="17"/>
  <c r="AV21" i="17" s="1"/>
  <c r="T21" i="17"/>
  <c r="N21" i="17"/>
  <c r="U21" i="17"/>
  <c r="AO21" i="17" s="1"/>
  <c r="AO19" i="17"/>
  <c r="K24" i="17"/>
  <c r="K22" i="17" s="1"/>
  <c r="K35" i="17" s="1"/>
  <c r="K32" i="17"/>
  <c r="K41" i="17" s="1"/>
  <c r="K34" i="17"/>
  <c r="AE34" i="17"/>
  <c r="X21" i="17"/>
  <c r="AE21" i="17"/>
  <c r="S19" i="17"/>
  <c r="S25" i="17" s="1"/>
  <c r="AG32" i="17"/>
  <c r="AG41" i="17" s="1"/>
  <c r="AG34" i="17"/>
  <c r="AG24" i="17"/>
  <c r="AD34" i="17"/>
  <c r="AR20" i="17"/>
  <c r="L28" i="12"/>
  <c r="AZ21" i="17"/>
  <c r="AC19" i="17"/>
  <c r="AC25" i="17" s="1"/>
  <c r="U32" i="17"/>
  <c r="AX19" i="17"/>
  <c r="U34" i="17"/>
  <c r="U24" i="17"/>
  <c r="AX20" i="17"/>
  <c r="V21" i="17"/>
  <c r="AY21" i="17" s="1"/>
  <c r="AD21" i="17"/>
  <c r="J26" i="17"/>
  <c r="J32" i="17"/>
  <c r="J41" i="17" s="1"/>
  <c r="AN19" i="17"/>
  <c r="J34" i="17"/>
  <c r="J24" i="17"/>
  <c r="X32" i="17"/>
  <c r="X41" i="17" s="1"/>
  <c r="X34" i="17"/>
  <c r="BA19" i="17"/>
  <c r="X24" i="17"/>
  <c r="N32" i="17"/>
  <c r="N41" i="17" s="1"/>
  <c r="AR19" i="17"/>
  <c r="N34" i="17"/>
  <c r="N24" i="17"/>
  <c r="AQ20" i="17"/>
  <c r="AW19" i="17"/>
  <c r="T24" i="17"/>
  <c r="T32" i="17"/>
  <c r="T41" i="17" s="1"/>
  <c r="T34" i="17"/>
  <c r="I19" i="17"/>
  <c r="I25" i="17" s="1"/>
  <c r="AF32" i="17"/>
  <c r="AF41" i="17" s="1"/>
  <c r="AF24" i="17"/>
  <c r="AF22" i="17" s="1"/>
  <c r="AF35" i="17" s="1"/>
  <c r="AF37" i="17" s="1"/>
  <c r="AF34" i="17"/>
  <c r="AZ19" i="17"/>
  <c r="W34" i="17"/>
  <c r="W24" i="17"/>
  <c r="W32" i="17"/>
  <c r="V24" i="17"/>
  <c r="V34" i="17"/>
  <c r="AY19" i="17"/>
  <c r="V32" i="17"/>
  <c r="V41" i="17" s="1"/>
  <c r="AO20" i="17"/>
  <c r="I21" i="17"/>
  <c r="AE32" i="17"/>
  <c r="AE41" i="17" s="1"/>
  <c r="AE24" i="17"/>
  <c r="AH32" i="17"/>
  <c r="AH41" i="17" s="1"/>
  <c r="AH34" i="17"/>
  <c r="AD32" i="17"/>
  <c r="AD41" i="17" s="1"/>
  <c r="AD24" i="17"/>
  <c r="AW20" i="17"/>
  <c r="AV20" i="17"/>
  <c r="L34" i="17"/>
  <c r="L24" i="17"/>
  <c r="AP19" i="17"/>
  <c r="L32" i="17"/>
  <c r="L41" i="17" s="1"/>
  <c r="M34" i="17"/>
  <c r="M24" i="17"/>
  <c r="AQ19" i="17"/>
  <c r="M32" i="17"/>
  <c r="M41" i="17" s="1"/>
  <c r="L25" i="12"/>
  <c r="C27" i="12"/>
  <c r="C26" i="12"/>
  <c r="L26" i="12"/>
  <c r="L27" i="12"/>
  <c r="C28" i="12"/>
  <c r="AR9" i="12"/>
  <c r="AI13" i="12"/>
  <c r="AO10" i="12"/>
  <c r="AO11" i="12" s="1"/>
  <c r="AM15" i="12"/>
  <c r="AM16" i="12" s="1"/>
  <c r="AN25" i="12"/>
  <c r="AO5" i="12"/>
  <c r="AO6" i="12" s="1"/>
  <c r="AO20" i="12"/>
  <c r="AO21" i="12" s="1"/>
  <c r="AM20" i="12"/>
  <c r="AM21" i="12" s="1"/>
  <c r="AM10" i="12"/>
  <c r="AM11" i="12" s="1"/>
  <c r="AP15" i="12"/>
  <c r="AP16" i="12" s="1"/>
  <c r="AP5" i="12"/>
  <c r="AP6" i="12" s="1"/>
  <c r="AP20" i="12"/>
  <c r="AP21" i="12" s="1"/>
  <c r="G28" i="12"/>
  <c r="F28" i="12"/>
  <c r="D28" i="12"/>
  <c r="E28" i="12"/>
  <c r="X28" i="12"/>
  <c r="Y28" i="12"/>
  <c r="W28" i="12"/>
  <c r="V27" i="12"/>
  <c r="AF11" i="12"/>
  <c r="AF12" i="12" s="1"/>
  <c r="V25" i="12"/>
  <c r="V28" i="12"/>
  <c r="AO25" i="12"/>
  <c r="AR20" i="12"/>
  <c r="AR21" i="12" s="1"/>
  <c r="AR15" i="12"/>
  <c r="AR16" i="12" s="1"/>
  <c r="AR5" i="12"/>
  <c r="AR6" i="12" s="1"/>
  <c r="AI11" i="12"/>
  <c r="AI12" i="12" s="1"/>
  <c r="AR14" i="12"/>
  <c r="AR19" i="12"/>
  <c r="AR4" i="12"/>
  <c r="AR8" i="12"/>
  <c r="AR12" i="12" s="1"/>
  <c r="AN15" i="12"/>
  <c r="AN16" i="12" s="1"/>
  <c r="AN20" i="12"/>
  <c r="AN21" i="12" s="1"/>
  <c r="AN10" i="12"/>
  <c r="AN11" i="12" s="1"/>
  <c r="AM25" i="12"/>
  <c r="AR3" i="12"/>
  <c r="AR7" i="12" s="1"/>
  <c r="AI14" i="12"/>
  <c r="AR18" i="12"/>
  <c r="AR22" i="12" s="1"/>
  <c r="AR13" i="12"/>
  <c r="AR17" i="12" s="1"/>
  <c r="AG11" i="12"/>
  <c r="AG12" i="12" s="1"/>
  <c r="AP25" i="12"/>
  <c r="AX34" i="17" l="1"/>
  <c r="AH27" i="17"/>
  <c r="AP21" i="17"/>
  <c r="AF23" i="17"/>
  <c r="AF36" i="17" s="1"/>
  <c r="AF38" i="17" s="1"/>
  <c r="AF40" i="17" s="1"/>
  <c r="AF43" i="17" s="1"/>
  <c r="AF39" i="17"/>
  <c r="AF42" i="17" s="1"/>
  <c r="AH40" i="17"/>
  <c r="AH43" i="17" s="1"/>
  <c r="AH50" i="17" s="1"/>
  <c r="AY41" i="17"/>
  <c r="AW41" i="17"/>
  <c r="BA34" i="17"/>
  <c r="U26" i="17"/>
  <c r="AO26" i="17" s="1"/>
  <c r="AO25" i="17"/>
  <c r="AX21" i="17"/>
  <c r="AE23" i="17"/>
  <c r="AE36" i="17" s="1"/>
  <c r="AE38" i="17" s="1"/>
  <c r="AE40" i="17" s="1"/>
  <c r="AE43" i="17" s="1"/>
  <c r="AE50" i="17" s="1"/>
  <c r="AE22" i="17"/>
  <c r="L27" i="17"/>
  <c r="L31" i="17"/>
  <c r="L28" i="17"/>
  <c r="L29" i="17"/>
  <c r="AE29" i="17"/>
  <c r="AE31" i="17"/>
  <c r="AE28" i="17"/>
  <c r="AE27" i="17"/>
  <c r="AQ25" i="17"/>
  <c r="W26" i="17"/>
  <c r="AW34" i="17"/>
  <c r="J29" i="17"/>
  <c r="J27" i="17"/>
  <c r="J31" i="17"/>
  <c r="J28" i="17"/>
  <c r="M31" i="17"/>
  <c r="M29" i="17"/>
  <c r="M27" i="17"/>
  <c r="M28" i="17"/>
  <c r="M22" i="17"/>
  <c r="M35" i="17" s="1"/>
  <c r="AN24" i="17"/>
  <c r="T27" i="17"/>
  <c r="T31" i="17"/>
  <c r="T28" i="17"/>
  <c r="T29" i="17"/>
  <c r="X22" i="17"/>
  <c r="X31" i="17"/>
  <c r="X27" i="17"/>
  <c r="AR24" i="17"/>
  <c r="X28" i="17"/>
  <c r="X29" i="17"/>
  <c r="AO32" i="17"/>
  <c r="AX32" i="17"/>
  <c r="AG29" i="17"/>
  <c r="AG31" i="17"/>
  <c r="AG28" i="17"/>
  <c r="AG27" i="17"/>
  <c r="X23" i="17"/>
  <c r="K27" i="17"/>
  <c r="K28" i="17"/>
  <c r="K29" i="17"/>
  <c r="K31" i="17"/>
  <c r="AE26" i="17"/>
  <c r="AP32" i="17"/>
  <c r="AY32" i="17"/>
  <c r="AN32" i="17"/>
  <c r="AW32" i="17"/>
  <c r="V23" i="17"/>
  <c r="V22" i="17"/>
  <c r="BA41" i="17"/>
  <c r="K37" i="17"/>
  <c r="K23" i="17"/>
  <c r="K36" i="17" s="1"/>
  <c r="AD27" i="17"/>
  <c r="AD29" i="17"/>
  <c r="AD31" i="17"/>
  <c r="AD28" i="17"/>
  <c r="V26" i="17"/>
  <c r="AP25" i="17"/>
  <c r="AY34" i="17"/>
  <c r="AH29" i="17"/>
  <c r="AC24" i="17"/>
  <c r="AC26" i="17"/>
  <c r="AC32" i="17"/>
  <c r="AC41" i="17" s="1"/>
  <c r="AC34" i="17"/>
  <c r="AZ34" i="17"/>
  <c r="J23" i="17"/>
  <c r="J36" i="17" s="1"/>
  <c r="W27" i="17"/>
  <c r="AQ27" i="17" s="1"/>
  <c r="W29" i="17"/>
  <c r="W31" i="17"/>
  <c r="W28" i="17"/>
  <c r="AQ24" i="17"/>
  <c r="AD26" i="17"/>
  <c r="M26" i="17"/>
  <c r="M23" i="17"/>
  <c r="M36" i="17" s="1"/>
  <c r="AM21" i="17"/>
  <c r="AF31" i="17"/>
  <c r="AF29" i="17"/>
  <c r="AF28" i="17"/>
  <c r="AF27" i="17"/>
  <c r="AH31" i="17"/>
  <c r="AG22" i="17"/>
  <c r="AG35" i="17" s="1"/>
  <c r="AG37" i="17" s="1"/>
  <c r="AG39" i="17" s="1"/>
  <c r="AG42" i="17" s="1"/>
  <c r="AG45" i="17" s="1"/>
  <c r="AG26" i="17"/>
  <c r="J22" i="17"/>
  <c r="J35" i="17" s="1"/>
  <c r="U41" i="17"/>
  <c r="AX41" i="17" s="1"/>
  <c r="W22" i="17"/>
  <c r="AW21" i="17"/>
  <c r="AD23" i="17"/>
  <c r="AD36" i="17" s="1"/>
  <c r="AD38" i="17" s="1"/>
  <c r="AD40" i="17" s="1"/>
  <c r="AD43" i="17" s="1"/>
  <c r="AD46" i="17" s="1"/>
  <c r="AD22" i="17"/>
  <c r="AD35" i="17" s="1"/>
  <c r="AD37" i="17" s="1"/>
  <c r="AD39" i="17" s="1"/>
  <c r="AD42" i="17" s="1"/>
  <c r="T23" i="17"/>
  <c r="T22" i="17"/>
  <c r="L23" i="17"/>
  <c r="L36" i="17" s="1"/>
  <c r="AP24" i="17"/>
  <c r="V29" i="17"/>
  <c r="V31" i="17"/>
  <c r="V27" i="17"/>
  <c r="V28" i="17"/>
  <c r="N27" i="17"/>
  <c r="N29" i="17"/>
  <c r="N28" i="17"/>
  <c r="N31" i="17"/>
  <c r="X26" i="17"/>
  <c r="AR26" i="17" s="1"/>
  <c r="AR25" i="17"/>
  <c r="AG23" i="17"/>
  <c r="AG36" i="17" s="1"/>
  <c r="AG38" i="17" s="1"/>
  <c r="AG40" i="17" s="1"/>
  <c r="AG43" i="17" s="1"/>
  <c r="AN21" i="17"/>
  <c r="U23" i="17"/>
  <c r="AH39" i="17"/>
  <c r="AH42" i="17" s="1"/>
  <c r="AH49" i="17" s="1"/>
  <c r="AN25" i="17"/>
  <c r="T26" i="17"/>
  <c r="AN26" i="17" s="1"/>
  <c r="W36" i="17"/>
  <c r="L22" i="17"/>
  <c r="L35" i="17" s="1"/>
  <c r="AH28" i="17"/>
  <c r="AH26" i="17"/>
  <c r="AZ32" i="17"/>
  <c r="AQ32" i="17"/>
  <c r="W41" i="17"/>
  <c r="AZ41" i="17" s="1"/>
  <c r="I32" i="17"/>
  <c r="I41" i="17" s="1"/>
  <c r="I26" i="17"/>
  <c r="I34" i="17"/>
  <c r="AM19" i="17"/>
  <c r="I24" i="17"/>
  <c r="I22" i="17" s="1"/>
  <c r="I35" i="17" s="1"/>
  <c r="I37" i="17" s="1"/>
  <c r="BA32" i="17"/>
  <c r="AR32" i="17"/>
  <c r="U22" i="17"/>
  <c r="U31" i="17"/>
  <c r="U27" i="17"/>
  <c r="U28" i="17"/>
  <c r="U29" i="17"/>
  <c r="AO24" i="17"/>
  <c r="AV19" i="17"/>
  <c r="S34" i="17"/>
  <c r="S32" i="17"/>
  <c r="AR21" i="17"/>
  <c r="N23" i="17"/>
  <c r="N36" i="17" s="1"/>
  <c r="N22" i="17"/>
  <c r="N35" i="17" s="1"/>
  <c r="BA21" i="17"/>
  <c r="AM3" i="12"/>
  <c r="AM7" i="12" s="1"/>
  <c r="AR27" i="12"/>
  <c r="AN14" i="12"/>
  <c r="AP9" i="12"/>
  <c r="AM14" i="12"/>
  <c r="AD13" i="12"/>
  <c r="AD15" i="12" s="1"/>
  <c r="AD16" i="12" s="1"/>
  <c r="AG13" i="12"/>
  <c r="AH13" i="12"/>
  <c r="AH15" i="12" s="1"/>
  <c r="AH16" i="12" s="1"/>
  <c r="AF13" i="12"/>
  <c r="AF15" i="12" s="1"/>
  <c r="AF16" i="12" s="1"/>
  <c r="AE13" i="12"/>
  <c r="AE15" i="12" s="1"/>
  <c r="AE16" i="12" s="1"/>
  <c r="AQ4" i="12"/>
  <c r="AN8" i="12"/>
  <c r="AN12" i="12" s="1"/>
  <c r="AO18" i="12"/>
  <c r="AO22" i="12" s="1"/>
  <c r="AQ8" i="12"/>
  <c r="AQ12" i="12" s="1"/>
  <c r="AP3" i="12"/>
  <c r="AP7" i="12" s="1"/>
  <c r="AQ18" i="12"/>
  <c r="AQ22" i="12" s="1"/>
  <c r="AQ3" i="12"/>
  <c r="AQ7" i="12" s="1"/>
  <c r="AQ13" i="12"/>
  <c r="AQ17" i="12" s="1"/>
  <c r="AM13" i="12"/>
  <c r="AM17" i="12" s="1"/>
  <c r="AM18" i="12"/>
  <c r="AM22" i="12" s="1"/>
  <c r="AM8" i="12"/>
  <c r="AM12" i="12" s="1"/>
  <c r="AP13" i="12"/>
  <c r="AP17" i="12" s="1"/>
  <c r="AP18" i="12"/>
  <c r="AP22" i="12" s="1"/>
  <c r="AP8" i="12"/>
  <c r="AP12" i="12" s="1"/>
  <c r="AO13" i="12"/>
  <c r="AO17" i="12" s="1"/>
  <c r="AN13" i="12"/>
  <c r="AN17" i="12" s="1"/>
  <c r="AN28" i="12" s="1"/>
  <c r="AN3" i="12"/>
  <c r="AN7" i="12" s="1"/>
  <c r="AN18" i="12"/>
  <c r="AN22" i="12" s="1"/>
  <c r="AD14" i="12"/>
  <c r="AO3" i="12"/>
  <c r="AO7" i="12" s="1"/>
  <c r="AF14" i="12"/>
  <c r="AO8" i="12"/>
  <c r="AO12" i="12" s="1"/>
  <c r="AP14" i="12"/>
  <c r="AQ9" i="12"/>
  <c r="AO4" i="12"/>
  <c r="AM4" i="12"/>
  <c r="AO19" i="12"/>
  <c r="AO9" i="12"/>
  <c r="AQ19" i="12"/>
  <c r="AQ14" i="12"/>
  <c r="AH14" i="12"/>
  <c r="AM19" i="12"/>
  <c r="AM9" i="12"/>
  <c r="AO14" i="12"/>
  <c r="AG14" i="12"/>
  <c r="AP19" i="12"/>
  <c r="AP4" i="12"/>
  <c r="AE14" i="12"/>
  <c r="AN9" i="12"/>
  <c r="AN4" i="12"/>
  <c r="AN19" i="12"/>
  <c r="AI15" i="12"/>
  <c r="AI16" i="12" s="1"/>
  <c r="AI17" i="12" s="1"/>
  <c r="AR29" i="12"/>
  <c r="AR26" i="12"/>
  <c r="AR28" i="12"/>
  <c r="AH48" i="17" l="1"/>
  <c r="AH52" i="17"/>
  <c r="AH46" i="17"/>
  <c r="AE48" i="17"/>
  <c r="AE52" i="17"/>
  <c r="AF50" i="17"/>
  <c r="AF52" i="17"/>
  <c r="AF48" i="17"/>
  <c r="AF46" i="17"/>
  <c r="AQ31" i="17"/>
  <c r="AX26" i="17"/>
  <c r="AV34" i="17"/>
  <c r="AZ26" i="17"/>
  <c r="AP28" i="17"/>
  <c r="L30" i="17"/>
  <c r="AG49" i="17"/>
  <c r="AG51" i="17"/>
  <c r="AG55" i="17"/>
  <c r="AG63" i="17" s="1"/>
  <c r="AO28" i="17"/>
  <c r="AN31" i="17"/>
  <c r="AO27" i="17"/>
  <c r="AG47" i="17"/>
  <c r="AN27" i="17"/>
  <c r="AQ23" i="17"/>
  <c r="AQ28" i="17"/>
  <c r="K30" i="17"/>
  <c r="AH53" i="17"/>
  <c r="AH61" i="17" s="1"/>
  <c r="AG56" i="17"/>
  <c r="AG64" i="17" s="1"/>
  <c r="AH57" i="17"/>
  <c r="AG60" i="17"/>
  <c r="AG68" i="17" s="1"/>
  <c r="AO31" i="17"/>
  <c r="AH47" i="17"/>
  <c r="AE46" i="17"/>
  <c r="AH51" i="17"/>
  <c r="AZ28" i="17"/>
  <c r="AW28" i="17"/>
  <c r="AZ31" i="17"/>
  <c r="BA31" i="17"/>
  <c r="AH55" i="17"/>
  <c r="AH63" i="17" s="1"/>
  <c r="AH56" i="17"/>
  <c r="AH64" i="17" s="1"/>
  <c r="AH59" i="17"/>
  <c r="AD52" i="17"/>
  <c r="AH45" i="17"/>
  <c r="AH60" i="17"/>
  <c r="AH68" i="17" s="1"/>
  <c r="AH54" i="17"/>
  <c r="AH62" i="17" s="1"/>
  <c r="AD48" i="17"/>
  <c r="AH58" i="17"/>
  <c r="AH66" i="17" s="1"/>
  <c r="AG58" i="17"/>
  <c r="AG66" i="17" s="1"/>
  <c r="AD50" i="17"/>
  <c r="L37" i="17"/>
  <c r="T35" i="17"/>
  <c r="AN22" i="17"/>
  <c r="AW22" i="17"/>
  <c r="W38" i="17"/>
  <c r="AZ36" i="17"/>
  <c r="AN23" i="17"/>
  <c r="T36" i="17"/>
  <c r="AW23" i="17"/>
  <c r="I39" i="17"/>
  <c r="I42" i="17" s="1"/>
  <c r="AC27" i="17"/>
  <c r="AC28" i="17"/>
  <c r="AC31" i="17"/>
  <c r="AC29" i="17"/>
  <c r="AC22" i="17"/>
  <c r="AC35" i="17" s="1"/>
  <c r="AC37" i="17" s="1"/>
  <c r="AW29" i="17"/>
  <c r="AD30" i="17"/>
  <c r="V35" i="17"/>
  <c r="AP22" i="17"/>
  <c r="AY22" i="17"/>
  <c r="AZ29" i="17"/>
  <c r="AG30" i="17"/>
  <c r="AX28" i="17"/>
  <c r="N38" i="17"/>
  <c r="I23" i="17"/>
  <c r="I36" i="17" s="1"/>
  <c r="I38" i="17" s="1"/>
  <c r="I40" i="17" s="1"/>
  <c r="I43" i="17" s="1"/>
  <c r="AV32" i="17"/>
  <c r="AM32" i="17"/>
  <c r="S41" i="17"/>
  <c r="AV41" i="17" s="1"/>
  <c r="U35" i="17"/>
  <c r="AO22" i="17"/>
  <c r="AP27" i="17"/>
  <c r="W30" i="17"/>
  <c r="AQ29" i="17"/>
  <c r="AH30" i="17"/>
  <c r="AW27" i="17"/>
  <c r="AY23" i="17"/>
  <c r="AP23" i="17"/>
  <c r="V36" i="17"/>
  <c r="BA27" i="17"/>
  <c r="AR27" i="17"/>
  <c r="M37" i="17"/>
  <c r="J30" i="17"/>
  <c r="AX31" i="17"/>
  <c r="AX22" i="17"/>
  <c r="AE35" i="17"/>
  <c r="AZ23" i="17"/>
  <c r="AY31" i="17"/>
  <c r="AP31" i="17"/>
  <c r="M38" i="17"/>
  <c r="AR31" i="17"/>
  <c r="AX29" i="17"/>
  <c r="AE30" i="17"/>
  <c r="J37" i="17"/>
  <c r="AG46" i="17"/>
  <c r="AG53" i="17"/>
  <c r="AG61" i="17" s="1"/>
  <c r="AG48" i="17"/>
  <c r="AP29" i="17"/>
  <c r="V30" i="17"/>
  <c r="AP30" i="17" s="1"/>
  <c r="AY27" i="17"/>
  <c r="J38" i="17"/>
  <c r="K38" i="17"/>
  <c r="X35" i="17"/>
  <c r="BA22" i="17"/>
  <c r="AR22" i="17"/>
  <c r="N37" i="17"/>
  <c r="AG59" i="17"/>
  <c r="AG50" i="17"/>
  <c r="AG57" i="17"/>
  <c r="AG52" i="17"/>
  <c r="I29" i="17"/>
  <c r="I27" i="17"/>
  <c r="I31" i="17"/>
  <c r="I28" i="17"/>
  <c r="BA26" i="17"/>
  <c r="W35" i="17"/>
  <c r="AQ22" i="17"/>
  <c r="AZ22" i="17"/>
  <c r="AY28" i="17"/>
  <c r="AW26" i="17"/>
  <c r="AR23" i="17"/>
  <c r="X36" i="17"/>
  <c r="BA23" i="17"/>
  <c r="T30" i="17"/>
  <c r="AN29" i="17"/>
  <c r="M30" i="17"/>
  <c r="K39" i="17"/>
  <c r="AR28" i="17"/>
  <c r="BA28" i="17"/>
  <c r="AW31" i="17"/>
  <c r="AX27" i="17"/>
  <c r="AG54" i="17"/>
  <c r="AG62" i="17" s="1"/>
  <c r="U30" i="17"/>
  <c r="AO29" i="17"/>
  <c r="U36" i="17"/>
  <c r="AO23" i="17"/>
  <c r="AX23" i="17"/>
  <c r="N30" i="17"/>
  <c r="L38" i="17"/>
  <c r="AY29" i="17"/>
  <c r="AF30" i="17"/>
  <c r="AP26" i="17"/>
  <c r="AY26" i="17"/>
  <c r="AZ27" i="17"/>
  <c r="X30" i="17"/>
  <c r="AR29" i="17"/>
  <c r="BA29" i="17"/>
  <c r="AN28" i="17"/>
  <c r="AQ26" i="17"/>
  <c r="AD58" i="17"/>
  <c r="AD66" i="17" s="1"/>
  <c r="AD54" i="17"/>
  <c r="AD62" i="17" s="1"/>
  <c r="AD59" i="17"/>
  <c r="AD55" i="17"/>
  <c r="AD63" i="17" s="1"/>
  <c r="AD51" i="17"/>
  <c r="AD47" i="17"/>
  <c r="AD60" i="17"/>
  <c r="AD68" i="17" s="1"/>
  <c r="AD56" i="17"/>
  <c r="AD64" i="17" s="1"/>
  <c r="AD57" i="17"/>
  <c r="AD53" i="17"/>
  <c r="AD61" i="17" s="1"/>
  <c r="AD49" i="17"/>
  <c r="AD45" i="17"/>
  <c r="AF59" i="17"/>
  <c r="AF55" i="17"/>
  <c r="AF63" i="17" s="1"/>
  <c r="AF51" i="17"/>
  <c r="AF47" i="17"/>
  <c r="AF60" i="17"/>
  <c r="AF68" i="17" s="1"/>
  <c r="AF56" i="17"/>
  <c r="AF64" i="17" s="1"/>
  <c r="AF57" i="17"/>
  <c r="AF53" i="17"/>
  <c r="AF61" i="17" s="1"/>
  <c r="AF49" i="17"/>
  <c r="AF45" i="17"/>
  <c r="AF58" i="17"/>
  <c r="AF66" i="17" s="1"/>
  <c r="AF54" i="17"/>
  <c r="AF62" i="17" s="1"/>
  <c r="AO29" i="12"/>
  <c r="S24" i="17"/>
  <c r="AM28" i="12"/>
  <c r="AG15" i="12"/>
  <c r="AG16" i="12" s="1"/>
  <c r="AG17" i="12" s="1"/>
  <c r="AQ27" i="12"/>
  <c r="AP26" i="12"/>
  <c r="AH17" i="12"/>
  <c r="AQ26" i="12"/>
  <c r="AQ29" i="12"/>
  <c r="AQ28" i="12"/>
  <c r="AM29" i="12"/>
  <c r="AD17" i="12"/>
  <c r="AP28" i="12"/>
  <c r="AP27" i="12"/>
  <c r="AP29" i="12"/>
  <c r="AE17" i="12"/>
  <c r="AF17" i="12"/>
  <c r="AO26" i="12"/>
  <c r="AM26" i="12"/>
  <c r="AO27" i="12"/>
  <c r="AO28" i="12"/>
  <c r="AM27" i="12"/>
  <c r="AN26" i="12"/>
  <c r="AN29" i="12"/>
  <c r="AN27" i="12"/>
  <c r="AO30" i="17" l="1"/>
  <c r="AZ30" i="17"/>
  <c r="AG67" i="17"/>
  <c r="AC30" i="17"/>
  <c r="AH67" i="17"/>
  <c r="AX30" i="17"/>
  <c r="AG65" i="17"/>
  <c r="AH65" i="17"/>
  <c r="L40" i="17"/>
  <c r="AN30" i="17"/>
  <c r="AZ35" i="17"/>
  <c r="W37" i="17"/>
  <c r="K40" i="17"/>
  <c r="M40" i="17"/>
  <c r="AZ38" i="17"/>
  <c r="W40" i="17"/>
  <c r="BA30" i="17"/>
  <c r="AR30" i="17"/>
  <c r="M39" i="17"/>
  <c r="N39" i="17"/>
  <c r="AQ30" i="17"/>
  <c r="V37" i="17"/>
  <c r="AY35" i="17"/>
  <c r="U38" i="17"/>
  <c r="AX36" i="17"/>
  <c r="AX35" i="17"/>
  <c r="AE37" i="17"/>
  <c r="N40" i="17"/>
  <c r="AW30" i="17"/>
  <c r="AW35" i="17"/>
  <c r="T37" i="17"/>
  <c r="AY30" i="17"/>
  <c r="K42" i="17"/>
  <c r="I30" i="17"/>
  <c r="AY36" i="17"/>
  <c r="V38" i="17"/>
  <c r="T38" i="17"/>
  <c r="AW36" i="17"/>
  <c r="BA36" i="17"/>
  <c r="X38" i="17"/>
  <c r="J40" i="17"/>
  <c r="J39" i="17"/>
  <c r="BA35" i="17"/>
  <c r="X37" i="17"/>
  <c r="U37" i="17"/>
  <c r="L39" i="17"/>
  <c r="AM25" i="17"/>
  <c r="AM24" i="17"/>
  <c r="S26" i="17"/>
  <c r="AD65" i="17"/>
  <c r="S22" i="17"/>
  <c r="S31" i="17"/>
  <c r="S29" i="17"/>
  <c r="S27" i="17"/>
  <c r="S28" i="17"/>
  <c r="AF65" i="17"/>
  <c r="AD67" i="17"/>
  <c r="AF67" i="17"/>
  <c r="S23" i="17"/>
  <c r="J42" i="17" l="1"/>
  <c r="AY38" i="17"/>
  <c r="V40" i="17"/>
  <c r="K43" i="17"/>
  <c r="K60" i="17" s="1"/>
  <c r="K68" i="17" s="1"/>
  <c r="AY37" i="17"/>
  <c r="V39" i="17"/>
  <c r="AZ37" i="17"/>
  <c r="W39" i="17"/>
  <c r="L42" i="17"/>
  <c r="J43" i="17"/>
  <c r="N43" i="17"/>
  <c r="AZ40" i="17"/>
  <c r="W43" i="17"/>
  <c r="U40" i="17"/>
  <c r="AX38" i="17"/>
  <c r="X40" i="17"/>
  <c r="BA38" i="17"/>
  <c r="AX37" i="17"/>
  <c r="AE39" i="17"/>
  <c r="N42" i="17"/>
  <c r="AW37" i="17"/>
  <c r="T39" i="17"/>
  <c r="M43" i="17"/>
  <c r="U39" i="17"/>
  <c r="K51" i="17"/>
  <c r="K45" i="17"/>
  <c r="K49" i="17"/>
  <c r="K47" i="17"/>
  <c r="AW38" i="17"/>
  <c r="T40" i="17"/>
  <c r="M42" i="17"/>
  <c r="BA37" i="17"/>
  <c r="X39" i="17"/>
  <c r="L43" i="17"/>
  <c r="AM23" i="17"/>
  <c r="AV28" i="17"/>
  <c r="AM28" i="17"/>
  <c r="AV26" i="17"/>
  <c r="AM26" i="17"/>
  <c r="AV27" i="17"/>
  <c r="AM27" i="17"/>
  <c r="AV29" i="17"/>
  <c r="AM29" i="17"/>
  <c r="AV31" i="17"/>
  <c r="AM31" i="17"/>
  <c r="AV22" i="17"/>
  <c r="AM22" i="17"/>
  <c r="S36" i="17"/>
  <c r="S35" i="17"/>
  <c r="AV35" i="17" s="1"/>
  <c r="S30" i="17"/>
  <c r="K53" i="17" l="1"/>
  <c r="K61" i="17" s="1"/>
  <c r="K59" i="17"/>
  <c r="K67" i="17" s="1"/>
  <c r="K58" i="17"/>
  <c r="K66" i="17" s="1"/>
  <c r="K55" i="17"/>
  <c r="K63" i="17" s="1"/>
  <c r="K56" i="17"/>
  <c r="K64" i="17" s="1"/>
  <c r="K54" i="17"/>
  <c r="K62" i="17" s="1"/>
  <c r="AY39" i="17"/>
  <c r="V42" i="17"/>
  <c r="U42" i="17"/>
  <c r="L52" i="17"/>
  <c r="L50" i="17"/>
  <c r="L48" i="17"/>
  <c r="L46" i="17"/>
  <c r="N46" i="17"/>
  <c r="N48" i="17"/>
  <c r="N52" i="17"/>
  <c r="N50" i="17"/>
  <c r="BA39" i="17"/>
  <c r="X42" i="17"/>
  <c r="M46" i="17"/>
  <c r="M52" i="17"/>
  <c r="M50" i="17"/>
  <c r="M48" i="17"/>
  <c r="X43" i="17"/>
  <c r="BA40" i="17"/>
  <c r="J50" i="17"/>
  <c r="J48" i="17"/>
  <c r="J46" i="17"/>
  <c r="J52" i="17"/>
  <c r="K50" i="17"/>
  <c r="K52" i="17"/>
  <c r="K48" i="17"/>
  <c r="K46" i="17"/>
  <c r="AX39" i="17"/>
  <c r="AE42" i="17"/>
  <c r="K57" i="17"/>
  <c r="T42" i="17"/>
  <c r="AW39" i="17"/>
  <c r="AY40" i="17"/>
  <c r="V43" i="17"/>
  <c r="U43" i="17"/>
  <c r="AX40" i="17"/>
  <c r="L55" i="17"/>
  <c r="L45" i="17"/>
  <c r="L56" i="17"/>
  <c r="L51" i="17"/>
  <c r="L58" i="17"/>
  <c r="L47" i="17"/>
  <c r="L54" i="17"/>
  <c r="L49" i="17"/>
  <c r="L60" i="17"/>
  <c r="L59" i="17"/>
  <c r="L57" i="17"/>
  <c r="L53" i="17"/>
  <c r="M49" i="17"/>
  <c r="M57" i="17"/>
  <c r="M53" i="17"/>
  <c r="M59" i="17"/>
  <c r="M45" i="17"/>
  <c r="M51" i="17"/>
  <c r="M55" i="17"/>
  <c r="M47" i="17"/>
  <c r="M58" i="17"/>
  <c r="M60" i="17"/>
  <c r="M56" i="17"/>
  <c r="M54" i="17"/>
  <c r="N53" i="17"/>
  <c r="N47" i="17"/>
  <c r="N55" i="17"/>
  <c r="N57" i="17"/>
  <c r="N51" i="17"/>
  <c r="N49" i="17"/>
  <c r="N59" i="17"/>
  <c r="N45" i="17"/>
  <c r="N58" i="17"/>
  <c r="N60" i="17"/>
  <c r="N54" i="17"/>
  <c r="N56" i="17"/>
  <c r="AZ43" i="17"/>
  <c r="W50" i="17"/>
  <c r="AZ50" i="17" s="1"/>
  <c r="W46" i="17"/>
  <c r="AZ46" i="17" s="1"/>
  <c r="W48" i="17"/>
  <c r="AZ48" i="17" s="1"/>
  <c r="W52" i="17"/>
  <c r="AZ52" i="17" s="1"/>
  <c r="AZ39" i="17"/>
  <c r="W42" i="17"/>
  <c r="T43" i="17"/>
  <c r="AW40" i="17"/>
  <c r="J54" i="17"/>
  <c r="J53" i="17"/>
  <c r="J59" i="17"/>
  <c r="J49" i="17"/>
  <c r="J47" i="17"/>
  <c r="J55" i="17"/>
  <c r="J45" i="17"/>
  <c r="J51" i="17"/>
  <c r="J60" i="17"/>
  <c r="J56" i="17"/>
  <c r="J58" i="17"/>
  <c r="J57" i="17"/>
  <c r="AV30" i="17"/>
  <c r="AM30" i="17"/>
  <c r="S37" i="17"/>
  <c r="AV37" i="17" s="1"/>
  <c r="S38" i="17"/>
  <c r="AQ50" i="17" l="1"/>
  <c r="M64" i="17"/>
  <c r="K65" i="17"/>
  <c r="J65" i="17"/>
  <c r="N64" i="17"/>
  <c r="M68" i="17"/>
  <c r="M65" i="17"/>
  <c r="AX43" i="17"/>
  <c r="U48" i="17"/>
  <c r="AX48" i="17" s="1"/>
  <c r="U50" i="17"/>
  <c r="AX50" i="17" s="1"/>
  <c r="U52" i="17"/>
  <c r="AX52" i="17" s="1"/>
  <c r="U46" i="17"/>
  <c r="AX46" i="17" s="1"/>
  <c r="AQ48" i="17"/>
  <c r="L62" i="17"/>
  <c r="AZ42" i="17"/>
  <c r="W59" i="17"/>
  <c r="W54" i="17"/>
  <c r="W56" i="17"/>
  <c r="W45" i="17"/>
  <c r="AZ45" i="17" s="1"/>
  <c r="W60" i="17"/>
  <c r="AQ60" i="17" s="1"/>
  <c r="W53" i="17"/>
  <c r="AQ53" i="17" s="1"/>
  <c r="W55" i="17"/>
  <c r="AQ55" i="17" s="1"/>
  <c r="W49" i="17"/>
  <c r="AZ49" i="17" s="1"/>
  <c r="W58" i="17"/>
  <c r="AQ58" i="17" s="1"/>
  <c r="W51" i="17"/>
  <c r="AZ51" i="17" s="1"/>
  <c r="W57" i="17"/>
  <c r="W47" i="17"/>
  <c r="AZ47" i="17" s="1"/>
  <c r="J67" i="17"/>
  <c r="N68" i="17"/>
  <c r="N63" i="17"/>
  <c r="L61" i="17"/>
  <c r="L66" i="17"/>
  <c r="AY43" i="17"/>
  <c r="V46" i="17"/>
  <c r="AY46" i="17" s="1"/>
  <c r="V48" i="17"/>
  <c r="AY48" i="17" s="1"/>
  <c r="V52" i="17"/>
  <c r="AY52" i="17" s="1"/>
  <c r="V50" i="17"/>
  <c r="AY50" i="17" s="1"/>
  <c r="AQ52" i="17"/>
  <c r="U54" i="17"/>
  <c r="U55" i="17"/>
  <c r="U58" i="17"/>
  <c r="U51" i="17"/>
  <c r="U60" i="17"/>
  <c r="U59" i="17"/>
  <c r="U49" i="17"/>
  <c r="U56" i="17"/>
  <c r="U57" i="17"/>
  <c r="U47" i="17"/>
  <c r="U45" i="17"/>
  <c r="U53" i="17"/>
  <c r="J63" i="17"/>
  <c r="N62" i="17"/>
  <c r="J68" i="17"/>
  <c r="N66" i="17"/>
  <c r="M63" i="17"/>
  <c r="L65" i="17"/>
  <c r="AQ46" i="17"/>
  <c r="AY42" i="17"/>
  <c r="V49" i="17"/>
  <c r="AY49" i="17" s="1"/>
  <c r="V58" i="17"/>
  <c r="V45" i="17"/>
  <c r="AY45" i="17" s="1"/>
  <c r="V57" i="17"/>
  <c r="AP57" i="17" s="1"/>
  <c r="V47" i="17"/>
  <c r="AY47" i="17" s="1"/>
  <c r="V54" i="17"/>
  <c r="AP54" i="17" s="1"/>
  <c r="V55" i="17"/>
  <c r="AP55" i="17" s="1"/>
  <c r="V51" i="17"/>
  <c r="AY51" i="17" s="1"/>
  <c r="V60" i="17"/>
  <c r="AP60" i="17" s="1"/>
  <c r="V59" i="17"/>
  <c r="V53" i="17"/>
  <c r="V56" i="17"/>
  <c r="AP56" i="17" s="1"/>
  <c r="AW43" i="17"/>
  <c r="T48" i="17"/>
  <c r="AW48" i="17" s="1"/>
  <c r="T50" i="17"/>
  <c r="AW50" i="17" s="1"/>
  <c r="T52" i="17"/>
  <c r="AW52" i="17" s="1"/>
  <c r="T46" i="17"/>
  <c r="AW46" i="17" s="1"/>
  <c r="AX42" i="17"/>
  <c r="AE53" i="17"/>
  <c r="AE61" i="17" s="1"/>
  <c r="AE45" i="17"/>
  <c r="AE54" i="17"/>
  <c r="AE62" i="17" s="1"/>
  <c r="AE59" i="17"/>
  <c r="AE47" i="17"/>
  <c r="AE55" i="17"/>
  <c r="AE63" i="17" s="1"/>
  <c r="AE60" i="17"/>
  <c r="AE68" i="17" s="1"/>
  <c r="AE49" i="17"/>
  <c r="AE57" i="17"/>
  <c r="AE56" i="17"/>
  <c r="AE64" i="17" s="1"/>
  <c r="AE51" i="17"/>
  <c r="AE58" i="17"/>
  <c r="AE66" i="17" s="1"/>
  <c r="J62" i="17"/>
  <c r="N61" i="17"/>
  <c r="AQ51" i="17"/>
  <c r="L67" i="17"/>
  <c r="L64" i="17"/>
  <c r="BA42" i="17"/>
  <c r="X59" i="17"/>
  <c r="AR59" i="17" s="1"/>
  <c r="X49" i="17"/>
  <c r="BA49" i="17" s="1"/>
  <c r="X47" i="17"/>
  <c r="BA47" i="17" s="1"/>
  <c r="X56" i="17"/>
  <c r="AR56" i="17" s="1"/>
  <c r="X55" i="17"/>
  <c r="AR55" i="17" s="1"/>
  <c r="X45" i="17"/>
  <c r="BA45" i="17" s="1"/>
  <c r="X58" i="17"/>
  <c r="AR58" i="17" s="1"/>
  <c r="X60" i="17"/>
  <c r="AR60" i="17" s="1"/>
  <c r="X53" i="17"/>
  <c r="X57" i="17"/>
  <c r="AR57" i="17" s="1"/>
  <c r="X54" i="17"/>
  <c r="AR54" i="17" s="1"/>
  <c r="X51" i="17"/>
  <c r="BA51" i="17" s="1"/>
  <c r="M61" i="17"/>
  <c r="N65" i="17"/>
  <c r="J64" i="17"/>
  <c r="J61" i="17"/>
  <c r="L68" i="17"/>
  <c r="AO48" i="17"/>
  <c r="J66" i="17"/>
  <c r="M66" i="17"/>
  <c r="N67" i="17"/>
  <c r="M62" i="17"/>
  <c r="AQ54" i="17"/>
  <c r="M67" i="17"/>
  <c r="L63" i="17"/>
  <c r="AW42" i="17"/>
  <c r="T49" i="17"/>
  <c r="AW49" i="17" s="1"/>
  <c r="T51" i="17"/>
  <c r="AW51" i="17" s="1"/>
  <c r="T45" i="17"/>
  <c r="AW45" i="17" s="1"/>
  <c r="T54" i="17"/>
  <c r="AN54" i="17" s="1"/>
  <c r="T47" i="17"/>
  <c r="AW47" i="17" s="1"/>
  <c r="T56" i="17"/>
  <c r="AN56" i="17" s="1"/>
  <c r="T59" i="17"/>
  <c r="T55" i="17"/>
  <c r="T53" i="17"/>
  <c r="T60" i="17"/>
  <c r="T58" i="17"/>
  <c r="AN58" i="17" s="1"/>
  <c r="T57" i="17"/>
  <c r="BA43" i="17"/>
  <c r="X50" i="17"/>
  <c r="BA50" i="17" s="1"/>
  <c r="X52" i="17"/>
  <c r="BA52" i="17" s="1"/>
  <c r="X46" i="17"/>
  <c r="BA46" i="17" s="1"/>
  <c r="X48" i="17"/>
  <c r="BA48" i="17" s="1"/>
  <c r="S40" i="17"/>
  <c r="S39" i="17"/>
  <c r="AN52" i="17" l="1"/>
  <c r="AE65" i="17"/>
  <c r="AQ47" i="17"/>
  <c r="AQ45" i="17"/>
  <c r="AO46" i="17"/>
  <c r="AN50" i="17"/>
  <c r="AO50" i="17"/>
  <c r="AP46" i="17"/>
  <c r="AY53" i="17"/>
  <c r="V61" i="17"/>
  <c r="AY61" i="17" s="1"/>
  <c r="W65" i="17"/>
  <c r="AZ65" i="17" s="1"/>
  <c r="AZ57" i="17"/>
  <c r="W64" i="17"/>
  <c r="AZ64" i="17" s="1"/>
  <c r="AZ56" i="17"/>
  <c r="AW55" i="17"/>
  <c r="T63" i="17"/>
  <c r="AW63" i="17" s="1"/>
  <c r="BA55" i="17"/>
  <c r="X63" i="17"/>
  <c r="BA63" i="17" s="1"/>
  <c r="AN49" i="17"/>
  <c r="AY59" i="17"/>
  <c r="V67" i="17"/>
  <c r="AY67" i="17" s="1"/>
  <c r="AY58" i="17"/>
  <c r="V66" i="17"/>
  <c r="AY66" i="17" s="1"/>
  <c r="AX47" i="17"/>
  <c r="AO47" i="17"/>
  <c r="AX55" i="17"/>
  <c r="AO55" i="17"/>
  <c r="U63" i="17"/>
  <c r="AZ54" i="17"/>
  <c r="W62" i="17"/>
  <c r="AZ62" i="17" s="1"/>
  <c r="AP50" i="17"/>
  <c r="AR45" i="17"/>
  <c r="AX57" i="17"/>
  <c r="U65" i="17"/>
  <c r="AX65" i="17" s="1"/>
  <c r="AW56" i="17"/>
  <c r="T64" i="17"/>
  <c r="AW64" i="17" s="1"/>
  <c r="AN45" i="17"/>
  <c r="AP45" i="17"/>
  <c r="BA54" i="17"/>
  <c r="X62" i="17"/>
  <c r="BA62" i="17" s="1"/>
  <c r="AP59" i="17"/>
  <c r="AN51" i="17"/>
  <c r="AR49" i="17"/>
  <c r="AO56" i="17"/>
  <c r="U64" i="17"/>
  <c r="AX56" i="17"/>
  <c r="AR48" i="17"/>
  <c r="AP58" i="17"/>
  <c r="AR51" i="17"/>
  <c r="AO57" i="17"/>
  <c r="AW59" i="17"/>
  <c r="T67" i="17"/>
  <c r="AW67" i="17" s="1"/>
  <c r="W67" i="17"/>
  <c r="AZ67" i="17" s="1"/>
  <c r="AZ59" i="17"/>
  <c r="AO52" i="17"/>
  <c r="AP49" i="17"/>
  <c r="AR52" i="17"/>
  <c r="BA57" i="17"/>
  <c r="X65" i="17"/>
  <c r="BA65" i="17" s="1"/>
  <c r="AE67" i="17"/>
  <c r="AY55" i="17"/>
  <c r="V63" i="17"/>
  <c r="AY63" i="17" s="1"/>
  <c r="AR46" i="17"/>
  <c r="AR47" i="17"/>
  <c r="AN55" i="17"/>
  <c r="AO49" i="17"/>
  <c r="AX49" i="17"/>
  <c r="AN59" i="17"/>
  <c r="AZ55" i="17"/>
  <c r="W63" i="17"/>
  <c r="AZ63" i="17" s="1"/>
  <c r="AW53" i="17"/>
  <c r="T61" i="17"/>
  <c r="AW61" i="17" s="1"/>
  <c r="U62" i="17"/>
  <c r="AX54" i="17"/>
  <c r="AO54" i="17"/>
  <c r="AW57" i="17"/>
  <c r="T65" i="17"/>
  <c r="AW65" i="17" s="1"/>
  <c r="T62" i="17"/>
  <c r="AW62" i="17" s="1"/>
  <c r="AW54" i="17"/>
  <c r="AQ59" i="17"/>
  <c r="BA53" i="17"/>
  <c r="X61" i="17"/>
  <c r="BA61" i="17" s="1"/>
  <c r="BA59" i="17"/>
  <c r="X67" i="17"/>
  <c r="BA67" i="17" s="1"/>
  <c r="AY54" i="17"/>
  <c r="V62" i="17"/>
  <c r="AY62" i="17" s="1"/>
  <c r="AX59" i="17"/>
  <c r="U67" i="17"/>
  <c r="AO59" i="17"/>
  <c r="AN46" i="17"/>
  <c r="AP53" i="17"/>
  <c r="AZ53" i="17"/>
  <c r="W61" i="17"/>
  <c r="AZ61" i="17" s="1"/>
  <c r="AQ56" i="17"/>
  <c r="AX58" i="17"/>
  <c r="AO58" i="17"/>
  <c r="U66" i="17"/>
  <c r="AZ58" i="17"/>
  <c r="W66" i="17"/>
  <c r="AZ66" i="17" s="1"/>
  <c r="AP48" i="17"/>
  <c r="AW58" i="17"/>
  <c r="T66" i="17"/>
  <c r="AW66" i="17" s="1"/>
  <c r="BA60" i="17"/>
  <c r="X68" i="17"/>
  <c r="BA68" i="17" s="1"/>
  <c r="AR53" i="17"/>
  <c r="AN48" i="17"/>
  <c r="AX60" i="17"/>
  <c r="U68" i="17"/>
  <c r="AO60" i="17"/>
  <c r="AQ49" i="17"/>
  <c r="W68" i="17"/>
  <c r="AZ68" i="17" s="1"/>
  <c r="AZ60" i="17"/>
  <c r="AP52" i="17"/>
  <c r="AP47" i="17"/>
  <c r="AN47" i="17"/>
  <c r="AN53" i="17"/>
  <c r="AX45" i="17"/>
  <c r="AO45" i="17"/>
  <c r="BA56" i="17"/>
  <c r="X64" i="17"/>
  <c r="BA64" i="17" s="1"/>
  <c r="AY60" i="17"/>
  <c r="V68" i="17"/>
  <c r="AY68" i="17" s="1"/>
  <c r="AW60" i="17"/>
  <c r="T68" i="17"/>
  <c r="AW68" i="17" s="1"/>
  <c r="BA58" i="17"/>
  <c r="X66" i="17"/>
  <c r="BA66" i="17" s="1"/>
  <c r="AY56" i="17"/>
  <c r="V64" i="17"/>
  <c r="AY64" i="17" s="1"/>
  <c r="AY57" i="17"/>
  <c r="V65" i="17"/>
  <c r="AY65" i="17" s="1"/>
  <c r="AP51" i="17"/>
  <c r="AN60" i="17"/>
  <c r="AX53" i="17"/>
  <c r="U61" i="17"/>
  <c r="AO53" i="17"/>
  <c r="AX51" i="17"/>
  <c r="AO51" i="17"/>
  <c r="AR50" i="17"/>
  <c r="AQ57" i="17"/>
  <c r="AN57" i="17"/>
  <c r="S42" i="17"/>
  <c r="S43" i="17"/>
  <c r="AQ67" i="17" l="1"/>
  <c r="AO65" i="17"/>
  <c r="AR65" i="17"/>
  <c r="AR61" i="17"/>
  <c r="AP67" i="17"/>
  <c r="AQ62" i="17"/>
  <c r="AP66" i="17"/>
  <c r="AP61" i="17"/>
  <c r="AN63" i="17"/>
  <c r="AP68" i="17"/>
  <c r="AR67" i="17"/>
  <c r="AN64" i="17"/>
  <c r="AR66" i="17"/>
  <c r="AP62" i="17"/>
  <c r="AQ65" i="17"/>
  <c r="AR64" i="17"/>
  <c r="AX67" i="17"/>
  <c r="AO67" i="17"/>
  <c r="AO64" i="17"/>
  <c r="AX64" i="17"/>
  <c r="AQ61" i="17"/>
  <c r="AP65" i="17"/>
  <c r="AN61" i="17"/>
  <c r="AX61" i="17"/>
  <c r="AO61" i="17"/>
  <c r="AX62" i="17"/>
  <c r="AO62" i="17"/>
  <c r="AQ64" i="17"/>
  <c r="AR62" i="17"/>
  <c r="AN66" i="17"/>
  <c r="AQ63" i="17"/>
  <c r="AP63" i="17"/>
  <c r="AN68" i="17"/>
  <c r="AQ68" i="17"/>
  <c r="AX68" i="17"/>
  <c r="AO68" i="17"/>
  <c r="AQ66" i="17"/>
  <c r="AX66" i="17"/>
  <c r="AO66" i="17"/>
  <c r="AN67" i="17"/>
  <c r="AN62" i="17"/>
  <c r="AR68" i="17"/>
  <c r="AR63" i="17"/>
  <c r="AP64" i="17"/>
  <c r="AX63" i="17"/>
  <c r="AO63" i="17"/>
  <c r="AN65" i="17"/>
  <c r="S45" i="17"/>
  <c r="S49" i="17"/>
  <c r="S47" i="17"/>
  <c r="S58" i="17"/>
  <c r="S51" i="17"/>
  <c r="S54" i="17"/>
  <c r="S59" i="17"/>
  <c r="S53" i="17"/>
  <c r="S55" i="17"/>
  <c r="S57" i="17"/>
  <c r="S56" i="17"/>
  <c r="S60" i="17"/>
  <c r="S48" i="17"/>
  <c r="S46" i="17"/>
  <c r="S52" i="17"/>
  <c r="S50" i="17"/>
  <c r="AC39" i="17"/>
  <c r="AV39" i="17" s="1"/>
  <c r="S62" i="17" l="1"/>
  <c r="S66" i="17"/>
  <c r="S64" i="17"/>
  <c r="S65" i="17"/>
  <c r="S68" i="17"/>
  <c r="S63" i="17"/>
  <c r="AC42" i="17"/>
  <c r="AV42" i="17" s="1"/>
  <c r="S61" i="17"/>
  <c r="S67" i="17"/>
  <c r="I45" i="17"/>
  <c r="AM45" i="17" s="1"/>
  <c r="I58" i="17"/>
  <c r="AM58" i="17" s="1"/>
  <c r="I54" i="17"/>
  <c r="AM54" i="17" s="1"/>
  <c r="I57" i="17"/>
  <c r="AM57" i="17" s="1"/>
  <c r="I49" i="17"/>
  <c r="AM49" i="17" s="1"/>
  <c r="I59" i="17"/>
  <c r="AM59" i="17" s="1"/>
  <c r="I55" i="17"/>
  <c r="AM55" i="17" s="1"/>
  <c r="I51" i="17"/>
  <c r="AM51" i="17" s="1"/>
  <c r="I47" i="17"/>
  <c r="AM47" i="17" s="1"/>
  <c r="I53" i="17"/>
  <c r="AM53" i="17" s="1"/>
  <c r="I60" i="17"/>
  <c r="AM60" i="17" s="1"/>
  <c r="I56" i="17"/>
  <c r="AM56" i="17" s="1"/>
  <c r="I50" i="17"/>
  <c r="AM50" i="17" s="1"/>
  <c r="I46" i="17"/>
  <c r="AM46" i="17" s="1"/>
  <c r="I52" i="17"/>
  <c r="AM52" i="17" s="1"/>
  <c r="I48" i="17"/>
  <c r="AM48" i="17" s="1"/>
  <c r="I61" i="17" l="1"/>
  <c r="AM61" i="17" s="1"/>
  <c r="I66" i="17"/>
  <c r="AM66" i="17" s="1"/>
  <c r="AC45" i="17"/>
  <c r="AV45" i="17" s="1"/>
  <c r="I63" i="17"/>
  <c r="AM63" i="17" s="1"/>
  <c r="AC47" i="17"/>
  <c r="AV47" i="17" s="1"/>
  <c r="AC49" i="17"/>
  <c r="AV49" i="17" s="1"/>
  <c r="AC51" i="17"/>
  <c r="AV51" i="17" s="1"/>
  <c r="I64" i="17"/>
  <c r="AM64" i="17" s="1"/>
  <c r="I68" i="17"/>
  <c r="AM68" i="17" s="1"/>
  <c r="I62" i="17"/>
  <c r="AM62" i="17" s="1"/>
  <c r="I65" i="17"/>
  <c r="AM65" i="17" s="1"/>
  <c r="I67" i="17"/>
  <c r="AM67" i="17" s="1"/>
  <c r="AC23" i="17"/>
  <c r="AV23" i="17" s="1"/>
  <c r="AC36" i="17" l="1"/>
  <c r="AV36" i="17" s="1"/>
  <c r="AC38" i="17" l="1"/>
  <c r="AV38" i="17" s="1"/>
  <c r="AC40" i="17" l="1"/>
  <c r="AV40" i="17" s="1"/>
  <c r="AC43" i="17" l="1"/>
  <c r="AV43" i="17" s="1"/>
  <c r="AC53" i="17" l="1"/>
  <c r="AV53" i="17" s="1"/>
  <c r="AC48" i="17"/>
  <c r="AV48" i="17" s="1"/>
  <c r="AC57" i="17"/>
  <c r="AV57" i="17" s="1"/>
  <c r="AC55" i="17"/>
  <c r="AV55" i="17" s="1"/>
  <c r="AC46" i="17"/>
  <c r="AV46" i="17" s="1"/>
  <c r="AC54" i="17"/>
  <c r="AV54" i="17" s="1"/>
  <c r="AC59" i="17"/>
  <c r="AV59" i="17" s="1"/>
  <c r="AC50" i="17"/>
  <c r="AV50" i="17" s="1"/>
  <c r="AC60" i="17"/>
  <c r="AV60" i="17" s="1"/>
  <c r="AC52" i="17"/>
  <c r="AV52" i="17" s="1"/>
  <c r="AC58" i="17"/>
  <c r="AV58" i="17" s="1"/>
  <c r="AC56" i="17"/>
  <c r="AV56" i="17" s="1"/>
  <c r="AC62" i="17" l="1"/>
  <c r="AV62" i="17" s="1"/>
  <c r="AC67" i="17"/>
  <c r="AV67" i="17" s="1"/>
  <c r="AC63" i="17"/>
  <c r="AV63" i="17" s="1"/>
  <c r="AC65" i="17"/>
  <c r="AV65" i="17" s="1"/>
  <c r="AC66" i="17"/>
  <c r="AV66" i="17" s="1"/>
  <c r="AC64" i="17"/>
  <c r="AV64" i="17" s="1"/>
  <c r="AC61" i="17"/>
  <c r="AV61" i="17" s="1"/>
  <c r="AC68" i="17"/>
  <c r="AV68"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tc={DA3A8A89-34AB-4C90-8EF9-C1DB1D48FD32}</author>
    <author>tc={8D22B870-DEEF-4577-8F62-C02DEDE49307}</author>
    <author>tc={9BA8CB9F-027F-4019-870C-E19AB2615A09}</author>
    <author>tc={B9DA68C6-6F68-4427-A0DD-EC94F9ECA19D}</author>
    <author>tc={9D859DB6-2A73-437C-B08C-39F36360EBAF}</author>
    <author>tc={AF6BB9F7-C89F-4C7E-BD6B-134C5FFAC4CC}</author>
    <author>tc={74C09A0D-20EC-45EA-859C-642CFD5C8385}</author>
    <author>tc={B6F6F324-6FF3-452A-9D8D-0037EC90FC12}</author>
    <author>tc={96381BDA-6030-42D5-A33B-3467E9414F6A}</author>
    <author>tc={43FCD850-5AA7-4C28-850A-94AC8C23A507}</author>
  </authors>
  <commentList>
    <comment ref="B2" authorId="0" shapeId="0" xr:uid="{DA3A8A89-34AB-4C90-8EF9-C1DB1D48FD32}">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1" shapeId="0" xr:uid="{8D22B870-DEEF-4577-8F62-C02DEDE49307}">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D2" authorId="2" shapeId="0" xr:uid="{9BA8CB9F-027F-4019-870C-E19AB2615A09}">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E2" authorId="3" shapeId="0" xr:uid="{B9DA68C6-6F68-4427-A0DD-EC94F9ECA19D}">
      <text>
        <t>[Threaded comment]
Your version of Excel allows you to read this threaded comment; however, any edits to it will get removed if the file is opened in a newer version of Excel. Learn more: https://go.microsoft.com/fwlink/?linkid=870924
Comment:
    Metal conductivity</t>
      </text>
    </comment>
    <comment ref="F2" authorId="4" shapeId="0" xr:uid="{9D859DB6-2A73-437C-B08C-39F36360EBAF}">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H2" authorId="5" shapeId="0" xr:uid="{AF6BB9F7-C89F-4C7E-BD6B-134C5FFAC4CC}">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2" authorId="6" shapeId="0" xr:uid="{74C09A0D-20EC-45EA-859C-642CFD5C8385}">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J2" authorId="7" shapeId="0" xr:uid="{B6F6F324-6FF3-452A-9D8D-0037EC90FC12}">
      <text>
        <t>[Threaded comment]
Your version of Excel allows you to read this threaded comment; however, any edits to it will get removed if the file is opened in a newer version of Excel. Learn more: https://go.microsoft.com/fwlink/?linkid=870924
Comment:
    Stripline width</t>
      </text>
    </comment>
    <comment ref="K2" authorId="8" shapeId="0" xr:uid="{96381BDA-6030-42D5-A33B-3467E9414F6A}">
      <text>
        <t>[Threaded comment]
Your version of Excel allows you to read this threaded comment; however, any edits to it will get removed if the file is opened in a newer version of Excel. Learn more: https://go.microsoft.com/fwlink/?linkid=870924
Comment:
    Stripline spacing</t>
      </text>
    </comment>
    <comment ref="BJ2" authorId="9" shapeId="0" xr:uid="{43FCD850-5AA7-4C28-850A-94AC8C23A507}">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tc={E97AE688-3969-4F50-A487-14FACFE2A845}</author>
    <author>tc={CEBCA5BB-DA04-4CEF-8896-C9B55BB93219}</author>
    <author>tc={34B7EF02-D9A0-4C61-976B-2D605D567AA9}</author>
    <author>tc={2DD58A31-3C5A-46E8-8683-54E646CEB351}</author>
    <author>tc={C7B8FB46-955B-4EAA-AC94-EE48B10ADE49}</author>
    <author>tc={279B2362-8AEC-4225-A348-43B8383E3CDC}</author>
    <author>tc={00A80220-E9FD-4105-BA33-F474A3475211}</author>
    <author>tc={3DA56ABE-6FEF-4BF9-968C-02DB5C890AFE}</author>
    <author>tc={1E493E4C-872F-4B42-8A9E-97358BD8C750}</author>
    <author>tc={52CE62EB-3E3C-4A84-8AEF-ACB354278495}</author>
    <author>tc={48BE5FDE-F68A-49CD-80D0-197163CD3554}</author>
    <author>tc={8016D416-AA0D-479F-9E76-5229FEE740FF}</author>
    <author>tc={412F86C3-7516-4782-8066-3AF4F5B8D440}</author>
    <author>tc={4D034C31-E8E2-47C9-A64B-5D536F7A5046}</author>
    <author>tc={505BE7C7-38A3-4EFD-8420-873135175151}</author>
    <author>tc={CF3C4527-BB21-41A6-A59A-EE46F4A9A486}</author>
    <author>tc={F034D817-1EC2-470C-98D9-0B3489AE4C85}</author>
    <author>tc={4DBFE2E7-77E8-4575-867C-A87F6987BFA4}</author>
    <author>tc={33195EFF-F62B-4825-8D58-9832F1292A8C}</author>
    <author>tc={D4093EF6-FA9A-4633-A1B4-754703A5FE08}</author>
    <author>tc={F678E52A-0452-4D97-A36F-6E533FDD2D29}</author>
    <author>tc={E5573892-4454-44B8-9D55-F3B175BBE1B4}</author>
    <author>tc={737C9ECB-3F8B-44FC-8859-7983153941A3}</author>
    <author>tc={4DC5EA6A-5255-4BD6-A298-0FAE9172B0A3}</author>
    <author>tc={0352E7A0-5B3E-4D7B-8146-F2FEA717A90F}</author>
    <author>tc={06BB6BC3-3D01-4E3C-9BFC-1404A62D247F}</author>
    <author>tc={7C03C94C-AC7E-435E-B504-80A9E86B7DFB}</author>
    <author>tc={5091EEAE-86CB-4E54-8EEE-E97C8E78C8BD}</author>
    <author>tc={84FF5E3F-8692-48A8-85CB-1D86BBFD759D}</author>
    <author>tc={1B17BAF3-4CA2-4846-8C10-3A7A9F47307C}</author>
    <author>tc={7A12ABDE-7C38-484D-BE36-FAEB7C8EBB7A}</author>
  </authors>
  <commentList>
    <comment ref="C1" authorId="0" shapeId="0" xr:uid="{E97AE688-3969-4F50-A487-14FACFE2A845}">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H1" authorId="1" shapeId="0" xr:uid="{CEBCA5BB-DA04-4CEF-8896-C9B55BB93219}">
      <text>
        <t>[Threaded comment]
Your version of Excel allows you to read this threaded comment; however, any edits to it will get removed if the file is opened in a newer version of Excel. Learn more: https://go.microsoft.com/fwlink/?linkid=870924
Comment:
    Conductivity of Copper</t>
      </text>
    </comment>
    <comment ref="M1" authorId="2" shapeId="0" xr:uid="{34B7EF02-D9A0-4C61-976B-2D605D567AA9}">
      <text>
        <t>[Threaded comment]
Your version of Excel allows you to read this threaded comment; however, any edits to it will get removed if the file is opened in a newer version of Excel. Learn more: https://go.microsoft.com/fwlink/?linkid=870924
Comment:
    TC_DK = [ (DK|T2 - DK|T1)/DK|25C ] / (T2-T1)</t>
      </text>
    </comment>
    <comment ref="C2" authorId="3" shapeId="0" xr:uid="{2DD58A31-3C5A-46E8-8683-54E646CEB351}">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H2" authorId="4" shapeId="0" xr:uid="{C7B8FB46-955B-4EAA-AC94-EE48B10ADE49}">
      <text>
        <t>[Threaded comment]
Your version of Excel allows you to read this threaded comment; however, any edits to it will get removed if the file is opened in a newer version of Excel. Learn more: https://go.microsoft.com/fwlink/?linkid=870924
Comment:
    Temperature</t>
      </text>
    </comment>
    <comment ref="M2" authorId="5" shapeId="0" xr:uid="{279B2362-8AEC-4225-A348-43B8383E3CDC}">
      <text>
        <t>[Threaded comment]
Your version of Excel allows you to read this threaded comment; however, any edits to it will get removed if the file is opened in a newer version of Excel. Learn more: https://go.microsoft.com/fwlink/?linkid=870924
Comment:
    TC_DF = [ (DF|T2 - DF|T1)/DF|25C ] / (T2-T1)</t>
      </text>
    </comment>
    <comment ref="C3" authorId="6" shapeId="0" xr:uid="{00A80220-E9FD-4105-BA33-F474A3475211}">
      <text>
        <t>[Threaded comment]
Your version of Excel allows you to read this threaded comment; however, any edits to it will get removed if the file is opened in a newer version of Excel. Learn more: https://go.microsoft.com/fwlink/?linkid=870924
Comment:
    Stripline width</t>
      </text>
    </comment>
    <comment ref="H3" authorId="7" shapeId="0" xr:uid="{3DA56ABE-6FEF-4BF9-968C-02DB5C890AFE}">
      <text>
        <t>[Threaded comment]
Your version of Excel allows you to read this threaded comment; however, any edits to it will get removed if the file is opened in a newer version of Excel. Learn more: https://go.microsoft.com/fwlink/?linkid=870924
Comment:
    Metal surface roughness
- Note: Multiply by 2 if both sides are treated
- Typical Manufacturer Data:
(STD)         5 &lt; Rz &lt; 7μm
(RTF)          3 &lt; Rz &lt; 5μm
(VLP)         2 &lt; Rz &lt; 3μm
(HVLP)      1 &lt; Rz &lt; 2μm
(HVLP2) 0.2 &lt; Rz &lt; 1μm 
- Roughness RMS = Rz *1.1/7.6</t>
      </text>
    </comment>
    <comment ref="M3" authorId="8" shapeId="0" xr:uid="{1E493E4C-872F-4B42-8A9E-97358BD8C750}">
      <text>
        <t>[Threaded comment]
Your version of Excel allows you to read this threaded comment; however, any edits to it will get removed if the file is opened in a newer version of Excel. Learn more: https://go.microsoft.com/fwlink/?linkid=870924
Comment:
    Temperature coefficient of metal conductivity</t>
      </text>
    </comment>
    <comment ref="C4" authorId="9" shapeId="0" xr:uid="{52CE62EB-3E3C-4A84-8AEF-ACB354278495}">
      <text>
        <t>[Threaded comment]
Your version of Excel allows you to read this threaded comment; however, any edits to it will get removed if the file is opened in a newer version of Excel. Learn more: https://go.microsoft.com/fwlink/?linkid=870924
Comment:
    Stripline spacing</t>
      </text>
    </comment>
    <comment ref="AK5" authorId="10" shapeId="0" xr:uid="{48BE5FDE-F68A-49CD-80D0-197163CD3554}">
      <text>
        <t>[Threaded comment]
Your version of Excel allows you to read this threaded comment; however, any edits to it will get removed if the file is opened in a newer version of Excel. Learn more: https://go.microsoft.com/fwlink/?linkid=870924
Comment:
    δs = sqrt(2/(σωµ))</t>
      </text>
    </comment>
    <comment ref="AK6" authorId="11" shapeId="0" xr:uid="{8016D416-AA0D-479F-9E76-5229FEE740FF}">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7" authorId="12" shapeId="0" xr:uid="{412F86C3-7516-4782-8066-3AF4F5B8D440}">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K10" authorId="13" shapeId="0" xr:uid="{4D034C31-E8E2-47C9-A64B-5D536F7A5046}">
      <text>
        <t>[Threaded comment]
Your version of Excel allows you to read this threaded comment; however, any edits to it will get removed if the file is opened in a newer version of Excel. Learn more: https://go.microsoft.com/fwlink/?linkid=870924
Comment:
    δs = sqrt(2/(σωµ))</t>
      </text>
    </comment>
    <comment ref="AB11" authorId="14" shapeId="0" xr:uid="{505BE7C7-38A3-4EFD-8420-873135175151}">
      <text>
        <t>[Threaded comment]
Your version of Excel allows you to read this threaded comment; however, any edits to it will get removed if the file is opened in a newer version of Excel. Learn more: https://go.microsoft.com/fwlink/?linkid=870924
Comment:
    δs = sqrt(2/(σωµ))</t>
      </text>
    </comment>
    <comment ref="AK11" authorId="15" shapeId="0" xr:uid="{CF3C4527-BB21-41A6-A59A-EE46F4A9A486}">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12" authorId="16" shapeId="0" xr:uid="{F034D817-1EC2-470C-98D9-0B3489AE4C85}">
      <text>
        <t>[Threaded comment]
Your version of Excel allows you to read this threaded comment; however, any edits to it will get removed if the file is opened in a newer version of Excel. Learn more: https://go.microsoft.com/fwlink/?linkid=870924
Comment:
    R' = Rstrip + Rgnd = 1/(σ δs W) + 0.15/(σ δs W)1`</t>
      </text>
    </comment>
    <comment ref="AK12" authorId="17" shapeId="0" xr:uid="{4DBFE2E7-77E8-4575-867C-A87F6987BFA4}">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13" authorId="18" shapeId="0" xr:uid="{33195EFF-F62B-4825-8D58-9832F1292A8C}">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AB14" authorId="19" shapeId="0" xr:uid="{D4093EF6-FA9A-4633-A1B4-754703A5FE0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B15" authorId="20" shapeId="0" xr:uid="{F678E52A-0452-4D97-A36F-6E533FDD2D29}">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K15" authorId="21" shapeId="0" xr:uid="{E5573892-4454-44B8-9D55-F3B175BBE1B4}">
      <text>
        <t>[Threaded comment]
Your version of Excel allows you to read this threaded comment; however, any edits to it will get removed if the file is opened in a newer version of Excel. Learn more: https://go.microsoft.com/fwlink/?linkid=870924
Comment:
    δs = sqrt(2/(σωµ))</t>
      </text>
    </comment>
    <comment ref="AB16" authorId="22" shapeId="0" xr:uid="{737C9ECB-3F8B-44FC-8859-7983153941A3}">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K16" authorId="23" shapeId="0" xr:uid="{4DC5EA6A-5255-4BD6-A298-0FAE9172B0A3}">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B17" authorId="24" shapeId="0" xr:uid="{0352E7A0-5B3E-4D7B-8146-F2FEA717A90F}">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17" authorId="25" shapeId="0" xr:uid="{06BB6BC3-3D01-4E3C-9BFC-1404A62D247F}">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 ref="S20" authorId="26" shapeId="0" xr:uid="{7C03C94C-AC7E-435E-B504-80A9E86B7DFB}">
      <text>
        <t>[Threaded comment]
Your version of Excel allows you to read this threaded comment; however, any edits to it will get removed if the file is opened in a newer version of Excel. Learn more: https://go.microsoft.com/fwlink/?linkid=870924
Comment:
    Non-physical values for calculations</t>
      </text>
    </comment>
    <comment ref="AK20" authorId="27" shapeId="0" xr:uid="{5091EEAE-86CB-4E54-8EEE-E97C8E78C8BD}">
      <text>
        <t>[Threaded comment]
Your version of Excel allows you to read this threaded comment; however, any edits to it will get removed if the file is opened in a newer version of Excel. Learn more: https://go.microsoft.com/fwlink/?linkid=870924
Comment:
    δs = sqrt(2/(σωµ))</t>
      </text>
    </comment>
    <comment ref="S21" authorId="28" shapeId="0" xr:uid="{84FF5E3F-8692-48A8-85CB-1D86BBFD759D}">
      <text>
        <t>[Threaded comment]
Your version of Excel allows you to read this threaded comment; however, any edits to it will get removed if the file is opened in a newer version of Excel. Learn more: https://go.microsoft.com/fwlink/?linkid=870924
Comment:
    Non-physical values for calculations</t>
      </text>
    </comment>
    <comment ref="AK21" authorId="29" shapeId="0" xr:uid="{1B17BAF3-4CA2-4846-8C10-3A7A9F47307C}">
      <text>
        <t>[Threaded comment]
Your version of Excel allows you to read this threaded comment; however, any edits to it will get removed if the file is opened in a newer version of Excel. Learn more: https://go.microsoft.com/fwlink/?linkid=870924
Comment:
    R' = Rstrip + Rgnd = 1/(σ δs W) + 0.15/(σ δs W)</t>
      </text>
    </comment>
    <comment ref="AK22" authorId="30" shapeId="0" xr:uid="{7A12ABDE-7C38-484D-BE36-FAEB7C8EBB7A}">
      <text>
        <t>[Threaded comment]
Your version of Excel allows you to read this threaded comment; however, any edits to it will get removed if the file is opened in a newer version of Excel. Learn more: https://go.microsoft.com/fwlink/?linkid=870924
Comment:
    Zdiff=2*Zo*(1-.347*(EXP(-2.9*(S/H)))), where Zo=60/SQRT(Er)*LN(1.9*(2*H+T)/(0.8*W+T))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tc={C8FE7440-0420-409F-9374-AD6A4D035A5B}</author>
    <author>tc={BDEFA282-4FC6-4C16-80DA-97FF687FE297}</author>
    <author>tc={757D7229-ED0E-403C-9B91-EC8323DE9DF1}</author>
    <author>tc={9224D621-678C-4AEE-97EF-9F9D9FE9EBF0}</author>
    <author>tc={59B884E1-980C-4BF0-8480-00E020DBB547}</author>
    <author>tc={42BFCF5A-A849-474F-9E69-D7E58858FB6E}</author>
    <author>tc={0D66DBD8-5FFD-46A3-AFFD-2363FA67FD74}</author>
    <author>tc={F048686A-3552-4DBD-8CEE-923796B51BEA}</author>
    <author>tc={48459580-64F6-48E9-ACDB-1F74D0F0C36E}</author>
    <author>tc={9968988F-EAA6-4AC5-8560-C93E0DFB6B3E}</author>
    <author>tc={00F413B5-2599-4780-9E1A-63DDBFCEA0D7}</author>
    <author>tc={8847C0B6-D618-463A-B9BB-8B6539361E1B}</author>
    <author>tc={554126D0-3C50-44E0-BFAC-43063A3CF2DC}</author>
    <author>tc={8AE41A95-7322-4F74-8020-CBE7DFF3938F}</author>
    <author>tc={FABA4C35-8EE2-4BCD-9425-8E0CA98AED06}</author>
    <author>tc={8873DCD8-07F7-46BA-A684-B0671D9DC4C1}</author>
    <author>tc={6B99F527-006F-4B6E-ABBA-954D92B2EFFE}</author>
    <author>tc={C339198E-8CEA-40B5-8D70-E31E03AE5A28}</author>
    <author>tc={B36CD01E-5559-42FD-B777-6C8A50A56046}</author>
    <author>tc={40BF8A96-EA06-4623-95C2-F1655F68CAB8}</author>
    <author>tc={0213F5F4-5CB9-4696-981A-8BCD9A2CD407}</author>
    <author>tc={D8690BE7-EB61-42B6-B0FD-0154751C4168}</author>
    <author>tc={40FBB3EA-7E64-4A92-9C11-61A5BCC32D54}</author>
    <author>tc={94A40237-3424-4493-862A-FD3654843AB6}</author>
    <author>tc={3AC8A3A6-7F78-4EA8-AFA6-018837D176D9}</author>
    <author>tc={B93E279A-54A5-4501-8CEA-AF26D6AB5FC4}</author>
    <author>tc={0F85E63F-9555-4BC5-A2A2-C172AADE47FC}</author>
    <author>tc={2B997482-0A50-4D95-9A86-7DE8B1BD3B43}</author>
    <author>tc={0FF218BF-7213-4CD8-9214-FE8495101345}</author>
    <author>tc={4F4FEF6C-47E8-4FA0-A45D-C7D50C8CCE9C}</author>
    <author>tc={38F41EA5-49BF-4277-A474-D1155689B7E1}</author>
    <author>tc={E26D55FB-8EDC-4BB9-89FB-CC7D287318E3}</author>
    <author>tc={AEAE8AB1-7F6E-4C90-AAB8-609060597342}</author>
    <author>tc={48A9307A-8502-4A32-829A-57FF999043FB}</author>
    <author>tc={DFE9F9DF-CD8F-4AC3-8724-1DFDADEE50D4}</author>
    <author>tc={9B902C00-06DA-4801-B185-044AC8920497}</author>
    <author>tc={F4203015-7272-4D16-8417-724546D1909E}</author>
    <author>tc={3C8B2DE5-1F43-4ECC-A697-35504898CE63}</author>
    <author>tc={FE34E6EC-3ADF-4CA7-8FA1-49C0538021D1}</author>
    <author>tc={BB1A52BC-B465-465C-808E-0DC0C00E84AF}</author>
    <author>tc={29975825-FF7F-4608-92FF-E928D376A01B}</author>
    <author>tc={2F14EF28-41DD-4F4C-9F6E-369E8928C1BB}</author>
    <author>tc={2F20AEBF-2E46-4FB4-926A-1C5E6CBEF904}</author>
    <author>tc={DF2CE172-4BDF-47D4-B3E2-0CB30C9DEB4C}</author>
    <author>tc={176092A6-651B-47F7-BB47-05567A8B2D63}</author>
    <author>tc={626E5AF6-8AE9-4955-8932-B7A226381AE9}</author>
    <author>tc={3CBA6190-B7EB-407D-A1DE-10293955C36A}</author>
    <author>tc={464AE493-47FC-4463-8AB1-95EAA83E06B3}</author>
    <author>tc={79CBC396-7E68-421D-912C-056D068D7A75}</author>
    <author>tc={0C4AEFAA-FA28-4893-9B67-2CEEC3C4E937}</author>
    <author>tc={B78D0F44-245F-44F4-9F06-64397D8C26A4}</author>
    <author>tc={A0B8D971-433E-4E6C-82AA-9D49C132BA45}</author>
    <author>tc={6AFDC6DB-623B-4AB4-A499-0D96371253C9}</author>
    <author>tc={E8F0D38F-164E-4E10-9777-27FD52570812}</author>
    <author>tc={BCB203CA-73FA-400D-86C4-C2EF47DCB398}</author>
    <author>tc={DF8D244B-DD61-4378-BB82-372C7117A0F8}</author>
    <author>tc={2AE73630-B459-49BB-AF50-3EE2CAC0AA13}</author>
    <author>tc={A2AFAEB3-2DC8-47C8-8832-2556491B34BE}</author>
    <author>tc={0002AC27-DBF8-454D-B07E-F963FE2CCCC8}</author>
    <author>tc={F4853D75-1C56-48C1-8234-F2FAE59FB0BF}</author>
    <author>tc={468CB707-FD57-4DAF-BD0A-D13BF1D275C7}</author>
    <author>tc={E8262ECB-A2A2-471C-AE26-1E58990591BA}</author>
    <author>tc={1DA27AFB-89CA-4AFB-841F-465314394044}</author>
    <author>tc={EF92BE7B-0DD2-485F-B83D-23547C5CFE28}</author>
    <author>tc={1DBF8A4D-B3EE-4A8A-B37A-559660079114}</author>
    <author>tc={91E08C86-2A90-44C3-8D33-870127EC988F}</author>
    <author>tc={7C89AF06-A7B1-4E39-ACDF-4DBF2E5A3F3A}</author>
    <author>tc={CE451F0C-7631-4D5D-9607-18FD13C2EED6}</author>
    <author>tc={FDC31151-7DE0-48AD-BDBF-4F4FE9B6C7D8}</author>
    <author>tc={3B37DB34-4AB3-491E-9F29-8AACC0DBCFDD}</author>
    <author>tc={326ACA88-6FB8-4379-B61E-3081A68E7E04}</author>
    <author>tc={5C310CF5-5A72-4D0F-8B67-1687BA8F5205}</author>
    <author>tc={C84A9F51-778B-49ED-BD5A-93B5385E46CF}</author>
    <author>tc={91A6A19B-3EF5-44A3-AB4C-2AEC168ED026}</author>
    <author>tc={BA46BAF0-6D63-42E4-B64F-195EB7C51928}</author>
    <author>tc={3727A097-024F-4764-B025-AA48237D25CA}</author>
    <author>tc={A73BB402-7BC6-431A-B42B-E3AD8751124A}</author>
    <author>tc={C780A178-2B93-4ED4-8205-74C8B29F6F9F}</author>
    <author>tc={E28FF6D4-5161-4D05-B2A5-BA4801D69742}</author>
    <author>tc={4EB7CBC7-514A-484F-9DBD-736E9F5ED607}</author>
    <author>tc={E9240158-8E81-4E65-8DCB-DDBB39B87A64}</author>
    <author>tc={36A087D8-24F4-48BC-B043-0949104B9CA9}</author>
    <author>tc={120CF7F6-287B-40CD-B3EA-43EEF290AAC0}</author>
    <author>tc={952DFFD5-1BFF-4B7C-ABCE-ECF1A356D982}</author>
    <author>tc={FDA96B15-6C91-4FB7-9BAE-72E0C11DD66D}</author>
    <author>tc={65DFD6BC-3E24-4850-A8A3-BD74BD9C1A00}</author>
    <author>tc={1BFA3AB4-CC3C-4184-A1F3-B68A5CF4B03C}</author>
    <author>tc={6325841D-8858-45C4-A322-F22B3C4207A9}</author>
    <author>tc={FCDA78A3-D3B2-4295-92DE-E52687E8673C}</author>
    <author>tc={4305407D-02CB-4157-9F98-C8C30E7CCFB1}</author>
    <author>tc={988A90FF-959B-4DED-BA90-BB0BA399FC5D}</author>
    <author>tc={4EC33614-5A5D-4C2A-B75E-3632354F74AA}</author>
    <author>tc={4F852D08-6F22-498B-8C0E-6D001D8859A6}</author>
    <author>tc={EF39C9A8-D6CF-4870-B826-9551F5D535D0}</author>
    <author>tc={16833830-06DD-4D7D-A031-F5893C9A7C7D}</author>
    <author>tc={71880B28-0674-4A0C-83D3-73FC94FCBB3E}</author>
    <author>tc={B46B3D10-1B45-4DB5-B69C-34432F6335C0}</author>
    <author>tc={7BCF1874-8B8A-48D2-AF92-B44612EE362D}</author>
    <author>tc={E87AEB0E-E331-43F0-88BD-4DB3C79D9338}</author>
    <author>tc={266C48C0-EFF2-4483-A370-B416CE39D99C}</author>
    <author>tc={2FE623BB-4691-44DF-991D-0CA83CCAD223}</author>
    <author>tc={5B79CA8A-BABA-4E29-9AE7-7533A546A9AF}</author>
    <author>tc={AF6EE1F3-3011-492C-9298-E7F3CD415AED}</author>
    <author>tc={CA076A4F-A555-4C9B-8F10-00C267F0B134}</author>
    <author>tc={FECE98CD-411A-41D0-96F8-F2C026DC45C3}</author>
    <author>tc={3BFBEEA0-D72C-4E78-AF27-0BB9740237C3}</author>
    <author>tc={1E470473-20E2-4583-A0E4-B6557E078161}</author>
    <author>tc={0EB280C8-258F-4B10-9B64-A0DFE0980463}</author>
    <author>tc={A8DF8764-27B5-46C3-8B43-3BF1AAE40FEB}</author>
    <author>tc={62C5F55C-D897-4CA8-BCC7-14A2AD6CC56C}</author>
    <author>tc={AD5C7DB1-53C5-4060-BACA-6E66EA0B7409}</author>
    <author>tc={F4894BB2-A01B-448C-B0AD-0B61E2E169CE}</author>
    <author>tc={710FED22-A9B6-4312-92A1-1BC2F2884858}</author>
    <author>tc={672C5396-E669-4757-8C4F-B894C936C1EE}</author>
    <author>tc={3F30F503-B842-4E19-A9A5-F709A5DAF013}</author>
    <author>tc={8C55A61E-F3AE-4FAE-8BAA-DF0147B561CD}</author>
  </authors>
  <commentList>
    <comment ref="I10" authorId="0" shapeId="0" xr:uid="{C8FE7440-0420-409F-9374-AD6A4D035A5B}">
      <text>
        <t>[Threaded comment]
Your version of Excel allows you to read this threaded comment; however, any edits to it will get removed if the file is opened in a newer version of Excel. Learn more: https://go.microsoft.com/fwlink/?linkid=870924
Comment:
    Dielectric thickness between two layers. 
The total stripline thickness will be 2x Dielectric thickness + Metal thickness</t>
      </text>
    </comment>
    <comment ref="I11" authorId="1" shapeId="0" xr:uid="{BDEFA282-4FC6-4C16-80DA-97FF687FE297}">
      <text>
        <t>[Threaded comment]
Your version of Excel allows you to read this threaded comment; however, any edits to it will get removed if the file is opened in a newer version of Excel. Learn more: https://go.microsoft.com/fwlink/?linkid=870924
Comment:
    Copper layer thickness</t>
      </text>
    </comment>
    <comment ref="I12" authorId="2" shapeId="0" xr:uid="{757D7229-ED0E-403C-9B91-EC8323DE9DF1}">
      <text>
        <t>[Threaded comment]
Your version of Excel allows you to read this threaded comment; however, any edits to it will get removed if the file is opened in a newer version of Excel. Learn more: https://go.microsoft.com/fwlink/?linkid=870924
Comment:
    Stripline width</t>
      </text>
    </comment>
    <comment ref="J12" authorId="3" shapeId="0" xr:uid="{9224D621-678C-4AEE-97EF-9F9D9FE9EBF0}">
      <text>
        <t>[Threaded comment]
Your version of Excel allows you to read this threaded comment; however, any edits to it will get removed if the file is opened in a newer version of Excel. Learn more: https://go.microsoft.com/fwlink/?linkid=870924
Comment:
    Varying width against thickness results in highest w/b change (maximum impedance spread)</t>
      </text>
    </comment>
    <comment ref="I13" authorId="4" shapeId="0" xr:uid="{59B884E1-980C-4BF0-8480-00E020DBB547}">
      <text>
        <t>[Threaded comment]
Your version of Excel allows you to read this threaded comment; however, any edits to it will get removed if the file is opened in a newer version of Excel. Learn more: https://go.microsoft.com/fwlink/?linkid=870924
Comment:
    Stripline spacing</t>
      </text>
    </comment>
    <comment ref="J13" authorId="5" shapeId="0" xr:uid="{42BFCF5A-A849-474F-9E69-D7E58858FB6E}">
      <text>
        <t>[Threaded comment]
Your version of Excel allows you to read this threaded comment; however, any edits to it will get removed if the file is opened in a newer version of Excel. Learn more: https://go.microsoft.com/fwlink/?linkid=870924
Comment:
    Spacing varies opposite to the variation in width</t>
      </text>
    </comment>
    <comment ref="G21" authorId="6" shapeId="0" xr:uid="{0D66DBD8-5FFD-46A3-AFFD-2363FA67FD74}">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Q21" authorId="7" shapeId="0" xr:uid="{F048686A-3552-4DBD-8CEE-923796B51BEA}">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AA21" authorId="8" shapeId="0" xr:uid="{48459580-64F6-48E9-ACDB-1F74D0F0C36E}">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AK21" authorId="9" shapeId="0" xr:uid="{9968988F-EAA6-4AC5-8560-C93E0DFB6B3E}">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AT21" authorId="10" shapeId="0" xr:uid="{00F413B5-2599-4780-9E1A-63DDBFCEA0D7}">
      <text>
        <t>[Threaded comment]
Your version of Excel allows you to read this threaded comment; however, any edits to it will get removed if the file is opened in a newer version of Excel. Learn more: https://go.microsoft.com/fwlink/?linkid=870924
Comment:
    Skin depth:
δs = sqrt(2/(σωµ))</t>
      </text>
    </comment>
    <comment ref="G22" authorId="11" shapeId="0" xr:uid="{8847C0B6-D618-463A-B9BB-8B6539361E1B}">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Q22" authorId="12" shapeId="0" xr:uid="{554126D0-3C50-44E0-BFAC-43063A3CF2DC}">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AA22" authorId="13" shapeId="0" xr:uid="{8AE41A95-7322-4F74-8020-CBE7DFF3938F}">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AK22" authorId="14" shapeId="0" xr:uid="{FABA4C35-8EE2-4BCD-9425-8E0CA98AED06}">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AT22" authorId="15" shapeId="0" xr:uid="{8873DCD8-07F7-46BA-A684-B0671D9DC4C1}">
      <text>
        <t>[Threaded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t>
      </text>
    </comment>
    <comment ref="G23" authorId="16" shapeId="0" xr:uid="{6B99F527-006F-4B6E-ABBA-954D92B2EFFE}">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Q23" authorId="17" shapeId="0" xr:uid="{C339198E-8CEA-40B5-8D70-E31E03AE5A28}">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AA23" authorId="18" shapeId="0" xr:uid="{B36CD01E-5559-42FD-B777-6C8A50A56046}">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AK23" authorId="19" shapeId="0" xr:uid="{40BF8A96-EA06-4623-95C2-F1655F68CAB8}">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AT23" authorId="20" shapeId="0" xr:uid="{0213F5F4-5CB9-4696-981A-8BCD9A2CD407}">
      <text>
        <t xml:space="preserve">[Threaded comment]
Your version of Excel allows you to read this threaded comment; however, any edits to it will get removed if the file is opened in a newer version of Excel. Learn more: https://go.microsoft.com/fwlink/?linkid=870924
Comment:
    Smooth Modal Resistance
V. K. TRIPATHI, “Loss Calculations for Coupled Transmission-Line Structures”
When using a 2D Field Solver, Rsmooth can be calculated as follows:
Rsmooth = -α_SmoothMetal (Np/m) *(2*Zo)
</t>
      </text>
    </comment>
    <comment ref="G24" authorId="21" shapeId="0" xr:uid="{D8690BE7-EB61-42B6-B0FD-0154751C4168}">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Q24" authorId="22" shapeId="0" xr:uid="{40FBB3EA-7E64-4A92-9C11-61A5BCC32D54}">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AA24" authorId="23" shapeId="0" xr:uid="{94A40237-3424-4493-862A-FD3654843AB6}">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AK24" authorId="24" shapeId="0" xr:uid="{3AC8A3A6-7F78-4EA8-AFA6-018837D176D9}">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AT24" authorId="25" shapeId="0" xr:uid="{B93E279A-54A5-4501-8CEA-AF26D6AB5FC4}">
      <text>
        <t>[Threaded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t>
      </text>
    </comment>
    <comment ref="G25" authorId="26" shapeId="0" xr:uid="{0F85E63F-9555-4BC5-A2A2-C172AADE47FC}">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Q25" authorId="27" shapeId="0" xr:uid="{2B997482-0A50-4D95-9A86-7DE8B1BD3B43}">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AA25" authorId="28" shapeId="0" xr:uid="{0FF218BF-7213-4CD8-9214-FE8495101345}">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AK25" authorId="29" shapeId="0" xr:uid="{4F4FEF6C-47E8-4FA0-A45D-C7D50C8CCE9C}">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AT25" authorId="30" shapeId="0" xr:uid="{38F41EA5-49BF-4277-A474-D1155689B7E1}">
      <text>
        <t xml:space="preserve">[Threaded comment]
Your version of Excel allows you to read this threaded comment; however, any edits to it will get removed if the file is opened in a newer version of Excel. Learn more: https://go.microsoft.com/fwlink/?linkid=870924
Comment:
    S. B. COHN “Shielded Coupled Strip Transmission Line” formulae are the most accurate
Can be obtained directly from 2D Field Solvers
</t>
      </text>
    </comment>
    <comment ref="G26" authorId="31" shapeId="0" xr:uid="{E26D55FB-8EDC-4BB9-89FB-CC7D287318E3}">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Q26" authorId="32" shapeId="0" xr:uid="{AEAE8AB1-7F6E-4C90-AAB8-609060597342}">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AA26" authorId="33" shapeId="0" xr:uid="{48A9307A-8502-4A32-829A-57FF999043FB}">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AK26" authorId="34" shapeId="0" xr:uid="{DFE9F9DF-CD8F-4AC3-8724-1DFDADEE50D4}">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AT26" authorId="35" shapeId="0" xr:uid="{9B902C00-06DA-4801-B185-044AC8920497}">
      <text>
        <t>[Threaded comment]
Your version of Excel allows you to read this threaded comment; however, any edits to it will get removed if the file is opened in a newer version of Excel. Learn more: https://go.microsoft.com/fwlink/?linkid=870924
Comment:
    Differential Mode Impedance
Zdd = 2 * Zo_odd</t>
      </text>
    </comment>
    <comment ref="G27" authorId="36" shapeId="0" xr:uid="{F4203015-7272-4D16-8417-724546D1909E}">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Q27" authorId="37" shapeId="0" xr:uid="{3C8B2DE5-1F43-4ECC-A697-35504898CE63}">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AA27" authorId="38" shapeId="0" xr:uid="{FE34E6EC-3ADF-4CA7-8FA1-49C0538021D1}">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AK27" authorId="39" shapeId="0" xr:uid="{BB1A52BC-B465-465C-808E-0DC0C00E84AF}">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AT27" authorId="40" shapeId="0" xr:uid="{29975825-FF7F-4608-92FF-E928D376A01B}">
      <text>
        <t>[Threaded comment]
Your version of Excel allows you to read this threaded comment; however, any edits to it will get removed if the file is opened in a newer version of Excel. Learn more: https://go.microsoft.com/fwlink/?linkid=870924
Comment:
    Common Mode Impedance
Zcc = Zo_even / 2</t>
      </text>
    </comment>
    <comment ref="G28" authorId="41" shapeId="0" xr:uid="{2F14EF28-41DD-4F4C-9F6E-369E8928C1BB}">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Q28" authorId="42" shapeId="0" xr:uid="{2F20AEBF-2E46-4FB4-926A-1C5E6CBEF904}">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AA28" authorId="43" shapeId="0" xr:uid="{DF2CE172-4BDF-47D4-B3E2-0CB30C9DEB4C}">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AK28" authorId="44" shapeId="0" xr:uid="{176092A6-651B-47F7-BB47-05567A8B2D63}">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AT28" authorId="45" shapeId="0" xr:uid="{626E5AF6-8AE9-4955-8932-B7A226381AE9}">
      <text>
        <t>[Threaded comment]
Your version of Excel allows you to read this threaded comment; however, any edits to it will get removed if the file is opened in a newer version of Excel. Learn more: https://go.microsoft.com/fwlink/?linkid=870924
Comment:
    Single-ended impedance
Zs = (Zo_even + Zo_odd) / 2</t>
      </text>
    </comment>
    <comment ref="G29" authorId="46" shapeId="0" xr:uid="{3CBA6190-B7EB-407D-A1DE-10293955C36A}">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Q29" authorId="47" shapeId="0" xr:uid="{464AE493-47FC-4463-8AB1-95EAA83E06B3}">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AA29" authorId="48" shapeId="0" xr:uid="{79CBC396-7E68-421D-912C-056D068D7A75}">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AK29" authorId="49" shapeId="0" xr:uid="{0C4AEFAA-FA28-4893-9B67-2CEEC3C4E937}">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AT29" authorId="50" shapeId="0" xr:uid="{B78D0F44-245F-44F4-9F06-64397D8C26A4}">
      <text>
        <t xml:space="preserve">[Threaded comment]
Your version of Excel allows you to read this threaded comment; however, any edits to it will get removed if the file is opened in a newer version of Excel. Learn more: https://go.microsoft.com/fwlink/?linkid=870924
Comment:
    Mutual Impedance
Zm = (Zo_even - Zo_odd) / 2
</t>
      </text>
    </comment>
    <comment ref="G30" authorId="51" shapeId="0" xr:uid="{A0B8D971-433E-4E6C-82AA-9D49C132BA45}">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Q30" authorId="52" shapeId="0" xr:uid="{6AFDC6DB-623B-4AB4-A499-0D96371253C9}">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AA30" authorId="53" shapeId="0" xr:uid="{E8F0D38F-164E-4E10-9777-27FD52570812}">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AK30" authorId="54" shapeId="0" xr:uid="{BCB203CA-73FA-400D-86C4-C2EF47DCB398}">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AT30" authorId="55" shapeId="0" xr:uid="{DF8D244B-DD61-4378-BB82-372C7117A0F8}">
      <text>
        <t>[Threaded comment]
Your version of Excel allows you to read this threaded comment; however, any edits to it will get removed if the file is opened in a newer version of Excel. Learn more: https://go.microsoft.com/fwlink/?linkid=870924
Comment:
    Coupling coefficient
K = Zm / Zs</t>
      </text>
    </comment>
    <comment ref="G31" authorId="56" shapeId="0" xr:uid="{2AE73630-B459-49BB-AF50-3EE2CAC0AA13}">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Q31" authorId="57" shapeId="0" xr:uid="{A2AFAEB3-2DC8-47C8-8832-2556491B34BE}">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AA31" authorId="58" shapeId="0" xr:uid="{0002AC27-DBF8-454D-B07E-F963FE2CCCC8}">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AK31" authorId="59" shapeId="0" xr:uid="{F4853D75-1C56-48C1-8234-F2FAE59FB0BF}">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AT31" authorId="60" shapeId="0" xr:uid="{468CB707-FD57-4DAF-BD0A-D13BF1D275C7}">
      <text>
        <t>[Threaded comment]
Your version of Excel allows you to read this threaded comment; however, any edits to it will get removed if the file is opened in a newer version of Excel. Learn more: https://go.microsoft.com/fwlink/?linkid=870924
Comment:
    Near end xtalk
NEXT = =(Zo_even - Zo_odd) / (2 * (Zo_even + Zo_odd))</t>
      </text>
    </comment>
    <comment ref="G32" authorId="61" shapeId="0" xr:uid="{E8262ECB-A2A2-471C-AE26-1E58990591BA}">
      <text>
        <t>[Threaded comment]
Your version of Excel allows you to read this threaded comment; however, any edits to it will get removed if the file is opened in a newer version of Excel. Learn more: https://go.microsoft.com/fwlink/?linkid=870924
Comment:
    Vp = 1 / sqrt (Dk_avg)</t>
      </text>
    </comment>
    <comment ref="Q32" authorId="62" shapeId="0" xr:uid="{1DA27AFB-89CA-4AFB-841F-465314394044}">
      <text>
        <t>[Threaded comment]
Your version of Excel allows you to read this threaded comment; however, any edits to it will get removed if the file is opened in a newer version of Excel. Learn more: https://go.microsoft.com/fwlink/?linkid=870924
Comment:
    Vp = 1 / sqrt (Dk_avg)</t>
      </text>
    </comment>
    <comment ref="AA32" authorId="63" shapeId="0" xr:uid="{EF92BE7B-0DD2-485F-B83D-23547C5CFE28}">
      <text>
        <t>[Threaded comment]
Your version of Excel allows you to read this threaded comment; however, any edits to it will get removed if the file is opened in a newer version of Excel. Learn more: https://go.microsoft.com/fwlink/?linkid=870924
Comment:
    Vp = 1 / sqrt (Dk_avg)</t>
      </text>
    </comment>
    <comment ref="AK32" authorId="64" shapeId="0" xr:uid="{1DBF8A4D-B3EE-4A8A-B37A-559660079114}">
      <text>
        <t>[Threaded comment]
Your version of Excel allows you to read this threaded comment; however, any edits to it will get removed if the file is opened in a newer version of Excel. Learn more: https://go.microsoft.com/fwlink/?linkid=870924
Comment:
    Vp = 1 / sqrt (Dk_avg)</t>
      </text>
    </comment>
    <comment ref="AT32" authorId="65" shapeId="0" xr:uid="{91E08C86-2A90-44C3-8D33-870127EC988F}">
      <text>
        <t>[Threaded comment]
Your version of Excel allows you to read this threaded comment; however, any edits to it will get removed if the file is opened in a newer version of Excel. Learn more: https://go.microsoft.com/fwlink/?linkid=870924
Comment:
    Vp = 1 / sqrt (Dk_avg)</t>
      </text>
    </comment>
    <comment ref="G34" authorId="66" shapeId="0" xr:uid="{7C89AF06-A7B1-4E39-ACDF-4DBF2E5A3F3A}">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Q34" authorId="67" shapeId="0" xr:uid="{CE451F0C-7631-4D5D-9607-18FD13C2EED6}">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A34" authorId="68" shapeId="0" xr:uid="{FDC31151-7DE0-48AD-BDBF-4F4FE9B6C7D8}">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K34" authorId="69" shapeId="0" xr:uid="{3B37DB34-4AB3-491E-9F29-8AACC0DBCFDD}">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AT34" authorId="70" shapeId="0" xr:uid="{326ACA88-6FB8-4379-B61E-3081A68E7E04}">
      <text>
        <t>[Threaded comment]
Your version of Excel allows you to read this threaded comment; however, any edits to it will get removed if the file is opened in a newer version of Excel. Learn more: https://go.microsoft.com/fwlink/?linkid=870924
Comment:
    α_Dielectric = 91.02 x sqrt(ɛr) x FGHz x DF</t>
      </text>
    </comment>
    <comment ref="G35" authorId="71" shapeId="0" xr:uid="{5C310CF5-5A72-4D0F-8B67-1687BA8F5205}">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Q35" authorId="72" shapeId="0" xr:uid="{C84A9F51-778B-49ED-BD5A-93B5385E46CF}">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A35" authorId="73" shapeId="0" xr:uid="{91A6A19B-3EF5-44A3-AB4C-2AEC168ED026}">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K35" authorId="74" shapeId="0" xr:uid="{BA46BAF0-6D63-42E4-B64F-195EB7C51928}">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T35" authorId="75" shapeId="0" xr:uid="{3727A097-024F-4764-B025-AA48237D25CA}">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G36" authorId="76" shapeId="0" xr:uid="{A73BB402-7BC6-431A-B42B-E3AD8751124A}">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Q36" authorId="77" shapeId="0" xr:uid="{C780A178-2B93-4ED4-8205-74C8B29F6F9F}">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A36" authorId="78" shapeId="0" xr:uid="{E28FF6D4-5161-4D05-B2A5-BA4801D69742}">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K36" authorId="79" shapeId="0" xr:uid="{4EB7CBC7-514A-484F-9DBD-736E9F5ED607}">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AT36" authorId="80" shapeId="0" xr:uid="{E9240158-8E81-4E65-8DCB-DDBB39B87A64}">
      <text>
        <t>[Threaded comment]
Your version of Excel allows you to read this threaded comment; however, any edits to it will get removed if the file is opened in a newer version of Excel. Learn more: https://go.microsoft.com/fwlink/?linkid=870924
Comment:
    α_SmoothCopper = 8.686 x R' / 2 Zo , where R' is TL resistance per unit length</t>
      </text>
    </comment>
    <comment ref="G37" authorId="81" shapeId="0" xr:uid="{36A087D8-24F4-48BC-B043-0949104B9CA9}">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Q37" authorId="82" shapeId="0" xr:uid="{120CF7F6-287B-40CD-B3EA-43EEF290AAC0}">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A37" authorId="83" shapeId="0" xr:uid="{952DFFD5-1BFF-4B7C-ABCE-ECF1A356D982}">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K37" authorId="84" shapeId="0" xr:uid="{FDA96B15-6C91-4FB7-9BAE-72E0C11DD66D}">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T37" authorId="85" shapeId="0" xr:uid="{65DFD6BC-3E24-4850-A8A3-BD74BD9C1A00}">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G38" authorId="86" shapeId="0" xr:uid="{1BFA3AB4-CC3C-4184-A1F3-B68A5CF4B03C}">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Q38" authorId="87" shapeId="0" xr:uid="{6325841D-8858-45C4-A322-F22B3C4207A9}">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A38" authorId="88" shapeId="0" xr:uid="{FCDA78A3-D3B2-4295-92DE-E52687E8673C}">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K38" authorId="89" shapeId="0" xr:uid="{4305407D-02CB-4157-9F98-C8C30E7CCFB1}">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AT38" authorId="90" shapeId="0" xr:uid="{988A90FF-959B-4DED-BA90-BB0BA399FC5D}">
      <text>
        <t>[Threaded comment]
Your version of Excel allows you to read this threaded comment; however, any edits to it will get removed if the file is opened in a newer version of Excel. Learn more: https://go.microsoft.com/fwlink/?linkid=870924
Comment:
    α_RoughCopper = α_SmoothCopper * ( 1 + (2/π)* tan-1{1.4*(Δ/δs)^2}]</t>
      </text>
    </comment>
    <comment ref="G39" authorId="91" shapeId="0" xr:uid="{4EC33614-5A5D-4C2A-B75E-3632354F74AA}">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Q39" authorId="92" shapeId="0" xr:uid="{4F852D08-6F22-498B-8C0E-6D001D8859A6}">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A39" authorId="93" shapeId="0" xr:uid="{EF39C9A8-D6CF-4870-B826-9551F5D535D0}">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39" authorId="94" shapeId="0" xr:uid="{16833830-06DD-4D7D-A031-F5893C9A7C7D}">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T39" authorId="95" shapeId="0" xr:uid="{71880B28-0674-4A0C-83D3-73FC94FCBB3E}">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G40" authorId="96" shapeId="0" xr:uid="{B46B3D10-1B45-4DB5-B69C-34432F6335C0}">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Q40" authorId="97" shapeId="0" xr:uid="{7BCF1874-8B8A-48D2-AF92-B44612EE362D}">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A40" authorId="98" shapeId="0" xr:uid="{E87AEB0E-E331-43F0-88BD-4DB3C79D9338}">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K40" authorId="99" shapeId="0" xr:uid="{266C48C0-EFF2-4483-A370-B416CE39D99C}">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AT40" authorId="100" shapeId="0" xr:uid="{2FE623BB-4691-44DF-991D-0CA83CCAD223}">
      <text>
        <t>[Threaded comment]
Your version of Excel allows you to read this threaded comment; however, any edits to it will get removed if the file is opened in a newer version of Excel. Learn more: https://go.microsoft.com/fwlink/?linkid=870924
Comment:
    α_Total = α_Dielectric + α_RoughCopper</t>
      </text>
    </comment>
    <comment ref="G41" authorId="101" shapeId="0" xr:uid="{5B79CA8A-BABA-4E29-9AE7-7533A546A9AF}">
      <text>
        <t>[Threaded comment]
Your version of Excel allows you to read this threaded comment; however, any edits to it will get removed if the file is opened in a newer version of Excel. Learn more: https://go.microsoft.com/fwlink/?linkid=870924
Comment:
    β_even/odd = ω / (Vp)</t>
      </text>
    </comment>
    <comment ref="Q41" authorId="102" shapeId="0" xr:uid="{AF6EE1F3-3011-492C-9298-E7F3CD415AED}">
      <text>
        <t>[Threaded comment]
Your version of Excel allows you to read this threaded comment; however, any edits to it will get removed if the file is opened in a newer version of Excel. Learn more: https://go.microsoft.com/fwlink/?linkid=870924
Comment:
    β_even/odd = ω / (Vp)</t>
      </text>
    </comment>
    <comment ref="AA41" authorId="103" shapeId="0" xr:uid="{CA076A4F-A555-4C9B-8F10-00C267F0B134}">
      <text>
        <t>[Threaded comment]
Your version of Excel allows you to read this threaded comment; however, any edits to it will get removed if the file is opened in a newer version of Excel. Learn more: https://go.microsoft.com/fwlink/?linkid=870924
Comment:
    β_even/odd = ω / (Vp)</t>
      </text>
    </comment>
    <comment ref="AK41" authorId="104" shapeId="0" xr:uid="{FECE98CD-411A-41D0-96F8-F2C026DC45C3}">
      <text>
        <t>[Threaded comment]
Your version of Excel allows you to read this threaded comment; however, any edits to it will get removed if the file is opened in a newer version of Excel. Learn more: https://go.microsoft.com/fwlink/?linkid=870924
Comment:
    β_even/odd = ω / (Vp)</t>
      </text>
    </comment>
    <comment ref="AT41" authorId="105" shapeId="0" xr:uid="{3BFBEEA0-D72C-4E78-AF27-0BB9740237C3}">
      <text>
        <t>[Threaded comment]
Your version of Excel allows you to read this threaded comment; however, any edits to it will get removed if the file is opened in a newer version of Excel. Learn more: https://go.microsoft.com/fwlink/?linkid=870924
Comment:
    β_even/odd = ω / (Vp)</t>
      </text>
    </comment>
    <comment ref="G42" authorId="106" shapeId="0" xr:uid="{1E470473-20E2-4583-A0E4-B6557E078161}">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Q42" authorId="107" shapeId="0" xr:uid="{0EB280C8-258F-4B10-9B64-A0DFE0980463}">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AA42" authorId="108" shapeId="0" xr:uid="{A8DF8764-27B5-46C3-8B43-3BF1AAE40FEB}">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AK42" authorId="109" shapeId="0" xr:uid="{62C5F55C-D897-4CA8-BCC7-14A2AD6CC56C}">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AT42" authorId="110" shapeId="0" xr:uid="{AD5C7DB1-53C5-4060-BACA-6E66EA0B7409}">
      <text>
        <t>[Threaded comment]
Your version of Excel allows you to read this threaded comment; however, any edits to it will get removed if the file is opened in a newer version of Excel. Learn more: https://go.microsoft.com/fwlink/?linkid=870924
Comment:
    Even mode propagation constant:
γ_even + α_Total_even + j β</t>
      </text>
    </comment>
    <comment ref="G43" authorId="111" shapeId="0" xr:uid="{F4894BB2-A01B-448C-B0AD-0B61E2E169CE}">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Q43" authorId="112" shapeId="0" xr:uid="{710FED22-A9B6-4312-92A1-1BC2F2884858}">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AA43" authorId="113" shapeId="0" xr:uid="{672C5396-E669-4757-8C4F-B894C936C1EE}">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AK43" authorId="114" shapeId="0" xr:uid="{3F30F503-B842-4E19-A9A5-F709A5DAF013}">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 ref="AT43" authorId="115" shapeId="0" xr:uid="{8C55A61E-F3AE-4FAE-8BAA-DF0147B561CD}">
      <text>
        <t xml:space="preserve">[Threaded comment]
Your version of Excel allows you to read this threaded comment; however, any edits to it will get removed if the file is opened in a newer version of Excel. Learn more: https://go.microsoft.com/fwlink/?linkid=870924
Comment:
    Odd  mode propagation constant:
γ_odd + α_Total_odd + j β
</t>
      </text>
    </comment>
  </commentList>
</comments>
</file>

<file path=xl/sharedStrings.xml><?xml version="1.0" encoding="utf-8"?>
<sst xmlns="http://schemas.openxmlformats.org/spreadsheetml/2006/main" count="462" uniqueCount="226">
  <si>
    <t>About this tool…</t>
  </si>
  <si>
    <t>PCB MATERIAL MODELER</t>
  </si>
  <si>
    <t>Version Number</t>
  </si>
  <si>
    <t>Created by</t>
  </si>
  <si>
    <t>Ahmed Ibrahim</t>
  </si>
  <si>
    <t>LICENSE INFORMATION:</t>
  </si>
  <si>
    <t>Copyright © 2025 Teramesh Incorporated</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</si>
  <si>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t>
  </si>
  <si>
    <t>IMPORTANT:</t>
  </si>
  <si>
    <t>1. Do NOT delete this worksheet!</t>
  </si>
  <si>
    <t>2. Redistibutions must retain the above copyright and the following disclaimer</t>
  </si>
  <si>
    <t>DISCLAIMER:</t>
  </si>
  <si>
    <t>THIS SOFTWARE IS PROVIDED BY TERAMESH  "AS IS" AND ANY EXPRESS OR IMPLIED WARRANTIES, INCLUDING, BUT NOT LIMITED TO, THE IMPLIED WARRANTIES OF MERCHANTABILITY AND FIRNESS FOR A PARTICULAR PURPOSE ARE DISCLAIMED. IN NO EVENT SHALL TERAMESH BE LIABLE FOR ANY CLAIM, DAMAGES OR OTHER LIABILITY, WHETHER IN AN ACTION OF CONTRACT, TORT OR OTHERWISE, ARISING FROM, OUT OF OR IN CONNECTION WITH THE SOFTWARE OR THE USE OR OTHER DEALINGS IN THE SOFTWARE.</t>
  </si>
  <si>
    <t>Version History</t>
  </si>
  <si>
    <t>Version</t>
  </si>
  <si>
    <t>Change List Description</t>
  </si>
  <si>
    <t>1.2.0</t>
  </si>
  <si>
    <t>1.1.1</t>
  </si>
  <si>
    <t>Added a selector for copper foil treatment process</t>
  </si>
  <si>
    <t>1.1.0</t>
  </si>
  <si>
    <t>Database format</t>
  </si>
  <si>
    <t>1.0.2</t>
  </si>
  <si>
    <t>Added more materials</t>
  </si>
  <si>
    <t>1.0.1</t>
  </si>
  <si>
    <t>Added the calculation of loss tangent from the input resin content</t>
  </si>
  <si>
    <t>1.0.0</t>
  </si>
  <si>
    <t>Initial Release</t>
  </si>
  <si>
    <t>USER GUIDE</t>
  </si>
  <si>
    <t>NOTES:</t>
  </si>
  <si>
    <t>Do enter user input ONLY in the yellow-highlighted cells</t>
  </si>
  <si>
    <r>
      <t xml:space="preserve">1- Input the stripline dimensions, PCB process constants, and temperature coefficients in the </t>
    </r>
    <r>
      <rPr>
        <b/>
        <u/>
        <sz val="10"/>
        <color theme="0"/>
        <rFont val="Arial"/>
        <family val="2"/>
      </rPr>
      <t>Material Database</t>
    </r>
    <r>
      <rPr>
        <sz val="10"/>
        <color theme="0"/>
        <rFont val="Arial"/>
        <family val="2"/>
      </rPr>
      <t xml:space="preserve"> tab, then select the material and desired copper foil process, and observe the values being read in the </t>
    </r>
    <r>
      <rPr>
        <b/>
        <u/>
        <sz val="10"/>
        <color theme="0"/>
        <rFont val="Arial"/>
        <family val="2"/>
      </rPr>
      <t>Material Modeler</t>
    </r>
    <r>
      <rPr>
        <sz val="10"/>
        <color theme="0"/>
        <rFont val="Arial"/>
        <family val="2"/>
      </rPr>
      <t xml:space="preserve"> tab.</t>
    </r>
  </si>
  <si>
    <t>Stripline dimensions</t>
  </si>
  <si>
    <t xml:space="preserve">        PCB process constants</t>
  </si>
  <si>
    <t>Temperature coefficients</t>
  </si>
  <si>
    <t>Dielectric Material</t>
  </si>
  <si>
    <t>Copper Foil</t>
  </si>
  <si>
    <t>2- The dielectric constant (DK) in-plane values versus frequency (GHz) for different thicknesses/resin contents. In-plane values are those that were characterized by SPC or Cylindrical resonator. When Dk is measured by an in-plane method (SPC or Cylindrical Resonator), effective Dk is linear to resin content for a given glass style. Then enter DF value as well, the DF value should be almost independent from the dielectric thickness.</t>
  </si>
  <si>
    <t>Material Constants</t>
  </si>
  <si>
    <t>Base Temperature</t>
  </si>
  <si>
    <t xml:space="preserve">Stripline geometry for Zdiff=100Ohm </t>
  </si>
  <si>
    <t>6 Frequency Points</t>
  </si>
  <si>
    <t>Dielectric Thickness (Datasheet)</t>
  </si>
  <si>
    <t>Resin Content (Datasheet)</t>
  </si>
  <si>
    <t>In-plane DK value vs frequency (Datasheet) for t1, RC1</t>
  </si>
  <si>
    <t>In-plane DK value vs frequency (Datasheet) for t2, RC2</t>
  </si>
  <si>
    <t>In-plane DK value vs frequency (Datasheet) for t3, RC3</t>
  </si>
  <si>
    <t>DF value vs frequency (Datasheet) for t1, RC1</t>
  </si>
  <si>
    <t>DF value vs frequency (Datasheet) for t2, RC2</t>
  </si>
  <si>
    <t>DF value vs frequency (Datasheet) for t3, RC3</t>
  </si>
  <si>
    <t>Roughness</t>
  </si>
  <si>
    <t>Material</t>
  </si>
  <si>
    <t>Tc_DK (1/°C)</t>
  </si>
  <si>
    <t>Tc_DF (1/°C)</t>
  </si>
  <si>
    <t>α_M (1/°C)</t>
  </si>
  <si>
    <t>σo (S/m)</t>
  </si>
  <si>
    <t>Δ (µm)</t>
  </si>
  <si>
    <r>
      <t>T</t>
    </r>
    <r>
      <rPr>
        <sz val="8"/>
        <color theme="0"/>
        <rFont val="Calibri"/>
        <family val="2"/>
        <scheme val="minor"/>
      </rPr>
      <t>o</t>
    </r>
    <r>
      <rPr>
        <sz val="11"/>
        <color theme="0"/>
        <rFont val="Calibri"/>
        <family val="2"/>
        <scheme val="minor"/>
      </rPr>
      <t xml:space="preserve"> (°C)</t>
    </r>
  </si>
  <si>
    <t>t_D (µm)</t>
  </si>
  <si>
    <t>t_M (µm)</t>
  </si>
  <si>
    <t>W (µm)</t>
  </si>
  <si>
    <t>S (µm)</t>
  </si>
  <si>
    <t>f1 (GHz)</t>
  </si>
  <si>
    <t>f2 (GHz)</t>
  </si>
  <si>
    <t>f3 (GHz)</t>
  </si>
  <si>
    <t>f4 (GHz)</t>
  </si>
  <si>
    <t>f5 (GHz)</t>
  </si>
  <si>
    <t>f6 (GHz)</t>
  </si>
  <si>
    <t>t1 (µm)</t>
  </si>
  <si>
    <t>t2 (µm)</t>
  </si>
  <si>
    <t>t3 (µm)</t>
  </si>
  <si>
    <t>RC1 (%)</t>
  </si>
  <si>
    <t>RC2 (%)</t>
  </si>
  <si>
    <t>RC3 (%)</t>
  </si>
  <si>
    <t>DK11</t>
  </si>
  <si>
    <t>DK12</t>
  </si>
  <si>
    <t>DK13</t>
  </si>
  <si>
    <t>DK14</t>
  </si>
  <si>
    <t>DK15</t>
  </si>
  <si>
    <t>DK16</t>
  </si>
  <si>
    <t>DK21</t>
  </si>
  <si>
    <t>DK22</t>
  </si>
  <si>
    <t>DK23</t>
  </si>
  <si>
    <t>DK24</t>
  </si>
  <si>
    <t>DK25</t>
  </si>
  <si>
    <t>DK26</t>
  </si>
  <si>
    <t>DK31</t>
  </si>
  <si>
    <t>DK32</t>
  </si>
  <si>
    <t>DK33</t>
  </si>
  <si>
    <t>DK34</t>
  </si>
  <si>
    <t>DK35</t>
  </si>
  <si>
    <t>DK36</t>
  </si>
  <si>
    <t>DF11</t>
  </si>
  <si>
    <t>DF12</t>
  </si>
  <si>
    <t>DF13</t>
  </si>
  <si>
    <t>DF14</t>
  </si>
  <si>
    <t>DF15</t>
  </si>
  <si>
    <t>DF16</t>
  </si>
  <si>
    <t>DF21</t>
  </si>
  <si>
    <t>DF22</t>
  </si>
  <si>
    <t>DF23</t>
  </si>
  <si>
    <t>DF24</t>
  </si>
  <si>
    <t>DF25</t>
  </si>
  <si>
    <t>DF26</t>
  </si>
  <si>
    <t>DF31</t>
  </si>
  <si>
    <t>DF32</t>
  </si>
  <si>
    <t>DF33</t>
  </si>
  <si>
    <t>DF34</t>
  </si>
  <si>
    <t>DF35</t>
  </si>
  <si>
    <t>DF36</t>
  </si>
  <si>
    <t>Table2</t>
  </si>
  <si>
    <t>STD (1x6.00µm)</t>
  </si>
  <si>
    <t>TU863+_1x2116_Preg</t>
  </si>
  <si>
    <t>RTF (1x4.00µm)</t>
  </si>
  <si>
    <t>Tachyon100G_2x1078_Core</t>
  </si>
  <si>
    <t>(1x3.00µm)</t>
  </si>
  <si>
    <t>SpeedWave300P_1x1035_Preg</t>
  </si>
  <si>
    <t>VLP (1x2.75µm)</t>
  </si>
  <si>
    <t>SierraCircuits - Megtron 6 R-5775</t>
  </si>
  <si>
    <t>VLP (1x2.50µm)</t>
  </si>
  <si>
    <t>VLP (1x2.25µm)</t>
  </si>
  <si>
    <t>(1x2.00µm)</t>
  </si>
  <si>
    <t>HVLP (1x1.50µm)</t>
  </si>
  <si>
    <t>HVLP2 (1x1.60µm)</t>
  </si>
  <si>
    <t>Chosen Thickness (µm):</t>
  </si>
  <si>
    <r>
      <t>Conductivity σ</t>
    </r>
    <r>
      <rPr>
        <sz val="8"/>
        <color theme="0"/>
        <rFont val="Calibri"/>
        <family val="2"/>
        <scheme val="minor"/>
      </rPr>
      <t>o</t>
    </r>
    <r>
      <rPr>
        <sz val="11"/>
        <color theme="0"/>
        <rFont val="Calibri"/>
        <family val="2"/>
        <scheme val="minor"/>
      </rPr>
      <t xml:space="preserve"> (S/m):</t>
    </r>
  </si>
  <si>
    <r>
      <t>DK Coeffcient Tc</t>
    </r>
    <r>
      <rPr>
        <sz val="8"/>
        <color theme="0"/>
        <rFont val="Calibri"/>
        <family val="2"/>
        <scheme val="minor"/>
      </rPr>
      <t>_DK</t>
    </r>
    <r>
      <rPr>
        <sz val="11"/>
        <color theme="0"/>
        <rFont val="Calibri"/>
        <family val="2"/>
        <scheme val="minor"/>
      </rPr>
      <t xml:space="preserve"> (1/°C):</t>
    </r>
  </si>
  <si>
    <t>A</t>
  </si>
  <si>
    <t>User Input</t>
  </si>
  <si>
    <t>Metal Thickness t (µm):</t>
  </si>
  <si>
    <r>
      <t>Temperature T</t>
    </r>
    <r>
      <rPr>
        <sz val="8"/>
        <color theme="0"/>
        <rFont val="Calibri"/>
        <family val="2"/>
        <scheme val="minor"/>
      </rPr>
      <t>o</t>
    </r>
    <r>
      <rPr>
        <sz val="11"/>
        <color theme="0"/>
        <rFont val="Calibri"/>
        <family val="2"/>
        <scheme val="minor"/>
      </rPr>
      <t xml:space="preserve"> (°C):</t>
    </r>
  </si>
  <si>
    <r>
      <t>DF Coeffcient Tc</t>
    </r>
    <r>
      <rPr>
        <sz val="8"/>
        <color theme="0"/>
        <rFont val="Calibri"/>
        <family val="2"/>
        <scheme val="minor"/>
      </rPr>
      <t>_DF</t>
    </r>
    <r>
      <rPr>
        <sz val="11"/>
        <color theme="0"/>
        <rFont val="Calibri"/>
        <family val="2"/>
        <scheme val="minor"/>
      </rPr>
      <t xml:space="preserve"> (1/°C):</t>
    </r>
  </si>
  <si>
    <t>B</t>
  </si>
  <si>
    <t>Output</t>
  </si>
  <si>
    <t>Temp (°C)</t>
  </si>
  <si>
    <t>Trace Width W (µm):</t>
  </si>
  <si>
    <r>
      <t xml:space="preserve">Roughness_RMS </t>
    </r>
    <r>
      <rPr>
        <sz val="11"/>
        <color theme="0"/>
        <rFont val="Calibri"/>
        <family val="2"/>
      </rPr>
      <t xml:space="preserve">Δ </t>
    </r>
    <r>
      <rPr>
        <sz val="11"/>
        <color theme="0"/>
        <rFont val="Calibri"/>
        <family val="2"/>
        <scheme val="minor"/>
      </rPr>
      <t>(µm):</t>
    </r>
  </si>
  <si>
    <r>
      <t>Metal Coeffcient α</t>
    </r>
    <r>
      <rPr>
        <sz val="8"/>
        <color theme="0"/>
        <rFont val="Calibri"/>
        <family val="2"/>
        <scheme val="minor"/>
      </rPr>
      <t xml:space="preserve">_M </t>
    </r>
    <r>
      <rPr>
        <sz val="11"/>
        <color theme="0"/>
        <rFont val="Calibri"/>
        <family val="2"/>
        <scheme val="minor"/>
      </rPr>
      <t>(1/°C):</t>
    </r>
  </si>
  <si>
    <t>C</t>
  </si>
  <si>
    <t>Database</t>
  </si>
  <si>
    <t>Dk_avg</t>
  </si>
  <si>
    <t>Trace Spacing S (µm):</t>
  </si>
  <si>
    <t>Df</t>
  </si>
  <si>
    <t>δs (µm)</t>
  </si>
  <si>
    <r>
      <t>R' (</t>
    </r>
    <r>
      <rPr>
        <sz val="11"/>
        <color theme="0"/>
        <rFont val="Calibri"/>
        <family val="2"/>
      </rPr>
      <t>Ω</t>
    </r>
    <r>
      <rPr>
        <sz val="11"/>
        <color theme="0"/>
        <rFont val="Calibri"/>
        <family val="2"/>
        <scheme val="minor"/>
      </rPr>
      <t>)</t>
    </r>
  </si>
  <si>
    <r>
      <t>R_even/u.l R' (</t>
    </r>
    <r>
      <rPr>
        <sz val="11"/>
        <color theme="0"/>
        <rFont val="Calibri"/>
        <family val="2"/>
      </rPr>
      <t>Ω</t>
    </r>
    <r>
      <rPr>
        <sz val="11"/>
        <color theme="0"/>
        <rFont val="Calibri"/>
        <family val="2"/>
        <scheme val="minor"/>
      </rPr>
      <t>)</t>
    </r>
  </si>
  <si>
    <t>&lt;- Use a 2D field solver for these 4 values to improve accuracy</t>
  </si>
  <si>
    <t>Zdiff (Ω)</t>
  </si>
  <si>
    <r>
      <t>R_odd/u.l R' (</t>
    </r>
    <r>
      <rPr>
        <sz val="11"/>
        <color theme="0"/>
        <rFont val="Calibri"/>
        <family val="2"/>
      </rPr>
      <t>Ω</t>
    </r>
    <r>
      <rPr>
        <sz val="11"/>
        <color theme="0"/>
        <rFont val="Calibri"/>
        <family val="2"/>
        <scheme val="minor"/>
      </rPr>
      <t>)</t>
    </r>
  </si>
  <si>
    <t>DK_Inplane (From the Datasheet)</t>
  </si>
  <si>
    <t>Zo_even (Ω)</t>
  </si>
  <si>
    <t>Thickness (um)</t>
  </si>
  <si>
    <t>RC (%)</t>
  </si>
  <si>
    <t>Zo_odd (Ω)</t>
  </si>
  <si>
    <t>|Zdd| (Ω)</t>
  </si>
  <si>
    <t>Skin Depth δs (µm)</t>
  </si>
  <si>
    <t>|Zcc| (Ω)</t>
  </si>
  <si>
    <r>
      <t>Resistance/u.l R' (</t>
    </r>
    <r>
      <rPr>
        <sz val="11"/>
        <color theme="0"/>
        <rFont val="Calibri"/>
        <family val="2"/>
      </rPr>
      <t>Ω</t>
    </r>
    <r>
      <rPr>
        <sz val="11"/>
        <color theme="0"/>
        <rFont val="Calibri"/>
        <family val="2"/>
        <scheme val="minor"/>
      </rPr>
      <t>)</t>
    </r>
  </si>
  <si>
    <t>|Zs| (Ω)</t>
  </si>
  <si>
    <r>
      <t xml:space="preserve">Zdiff (Ω)  </t>
    </r>
    <r>
      <rPr>
        <b/>
        <sz val="9"/>
        <color theme="0"/>
        <rFont val="Calibri"/>
        <family val="2"/>
        <scheme val="minor"/>
      </rPr>
      <t>(Verified)</t>
    </r>
  </si>
  <si>
    <t>|Zm| (Ω)</t>
  </si>
  <si>
    <t>DF (From the Datasheet)</t>
  </si>
  <si>
    <t>K</t>
  </si>
  <si>
    <r>
      <rPr>
        <sz val="11"/>
        <color theme="0"/>
        <rFont val="Calibri"/>
        <family val="2"/>
      </rPr>
      <t>α_</t>
    </r>
    <r>
      <rPr>
        <sz val="9"/>
        <color theme="0"/>
        <rFont val="Calibri"/>
        <family val="2"/>
        <scheme val="minor"/>
      </rPr>
      <t>Dielectric</t>
    </r>
    <r>
      <rPr>
        <sz val="11"/>
        <color theme="0"/>
        <rFont val="Calibri"/>
        <family val="2"/>
        <scheme val="minor"/>
      </rPr>
      <t xml:space="preserve"> (dB/m)</t>
    </r>
  </si>
  <si>
    <t>NEXT</t>
  </si>
  <si>
    <r>
      <rPr>
        <sz val="11"/>
        <color theme="0"/>
        <rFont val="Calibri"/>
        <family val="2"/>
      </rPr>
      <t>α_</t>
    </r>
    <r>
      <rPr>
        <sz val="9"/>
        <color theme="0"/>
        <rFont val="Calibri"/>
        <family val="2"/>
        <scheme val="minor"/>
      </rPr>
      <t>SmoothMetal</t>
    </r>
    <r>
      <rPr>
        <sz val="11"/>
        <color theme="0"/>
        <rFont val="Calibri"/>
        <family val="2"/>
        <scheme val="minor"/>
      </rPr>
      <t xml:space="preserve"> (dB/m)</t>
    </r>
  </si>
  <si>
    <t>Vp (CITS)</t>
  </si>
  <si>
    <r>
      <rPr>
        <sz val="11"/>
        <color theme="0"/>
        <rFont val="Calibri"/>
        <family val="2"/>
      </rPr>
      <t>α_</t>
    </r>
    <r>
      <rPr>
        <sz val="8"/>
        <color theme="0"/>
        <rFont val="Calibri"/>
        <family val="2"/>
        <scheme val="minor"/>
      </rPr>
      <t>RoughMetal</t>
    </r>
    <r>
      <rPr>
        <sz val="11"/>
        <color theme="0"/>
        <rFont val="Calibri"/>
        <family val="2"/>
        <scheme val="minor"/>
      </rPr>
      <t xml:space="preserve">  (dB/m)</t>
    </r>
  </si>
  <si>
    <r>
      <rPr>
        <sz val="11"/>
        <color theme="0"/>
        <rFont val="Calibri"/>
        <family val="2"/>
      </rPr>
      <t>α_</t>
    </r>
    <r>
      <rPr>
        <sz val="8"/>
        <color theme="0"/>
        <rFont val="Calibri"/>
        <family val="2"/>
        <scheme val="minor"/>
      </rPr>
      <t>Total</t>
    </r>
    <r>
      <rPr>
        <sz val="11"/>
        <color theme="0"/>
        <rFont val="Calibri"/>
        <family val="2"/>
        <scheme val="minor"/>
      </rPr>
      <t xml:space="preserve">  (dB/m)</t>
    </r>
  </si>
  <si>
    <r>
      <rPr>
        <sz val="11"/>
        <color theme="0"/>
        <rFont val="Calibri"/>
        <family val="2"/>
      </rPr>
      <t>α_</t>
    </r>
    <r>
      <rPr>
        <sz val="8"/>
        <color theme="0"/>
        <rFont val="Calibri"/>
        <family val="2"/>
        <scheme val="minor"/>
      </rPr>
      <t>Dielectric</t>
    </r>
  </si>
  <si>
    <r>
      <rPr>
        <sz val="11"/>
        <color theme="0"/>
        <rFont val="Calibri"/>
        <family val="2"/>
      </rPr>
      <t>α_</t>
    </r>
    <r>
      <rPr>
        <sz val="8"/>
        <color theme="0"/>
        <rFont val="Calibri"/>
        <family val="2"/>
        <scheme val="minor"/>
      </rPr>
      <t>SmoothMetal_even</t>
    </r>
  </si>
  <si>
    <t>Intercept (DK_glass)</t>
  </si>
  <si>
    <t>Intercept (DF_glass)</t>
  </si>
  <si>
    <r>
      <rPr>
        <sz val="11"/>
        <color theme="0"/>
        <rFont val="Calibri"/>
        <family val="2"/>
      </rPr>
      <t>α_</t>
    </r>
    <r>
      <rPr>
        <sz val="8"/>
        <color theme="0"/>
        <rFont val="Calibri"/>
        <family val="2"/>
        <scheme val="minor"/>
      </rPr>
      <t>SmoothMetal_odd</t>
    </r>
  </si>
  <si>
    <t>DK_Resin</t>
  </si>
  <si>
    <t>DF_Resin</t>
  </si>
  <si>
    <r>
      <rPr>
        <sz val="11"/>
        <color theme="0"/>
        <rFont val="Calibri"/>
        <family val="2"/>
      </rPr>
      <t>α_</t>
    </r>
    <r>
      <rPr>
        <sz val="8"/>
        <color theme="0"/>
        <rFont val="Calibri"/>
        <family val="2"/>
        <scheme val="minor"/>
      </rPr>
      <t>RoughMetal_even</t>
    </r>
  </si>
  <si>
    <r>
      <rPr>
        <sz val="11"/>
        <color theme="0"/>
        <rFont val="Calibri"/>
        <family val="2"/>
      </rPr>
      <t>α_</t>
    </r>
    <r>
      <rPr>
        <sz val="8"/>
        <color theme="0"/>
        <rFont val="Calibri"/>
        <family val="2"/>
        <scheme val="minor"/>
      </rPr>
      <t>RoughMetal_odd</t>
    </r>
  </si>
  <si>
    <t>DK_InPlane (From Dk_Glass, DK_Resin, and RC)</t>
  </si>
  <si>
    <t>DK_OutofPlane (From Dk_Glass, DK_Resin, and RC)</t>
  </si>
  <si>
    <t>DF (From DF_Glass, DF_Resin, and RC)</t>
  </si>
  <si>
    <r>
      <t>α_</t>
    </r>
    <r>
      <rPr>
        <sz val="8"/>
        <color theme="0"/>
        <rFont val="Calibri"/>
        <family val="2"/>
        <scheme val="minor"/>
      </rPr>
      <t>Total_even</t>
    </r>
    <r>
      <rPr>
        <sz val="11"/>
        <color theme="0"/>
        <rFont val="Calibri"/>
        <family val="2"/>
      </rPr>
      <t xml:space="preserve">  (dB/m)</t>
    </r>
  </si>
  <si>
    <r>
      <t>α_</t>
    </r>
    <r>
      <rPr>
        <sz val="8"/>
        <color theme="0"/>
        <rFont val="Calibri"/>
        <family val="2"/>
        <scheme val="minor"/>
      </rPr>
      <t xml:space="preserve">Total_odd </t>
    </r>
    <r>
      <rPr>
        <sz val="11"/>
        <color theme="0"/>
        <rFont val="Calibri"/>
        <family val="2"/>
        <scheme val="minor"/>
      </rPr>
      <t>(dB/m)</t>
    </r>
  </si>
  <si>
    <t>Stripline Total Loss vs. Temperature (dB/m)</t>
  </si>
  <si>
    <r>
      <t>β_</t>
    </r>
    <r>
      <rPr>
        <sz val="8"/>
        <color theme="0"/>
        <rFont val="Aptos Narrow"/>
        <family val="2"/>
      </rPr>
      <t>even/odd</t>
    </r>
    <r>
      <rPr>
        <sz val="11"/>
        <color theme="0"/>
        <rFont val="Aptos Narrow"/>
        <family val="2"/>
      </rPr>
      <t xml:space="preserve"> (rad/m)</t>
    </r>
  </si>
  <si>
    <r>
      <rPr>
        <sz val="11"/>
        <color theme="0"/>
        <rFont val="Calibri"/>
        <family val="2"/>
      </rPr>
      <t>γ</t>
    </r>
    <r>
      <rPr>
        <sz val="9.35"/>
        <color theme="0"/>
        <rFont val="Aptos Narrow"/>
        <family val="2"/>
      </rPr>
      <t>_even</t>
    </r>
  </si>
  <si>
    <r>
      <t>γ</t>
    </r>
    <r>
      <rPr>
        <sz val="9"/>
        <color theme="0"/>
        <rFont val="Aptos Narrow"/>
        <family val="2"/>
      </rPr>
      <t>_odd</t>
    </r>
  </si>
  <si>
    <r>
      <t>R</t>
    </r>
    <r>
      <rPr>
        <sz val="9"/>
        <color theme="0"/>
        <rFont val="Aptos Narrow"/>
        <family val="2"/>
      </rPr>
      <t>even</t>
    </r>
    <r>
      <rPr>
        <sz val="11"/>
        <color theme="0"/>
        <rFont val="Aptos Narrow"/>
        <family val="2"/>
      </rPr>
      <t xml:space="preserve"> (Ω/u.l)</t>
    </r>
  </si>
  <si>
    <r>
      <t>R</t>
    </r>
    <r>
      <rPr>
        <sz val="9"/>
        <color theme="0"/>
        <rFont val="Aptos Narrow"/>
        <family val="2"/>
      </rPr>
      <t>odd</t>
    </r>
    <r>
      <rPr>
        <sz val="11"/>
        <color theme="0"/>
        <rFont val="Aptos Narrow"/>
        <family val="2"/>
      </rPr>
      <t xml:space="preserve"> (Ω/u.l)</t>
    </r>
  </si>
  <si>
    <r>
      <t>L</t>
    </r>
    <r>
      <rPr>
        <sz val="9"/>
        <color theme="0"/>
        <rFont val="Aptos Narrow"/>
        <family val="2"/>
      </rPr>
      <t>even</t>
    </r>
    <r>
      <rPr>
        <sz val="11"/>
        <color theme="0"/>
        <rFont val="Aptos Narrow"/>
        <family val="2"/>
      </rPr>
      <t xml:space="preserve"> (nH/u.l)</t>
    </r>
  </si>
  <si>
    <r>
      <t>L</t>
    </r>
    <r>
      <rPr>
        <sz val="9"/>
        <color theme="0"/>
        <rFont val="Aptos Narrow"/>
        <family val="2"/>
      </rPr>
      <t>odd</t>
    </r>
    <r>
      <rPr>
        <sz val="11"/>
        <color theme="0"/>
        <rFont val="Aptos Narrow"/>
        <family val="2"/>
      </rPr>
      <t xml:space="preserve"> (nH/u.l)</t>
    </r>
  </si>
  <si>
    <t>Geven (Ʊ/u.l)</t>
  </si>
  <si>
    <r>
      <t>G</t>
    </r>
    <r>
      <rPr>
        <sz val="9"/>
        <color theme="0"/>
        <rFont val="Aptos Narrow"/>
        <family val="2"/>
      </rPr>
      <t>odd</t>
    </r>
    <r>
      <rPr>
        <sz val="11"/>
        <color theme="0"/>
        <rFont val="Aptos Narrow"/>
        <family val="2"/>
      </rPr>
      <t xml:space="preserve"> (Ʊ/u.l)</t>
    </r>
  </si>
  <si>
    <r>
      <t>C</t>
    </r>
    <r>
      <rPr>
        <sz val="9"/>
        <color theme="0"/>
        <rFont val="Aptos Narrow"/>
        <family val="2"/>
      </rPr>
      <t>even</t>
    </r>
    <r>
      <rPr>
        <sz val="11"/>
        <color theme="0"/>
        <rFont val="Aptos Narrow"/>
        <family val="2"/>
      </rPr>
      <t xml:space="preserve"> (pF/u.l)</t>
    </r>
  </si>
  <si>
    <r>
      <t>C</t>
    </r>
    <r>
      <rPr>
        <sz val="9"/>
        <color theme="0"/>
        <rFont val="Aptos Narrow"/>
        <family val="2"/>
      </rPr>
      <t>odd</t>
    </r>
    <r>
      <rPr>
        <sz val="11"/>
        <color theme="0"/>
        <rFont val="Aptos Narrow"/>
        <family val="2"/>
      </rPr>
      <t xml:space="preserve"> (pF/u.l)</t>
    </r>
  </si>
  <si>
    <t>R11=R22 (Ω/u.l)</t>
  </si>
  <si>
    <t>R12=R21 (Ω/u.l)</t>
  </si>
  <si>
    <t>L11=L22 (nH/u.l)</t>
  </si>
  <si>
    <t>L12=L21  (nH/u.l)</t>
  </si>
  <si>
    <r>
      <t>G11=G22 (</t>
    </r>
    <r>
      <rPr>
        <sz val="11"/>
        <color theme="0"/>
        <rFont val="Calibri"/>
        <family val="2"/>
      </rPr>
      <t>Ʊ</t>
    </r>
    <r>
      <rPr>
        <sz val="11"/>
        <color theme="0"/>
        <rFont val="Calibri"/>
        <family val="2"/>
        <scheme val="minor"/>
      </rPr>
      <t>/u.l)</t>
    </r>
  </si>
  <si>
    <t>G12=G21 (Ʊ/u.l)</t>
  </si>
  <si>
    <t>C11=C22 (pF/u.l)</t>
  </si>
  <si>
    <t>C12=C21 (pF/u.l)</t>
  </si>
  <si>
    <t>Rs (Ω/u.l)</t>
  </si>
  <si>
    <t>Rm (Ω/u.l)</t>
  </si>
  <si>
    <t>Ls (nH/u.l)</t>
  </si>
  <si>
    <t>Lm  (nH/u.l)</t>
  </si>
  <si>
    <t>Gs (Ʊ/u.l)</t>
  </si>
  <si>
    <t>Gm (Ʊ/u.l))</t>
  </si>
  <si>
    <t>Cs (pF/u.l)</t>
  </si>
  <si>
    <t>Cm (pF/u.l)</t>
  </si>
  <si>
    <t>Nominal</t>
  </si>
  <si>
    <t>+/-</t>
  </si>
  <si>
    <t>-/+</t>
  </si>
  <si>
    <t>Minimum Zo / Maximum Loss</t>
  </si>
  <si>
    <t>Maximum Zo / Minimum Loss</t>
  </si>
  <si>
    <t>Minimum Zo / Maximum α</t>
  </si>
  <si>
    <t>Maximum Zo / Minimum α</t>
  </si>
  <si>
    <t>Error (negative)</t>
  </si>
  <si>
    <t>Error (Positive)</t>
  </si>
  <si>
    <t>Added Transmission Line Design Tab that includes manufacturing tolerances and RLGC calculations</t>
  </si>
  <si>
    <t>Note: When Dk is measured by an in-plane method (SPC or Cylindrical Resonator), effective Dk is linear to RC for a given glass style.</t>
  </si>
  <si>
    <r>
      <t xml:space="preserve">4- The tool also assumes a linear dependence of DK and DF values over temperature as per the Tc_DK (1/°C) and Tc_DF (1/°C) values entered in the </t>
    </r>
    <r>
      <rPr>
        <b/>
        <u/>
        <sz val="10"/>
        <color theme="0"/>
        <rFont val="Arial"/>
        <family val="2"/>
      </rPr>
      <t>Material Database</t>
    </r>
    <r>
      <rPr>
        <sz val="10"/>
        <color theme="0"/>
        <rFont val="Arial"/>
        <family val="2"/>
      </rPr>
      <t>.</t>
    </r>
  </si>
  <si>
    <t>3- The tool will calculate the DK/DF of the resin and the glass separately, then it will use them to calculate the in-plane effective dielectric constant, the out-of-plane value, and the loss tangent for the chosen dielectric thickness. These are the values that should be fed into field simulators. Calculation steps are detailed in the linked reference (PCB Laminate Material Out-of-plane Dielectric Constant Extraction Methodology) https://ieeexplore.ieee.org/document/9874947</t>
  </si>
  <si>
    <t>5- The tool calculate the stripline loss components (Dielectric loss, smooth metal, and loss due to roughness). Calculation steps are briefly shown as comments on each cell.</t>
  </si>
  <si>
    <t>6- Input up to 4 values of temperature to calculate the stripline loss vs temperature.
The tool takes into consideration the effect of temperature on DK, DF, and Copper conductivity.
These are the 4 temperature points at which DK and Df were plotted in the charts in section 4.</t>
  </si>
  <si>
    <r>
      <t>7- Input stripline geometric parameters in the</t>
    </r>
    <r>
      <rPr>
        <b/>
        <sz val="10"/>
        <color theme="0"/>
        <rFont val="Arial"/>
        <family val="2"/>
      </rPr>
      <t xml:space="preserve"> </t>
    </r>
    <r>
      <rPr>
        <b/>
        <u/>
        <sz val="10"/>
        <color theme="0"/>
        <rFont val="Arial"/>
        <family val="2"/>
      </rPr>
      <t>Transmission Line Design</t>
    </r>
    <r>
      <rPr>
        <sz val="10"/>
        <color theme="0"/>
        <rFont val="Arial"/>
        <family val="2"/>
      </rPr>
      <t xml:space="preserve"> tab, along with their manufacturing tolerances. Transmission line impedance, attenuation, and RLGC parameters are calculated for the odd and even modes, with statistical variances (from manufacturing tolerances). Numerical accuracy can be improved by utilizing 2D field solver results for the grey-highlighted cells. The user can also change the temperature at which the parameters are being calculated.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</si>
</sst>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E+00"/>
    <numFmt numFmtId="165" formatCode="0.0000"/>
    <numFmt numFmtId="166" formatCode="0.0%"/>
    <numFmt numFmtId="167" formatCode="0.0000E+00"/>
    <numFmt numFmtId="168" formatCode="0.000"/>
    <numFmt numFmtId="169" formatCode="0.00000"/>
    <numFmt numFmtId="171" formatCode="&quot;$&quot;#,##0.00"/>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8"/>
      <color theme="0"/>
      <name val="Calibri"/>
      <family val="2"/>
      <scheme val="minor"/>
    </font>
    <font>
      <sz val="11"/>
      <color theme="0"/>
      <name val="Calibri"/>
      <family val="2"/>
    </font>
    <font>
      <sz val="8"/>
      <color theme="0"/>
      <name val="Calibri"/>
      <family val="2"/>
      <scheme val="minor"/>
    </font>
    <font>
      <b/>
      <sz val="9"/>
      <color theme="0"/>
      <name val="Calibri"/>
      <family val="2"/>
      <scheme val="minor"/>
    </font>
    <font>
      <b/>
      <sz val="20"/>
      <color theme="0"/>
      <name val="Arial"/>
      <family val="2"/>
    </font>
    <font>
      <sz val="11"/>
      <color rgb="FF000000"/>
      <name val="Calibri"/>
      <family val="2"/>
      <scheme val="minor"/>
    </font>
    <font>
      <sz val="11"/>
      <color theme="1"/>
      <name val="Arial"/>
      <family val="2"/>
    </font>
    <font>
      <b/>
      <sz val="14"/>
      <color theme="0"/>
      <name val="Arial"/>
      <family val="2"/>
    </font>
    <font>
      <u/>
      <sz val="11"/>
      <color theme="10"/>
      <name val="Calibri"/>
      <family val="2"/>
      <scheme val="minor"/>
    </font>
    <font>
      <b/>
      <u/>
      <sz val="11"/>
      <color theme="10"/>
      <name val="Arial"/>
      <family val="2"/>
    </font>
    <font>
      <b/>
      <sz val="16"/>
      <color theme="0"/>
      <name val="Calibri"/>
      <family val="2"/>
      <scheme val="minor"/>
    </font>
    <font>
      <sz val="11"/>
      <color theme="0"/>
      <name val="Arial"/>
      <family val="2"/>
    </font>
    <font>
      <b/>
      <sz val="11"/>
      <name val="Arial"/>
      <family val="2"/>
    </font>
    <font>
      <b/>
      <sz val="10"/>
      <color theme="0"/>
      <name val="Arial"/>
      <family val="2"/>
    </font>
    <font>
      <sz val="10"/>
      <color theme="0"/>
      <name val="Arial"/>
      <family val="2"/>
    </font>
    <font>
      <b/>
      <sz val="10"/>
      <color theme="5"/>
      <name val="Arial"/>
      <family val="2"/>
    </font>
    <font>
      <sz val="8"/>
      <name val="Calibri"/>
      <family val="2"/>
      <scheme val="minor"/>
    </font>
    <font>
      <sz val="11"/>
      <name val="Calibri"/>
      <family val="2"/>
      <scheme val="minor"/>
    </font>
    <font>
      <b/>
      <sz val="14"/>
      <name val="Calibri"/>
      <family val="2"/>
      <scheme val="minor"/>
    </font>
    <font>
      <sz val="11"/>
      <color theme="5"/>
      <name val="Calibri"/>
      <family val="2"/>
      <scheme val="minor"/>
    </font>
    <font>
      <b/>
      <u/>
      <sz val="10"/>
      <color theme="0"/>
      <name val="Arial"/>
      <family val="2"/>
    </font>
    <font>
      <sz val="11"/>
      <color theme="0"/>
      <name val="Aptos Narrow"/>
      <family val="2"/>
    </font>
    <font>
      <sz val="8"/>
      <color theme="0"/>
      <name val="Aptos Narrow"/>
      <family val="2"/>
    </font>
    <font>
      <sz val="9"/>
      <color theme="0"/>
      <name val="Calibri"/>
      <family val="2"/>
      <scheme val="minor"/>
    </font>
    <font>
      <b/>
      <sz val="12"/>
      <name val="Calibri"/>
      <family val="2"/>
      <scheme val="minor"/>
    </font>
    <font>
      <b/>
      <sz val="10"/>
      <color theme="0"/>
      <name val="Calibri"/>
      <family val="2"/>
      <scheme val="minor"/>
    </font>
    <font>
      <sz val="10"/>
      <color theme="0"/>
      <name val="Calibri"/>
      <family val="2"/>
      <scheme val="minor"/>
    </font>
    <font>
      <sz val="9.35"/>
      <color theme="0"/>
      <name val="Aptos Narrow"/>
      <family val="2"/>
    </font>
    <font>
      <sz val="9"/>
      <color theme="0"/>
      <name val="Aptos Narrow"/>
      <family val="2"/>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499984740745262"/>
        <bgColor indexed="64"/>
      </patternFill>
    </fill>
  </fills>
  <borders count="38">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theme="0"/>
      </bottom>
      <diagonal/>
    </border>
    <border>
      <left/>
      <right/>
      <top style="thin">
        <color theme="0"/>
      </top>
      <bottom/>
      <diagonal/>
    </border>
    <border>
      <left style="medium">
        <color theme="0"/>
      </left>
      <right/>
      <top/>
      <bottom style="thin">
        <color theme="0"/>
      </bottom>
      <diagonal/>
    </border>
    <border>
      <left/>
      <right style="medium">
        <color theme="0"/>
      </right>
      <top/>
      <bottom style="thin">
        <color theme="0"/>
      </bottom>
      <diagonal/>
    </border>
    <border>
      <left style="medium">
        <color theme="0"/>
      </left>
      <right/>
      <top style="thin">
        <color theme="0"/>
      </top>
      <bottom/>
      <diagonal/>
    </border>
    <border>
      <left/>
      <right style="medium">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thin">
        <color theme="0"/>
      </left>
      <right style="thin">
        <color theme="0"/>
      </right>
      <top/>
      <bottom style="medium">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theme="0"/>
      </top>
      <bottom/>
      <diagonal/>
    </border>
    <border>
      <left style="medium">
        <color indexed="64"/>
      </left>
      <right/>
      <top/>
      <bottom style="medium">
        <color theme="0"/>
      </bottom>
      <diagonal/>
    </border>
  </borders>
  <cellStyleXfs count="5">
    <xf numFmtId="0" fontId="0" fillId="0" borderId="0"/>
    <xf numFmtId="9" fontId="1" fillId="0" borderId="0" applyFont="0" applyFill="0" applyBorder="0" applyAlignment="0" applyProtection="0"/>
    <xf numFmtId="0" fontId="1" fillId="0" borderId="0"/>
    <xf numFmtId="0" fontId="10" fillId="0" borderId="0"/>
    <xf numFmtId="0" fontId="13" fillId="0" borderId="0" applyNumberFormat="0" applyFill="0" applyBorder="0" applyAlignment="0" applyProtection="0"/>
  </cellStyleXfs>
  <cellXfs count="313">
    <xf numFmtId="0" fontId="0" fillId="0" borderId="0" xfId="0"/>
    <xf numFmtId="0" fontId="4" fillId="3" borderId="0" xfId="0" applyFont="1" applyFill="1"/>
    <xf numFmtId="0" fontId="4" fillId="3" borderId="0" xfId="0" applyFont="1" applyFill="1" applyAlignment="1">
      <alignment vertical="center"/>
    </xf>
    <xf numFmtId="0" fontId="10" fillId="3" borderId="0" xfId="3" applyFill="1"/>
    <xf numFmtId="0" fontId="12" fillId="3" borderId="0" xfId="2" applyFont="1" applyFill="1" applyAlignment="1">
      <alignment horizontal="left"/>
    </xf>
    <xf numFmtId="0" fontId="1" fillId="3" borderId="0" xfId="2" applyFill="1"/>
    <xf numFmtId="0" fontId="14" fillId="3" borderId="0" xfId="4" applyFont="1" applyFill="1" applyBorder="1" applyAlignment="1">
      <alignment vertical="center"/>
    </xf>
    <xf numFmtId="0" fontId="14" fillId="3" borderId="5" xfId="4" applyFont="1" applyFill="1" applyBorder="1" applyAlignment="1">
      <alignment horizontal="right" vertical="center"/>
    </xf>
    <xf numFmtId="0" fontId="14" fillId="3" borderId="0" xfId="4" applyFont="1" applyFill="1" applyBorder="1" applyAlignment="1">
      <alignment horizontal="right" vertical="center"/>
    </xf>
    <xf numFmtId="0" fontId="4" fillId="3" borderId="4" xfId="3" applyFont="1" applyFill="1" applyBorder="1"/>
    <xf numFmtId="0" fontId="4" fillId="3" borderId="0" xfId="3" applyFont="1" applyFill="1"/>
    <xf numFmtId="0" fontId="4" fillId="3" borderId="5" xfId="3" applyFont="1" applyFill="1" applyBorder="1"/>
    <xf numFmtId="0" fontId="4" fillId="3" borderId="4" xfId="2" applyFont="1" applyFill="1" applyBorder="1"/>
    <xf numFmtId="0" fontId="16" fillId="3" borderId="0" xfId="2" applyFont="1" applyFill="1" applyAlignment="1">
      <alignment horizontal="left"/>
    </xf>
    <xf numFmtId="0" fontId="4" fillId="3" borderId="0" xfId="2" applyFont="1" applyFill="1"/>
    <xf numFmtId="0" fontId="4" fillId="3" borderId="5" xfId="2" applyFont="1" applyFill="1" applyBorder="1"/>
    <xf numFmtId="0" fontId="16" fillId="3" borderId="4" xfId="2" applyFont="1" applyFill="1" applyBorder="1" applyAlignment="1">
      <alignment horizontal="center"/>
    </xf>
    <xf numFmtId="0" fontId="16" fillId="3" borderId="0" xfId="2" applyFont="1" applyFill="1"/>
    <xf numFmtId="0" fontId="1" fillId="3" borderId="5" xfId="2" applyFill="1" applyBorder="1"/>
    <xf numFmtId="0" fontId="17" fillId="5" borderId="4" xfId="2" applyFont="1" applyFill="1" applyBorder="1" applyAlignment="1">
      <alignment horizontal="center"/>
    </xf>
    <xf numFmtId="0" fontId="2" fillId="5" borderId="5" xfId="2" applyFont="1" applyFill="1" applyBorder="1"/>
    <xf numFmtId="0" fontId="16" fillId="3" borderId="6" xfId="2" applyFont="1" applyFill="1" applyBorder="1" applyAlignment="1">
      <alignment horizontal="center"/>
    </xf>
    <xf numFmtId="0" fontId="16" fillId="3" borderId="7" xfId="2" applyFont="1" applyFill="1" applyBorder="1" applyAlignment="1">
      <alignment horizontal="left"/>
    </xf>
    <xf numFmtId="0" fontId="4" fillId="3" borderId="7" xfId="2" applyFont="1" applyFill="1" applyBorder="1"/>
    <xf numFmtId="0" fontId="1" fillId="3" borderId="8" xfId="2" applyFill="1" applyBorder="1"/>
    <xf numFmtId="0" fontId="4" fillId="3" borderId="5" xfId="3" applyFont="1" applyFill="1" applyBorder="1" applyAlignment="1">
      <alignment vertical="top" wrapText="1"/>
    </xf>
    <xf numFmtId="0" fontId="15" fillId="3" borderId="5" xfId="3" applyFont="1" applyFill="1" applyBorder="1"/>
    <xf numFmtId="0" fontId="0" fillId="2" borderId="0" xfId="0" applyFill="1"/>
    <xf numFmtId="0" fontId="0" fillId="2" borderId="7" xfId="0" applyFill="1" applyBorder="1"/>
    <xf numFmtId="0" fontId="18" fillId="3" borderId="5" xfId="2" applyFont="1" applyFill="1" applyBorder="1" applyAlignment="1">
      <alignment vertical="top" wrapText="1"/>
    </xf>
    <xf numFmtId="0" fontId="19" fillId="3" borderId="5" xfId="2" applyFont="1" applyFill="1" applyBorder="1" applyAlignment="1">
      <alignment vertical="top"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3" fillId="3" borderId="0" xfId="0" applyFont="1" applyFill="1" applyAlignment="1">
      <alignment horizontal="center" vertical="center" wrapText="1"/>
    </xf>
    <xf numFmtId="164" fontId="3" fillId="3" borderId="0" xfId="0" applyNumberFormat="1" applyFont="1" applyFill="1" applyAlignment="1">
      <alignment horizontal="center"/>
    </xf>
    <xf numFmtId="164" fontId="3" fillId="3" borderId="0" xfId="0" applyNumberFormat="1" applyFont="1" applyFill="1" applyAlignment="1">
      <alignment horizontal="center" vertical="center" wrapText="1"/>
    </xf>
    <xf numFmtId="11" fontId="3" fillId="3" borderId="0" xfId="0" applyNumberFormat="1" applyFont="1" applyFill="1" applyAlignment="1">
      <alignment horizontal="center" vertical="center" wrapText="1"/>
    </xf>
    <xf numFmtId="0" fontId="22" fillId="3" borderId="0" xfId="0" applyFont="1" applyFill="1"/>
    <xf numFmtId="0" fontId="22" fillId="3" borderId="0" xfId="0" applyFont="1" applyFill="1" applyAlignment="1">
      <alignment horizontal="center"/>
    </xf>
    <xf numFmtId="0" fontId="22" fillId="2" borderId="4" xfId="0" applyFont="1" applyFill="1" applyBorder="1" applyAlignment="1">
      <alignment vertical="center"/>
    </xf>
    <xf numFmtId="167" fontId="22" fillId="2" borderId="0" xfId="0" applyNumberFormat="1" applyFont="1" applyFill="1" applyAlignment="1">
      <alignment vertical="center"/>
    </xf>
    <xf numFmtId="11" fontId="22" fillId="2" borderId="0" xfId="0" applyNumberFormat="1" applyFont="1" applyFill="1" applyAlignment="1">
      <alignment vertical="center"/>
    </xf>
    <xf numFmtId="0" fontId="22" fillId="2" borderId="0" xfId="0" applyFont="1" applyFill="1" applyAlignment="1">
      <alignment vertical="center"/>
    </xf>
    <xf numFmtId="0" fontId="22" fillId="2" borderId="0" xfId="0" applyFont="1" applyFill="1" applyAlignment="1">
      <alignment horizontal="right" vertical="center"/>
    </xf>
    <xf numFmtId="0" fontId="22" fillId="2" borderId="0" xfId="0" applyFont="1" applyFill="1" applyAlignment="1">
      <alignment horizontal="right" vertical="center" wrapText="1"/>
    </xf>
    <xf numFmtId="2" fontId="22" fillId="2" borderId="0" xfId="0" applyNumberFormat="1" applyFont="1" applyFill="1" applyAlignment="1">
      <alignment horizontal="right" vertical="center"/>
    </xf>
    <xf numFmtId="9" fontId="22" fillId="2" borderId="0" xfId="1" applyFont="1" applyFill="1" applyBorder="1" applyAlignment="1">
      <alignment vertical="center"/>
    </xf>
    <xf numFmtId="2" fontId="22" fillId="2" borderId="0" xfId="0" applyNumberFormat="1" applyFont="1" applyFill="1" applyAlignment="1">
      <alignment vertical="center"/>
    </xf>
    <xf numFmtId="165" fontId="22" fillId="2" borderId="0" xfId="0" applyNumberFormat="1" applyFont="1" applyFill="1" applyAlignment="1">
      <alignment vertical="center"/>
    </xf>
    <xf numFmtId="165" fontId="22" fillId="2" borderId="5" xfId="0" applyNumberFormat="1" applyFont="1" applyFill="1" applyBorder="1" applyAlignment="1">
      <alignment vertical="center"/>
    </xf>
    <xf numFmtId="0" fontId="0" fillId="3" borderId="0" xfId="0" applyFill="1" applyAlignment="1">
      <alignment horizontal="center"/>
    </xf>
    <xf numFmtId="11" fontId="22" fillId="2" borderId="0" xfId="0" applyNumberFormat="1" applyFont="1" applyFill="1" applyAlignment="1">
      <alignment horizontal="center" vertical="center"/>
    </xf>
    <xf numFmtId="2" fontId="2" fillId="4" borderId="2" xfId="0" applyNumberFormat="1" applyFont="1" applyFill="1" applyBorder="1" applyProtection="1">
      <protection hidden="1"/>
    </xf>
    <xf numFmtId="2" fontId="2" fillId="4" borderId="3" xfId="0" applyNumberFormat="1" applyFont="1" applyFill="1" applyBorder="1" applyProtection="1">
      <protection hidden="1"/>
    </xf>
    <xf numFmtId="2" fontId="2" fillId="4" borderId="7" xfId="0" applyNumberFormat="1" applyFont="1" applyFill="1" applyBorder="1" applyProtection="1">
      <protection hidden="1"/>
    </xf>
    <xf numFmtId="2" fontId="2" fillId="4" borderId="8" xfId="0" applyNumberFormat="1" applyFont="1" applyFill="1" applyBorder="1" applyProtection="1">
      <protection hidden="1"/>
    </xf>
    <xf numFmtId="0" fontId="4" fillId="3" borderId="0" xfId="0" applyFont="1" applyFill="1" applyProtection="1">
      <protection hidden="1"/>
    </xf>
    <xf numFmtId="9" fontId="4" fillId="3" borderId="0" xfId="0" applyNumberFormat="1" applyFont="1" applyFill="1" applyProtection="1">
      <protection hidden="1"/>
    </xf>
    <xf numFmtId="11" fontId="4" fillId="3" borderId="0" xfId="0" applyNumberFormat="1" applyFont="1" applyFill="1" applyProtection="1">
      <protection hidden="1"/>
    </xf>
    <xf numFmtId="2" fontId="4" fillId="3" borderId="0" xfId="0" applyNumberFormat="1" applyFont="1" applyFill="1" applyProtection="1">
      <protection hidden="1"/>
    </xf>
    <xf numFmtId="0" fontId="3" fillId="3" borderId="0" xfId="0" applyFont="1" applyFill="1" applyAlignment="1" applyProtection="1">
      <alignment horizontal="center"/>
      <protection hidden="1"/>
    </xf>
    <xf numFmtId="0" fontId="5" fillId="3" borderId="0" xfId="0" applyFont="1" applyFill="1" applyProtection="1">
      <protection hidden="1"/>
    </xf>
    <xf numFmtId="0" fontId="4" fillId="3" borderId="4" xfId="0" applyFont="1" applyFill="1" applyBorder="1" applyProtection="1">
      <protection hidden="1"/>
    </xf>
    <xf numFmtId="0" fontId="4" fillId="3" borderId="0" xfId="0" applyFont="1" applyFill="1" applyAlignment="1" applyProtection="1">
      <alignment horizontal="center"/>
      <protection hidden="1"/>
    </xf>
    <xf numFmtId="2" fontId="4" fillId="3" borderId="5" xfId="0" applyNumberFormat="1" applyFont="1" applyFill="1" applyBorder="1" applyProtection="1">
      <protection hidden="1"/>
    </xf>
    <xf numFmtId="0" fontId="4" fillId="3" borderId="6" xfId="0" applyFont="1" applyFill="1" applyBorder="1" applyProtection="1">
      <protection hidden="1"/>
    </xf>
    <xf numFmtId="2" fontId="0" fillId="4" borderId="7" xfId="0" applyNumberFormat="1" applyFill="1" applyBorder="1" applyProtection="1">
      <protection hidden="1"/>
    </xf>
    <xf numFmtId="2" fontId="0" fillId="4" borderId="8" xfId="0" applyNumberFormat="1" applyFill="1" applyBorder="1" applyProtection="1">
      <protection hidden="1"/>
    </xf>
    <xf numFmtId="10" fontId="4" fillId="3" borderId="0" xfId="1" applyNumberFormat="1" applyFont="1" applyFill="1" applyProtection="1">
      <protection hidden="1"/>
    </xf>
    <xf numFmtId="2" fontId="0" fillId="4" borderId="0" xfId="0" applyNumberFormat="1" applyFill="1" applyProtection="1">
      <protection hidden="1"/>
    </xf>
    <xf numFmtId="2" fontId="0" fillId="4" borderId="5" xfId="0" applyNumberFormat="1" applyFill="1" applyBorder="1" applyProtection="1">
      <protection hidden="1"/>
    </xf>
    <xf numFmtId="2" fontId="4" fillId="3" borderId="6" xfId="0" applyNumberFormat="1" applyFont="1" applyFill="1" applyBorder="1" applyProtection="1">
      <protection hidden="1"/>
    </xf>
    <xf numFmtId="166" fontId="4" fillId="3" borderId="7" xfId="0" applyNumberFormat="1" applyFont="1" applyFill="1" applyBorder="1" applyProtection="1">
      <protection hidden="1"/>
    </xf>
    <xf numFmtId="0" fontId="24" fillId="3" borderId="0" xfId="0" applyFont="1" applyFill="1" applyAlignment="1" applyProtection="1">
      <alignment horizontal="center" vertical="center" wrapText="1"/>
      <protection hidden="1"/>
    </xf>
    <xf numFmtId="11" fontId="24" fillId="3" borderId="0" xfId="0" applyNumberFormat="1" applyFont="1" applyFill="1" applyAlignment="1" applyProtection="1">
      <alignment horizontal="center" vertical="center" wrapText="1"/>
      <protection hidden="1"/>
    </xf>
    <xf numFmtId="0" fontId="0" fillId="2" borderId="0" xfId="0" applyFill="1" applyAlignment="1" applyProtection="1">
      <alignment horizontal="center"/>
      <protection hidden="1"/>
    </xf>
    <xf numFmtId="0" fontId="2" fillId="4" borderId="0" xfId="0" applyFont="1" applyFill="1" applyAlignment="1" applyProtection="1">
      <alignment horizontal="center"/>
      <protection hidden="1"/>
    </xf>
    <xf numFmtId="2" fontId="4" fillId="3" borderId="9" xfId="0" applyNumberFormat="1" applyFont="1" applyFill="1" applyBorder="1" applyAlignment="1" applyProtection="1">
      <alignment horizontal="center"/>
      <protection hidden="1"/>
    </xf>
    <xf numFmtId="2" fontId="4" fillId="3" borderId="12" xfId="0" applyNumberFormat="1" applyFont="1" applyFill="1" applyBorder="1" applyAlignment="1" applyProtection="1">
      <alignment horizontal="center"/>
      <protection hidden="1"/>
    </xf>
    <xf numFmtId="165" fontId="4" fillId="3" borderId="5" xfId="0" applyNumberFormat="1" applyFont="1" applyFill="1" applyBorder="1" applyProtection="1">
      <protection hidden="1"/>
    </xf>
    <xf numFmtId="0" fontId="4" fillId="3" borderId="11" xfId="0" applyFont="1" applyFill="1" applyBorder="1" applyProtection="1">
      <protection hidden="1"/>
    </xf>
    <xf numFmtId="2" fontId="4" fillId="3" borderId="9" xfId="0" applyNumberFormat="1" applyFont="1" applyFill="1" applyBorder="1" applyProtection="1">
      <protection hidden="1"/>
    </xf>
    <xf numFmtId="2" fontId="4" fillId="3" borderId="12" xfId="0" applyNumberFormat="1" applyFont="1" applyFill="1" applyBorder="1" applyProtection="1">
      <protection hidden="1"/>
    </xf>
    <xf numFmtId="0" fontId="4" fillId="3" borderId="13" xfId="0" applyFont="1" applyFill="1" applyBorder="1" applyProtection="1">
      <protection hidden="1"/>
    </xf>
    <xf numFmtId="0" fontId="4" fillId="3" borderId="4" xfId="0" applyFont="1" applyFill="1" applyBorder="1" applyAlignment="1" applyProtection="1">
      <alignment horizontal="center"/>
      <protection hidden="1"/>
    </xf>
    <xf numFmtId="2" fontId="24" fillId="3" borderId="0" xfId="0" applyNumberFormat="1" applyFont="1" applyFill="1" applyAlignment="1" applyProtection="1">
      <alignment horizontal="right"/>
      <protection hidden="1"/>
    </xf>
    <xf numFmtId="2" fontId="24" fillId="3" borderId="5" xfId="0" applyNumberFormat="1" applyFont="1" applyFill="1" applyBorder="1" applyAlignment="1" applyProtection="1">
      <alignment horizontal="right"/>
      <protection hidden="1"/>
    </xf>
    <xf numFmtId="2" fontId="24" fillId="3" borderId="4" xfId="0" applyNumberFormat="1" applyFont="1" applyFill="1" applyBorder="1" applyProtection="1">
      <protection hidden="1"/>
    </xf>
    <xf numFmtId="166" fontId="24" fillId="3" borderId="0" xfId="0" applyNumberFormat="1" applyFont="1" applyFill="1" applyProtection="1">
      <protection hidden="1"/>
    </xf>
    <xf numFmtId="2" fontId="24" fillId="3" borderId="0" xfId="0" applyNumberFormat="1" applyFont="1" applyFill="1" applyProtection="1">
      <protection hidden="1"/>
    </xf>
    <xf numFmtId="2" fontId="24" fillId="3" borderId="5" xfId="0" applyNumberFormat="1" applyFont="1" applyFill="1" applyBorder="1" applyProtection="1">
      <protection hidden="1"/>
    </xf>
    <xf numFmtId="2" fontId="24" fillId="3" borderId="6" xfId="0" applyNumberFormat="1" applyFont="1" applyFill="1" applyBorder="1" applyProtection="1">
      <protection hidden="1"/>
    </xf>
    <xf numFmtId="166" fontId="24" fillId="3" borderId="7" xfId="0" applyNumberFormat="1" applyFont="1" applyFill="1" applyBorder="1" applyProtection="1">
      <protection hidden="1"/>
    </xf>
    <xf numFmtId="2" fontId="24" fillId="3" borderId="7" xfId="0" applyNumberFormat="1" applyFont="1" applyFill="1" applyBorder="1" applyProtection="1">
      <protection hidden="1"/>
    </xf>
    <xf numFmtId="2" fontId="24" fillId="3" borderId="8" xfId="0" applyNumberFormat="1" applyFont="1" applyFill="1" applyBorder="1" applyProtection="1">
      <protection hidden="1"/>
    </xf>
    <xf numFmtId="165" fontId="24" fillId="3" borderId="0" xfId="0" applyNumberFormat="1" applyFont="1" applyFill="1" applyProtection="1">
      <protection hidden="1"/>
    </xf>
    <xf numFmtId="165" fontId="24" fillId="3" borderId="5" xfId="0" applyNumberFormat="1" applyFont="1" applyFill="1" applyBorder="1" applyProtection="1">
      <protection hidden="1"/>
    </xf>
    <xf numFmtId="165" fontId="24" fillId="3" borderId="7" xfId="0" applyNumberFormat="1" applyFont="1" applyFill="1" applyBorder="1" applyProtection="1">
      <protection hidden="1"/>
    </xf>
    <xf numFmtId="165" fontId="24" fillId="3" borderId="8" xfId="0" applyNumberFormat="1" applyFont="1" applyFill="1" applyBorder="1" applyProtection="1">
      <protection hidden="1"/>
    </xf>
    <xf numFmtId="0" fontId="4" fillId="3" borderId="0" xfId="0" applyFont="1" applyFill="1" applyAlignment="1" applyProtection="1">
      <alignment vertical="center"/>
      <protection hidden="1"/>
    </xf>
    <xf numFmtId="165" fontId="2" fillId="4" borderId="7" xfId="0" applyNumberFormat="1" applyFont="1" applyFill="1" applyBorder="1" applyProtection="1">
      <protection hidden="1"/>
    </xf>
    <xf numFmtId="165" fontId="2" fillId="4" borderId="8" xfId="0" applyNumberFormat="1" applyFont="1" applyFill="1" applyBorder="1" applyProtection="1">
      <protection hidden="1"/>
    </xf>
    <xf numFmtId="2" fontId="4" fillId="3" borderId="7" xfId="0" applyNumberFormat="1" applyFont="1" applyFill="1" applyBorder="1" applyProtection="1">
      <protection hidden="1"/>
    </xf>
    <xf numFmtId="2" fontId="4" fillId="3" borderId="8" xfId="0" applyNumberFormat="1" applyFont="1" applyFill="1" applyBorder="1" applyProtection="1">
      <protection hidden="1"/>
    </xf>
    <xf numFmtId="2" fontId="4" fillId="3" borderId="0" xfId="0" applyNumberFormat="1" applyFont="1" applyFill="1" applyAlignment="1" applyProtection="1">
      <alignment horizontal="center"/>
      <protection hidden="1"/>
    </xf>
    <xf numFmtId="2" fontId="4" fillId="3" borderId="5" xfId="0" applyNumberFormat="1" applyFont="1" applyFill="1" applyBorder="1" applyAlignment="1" applyProtection="1">
      <alignment horizontal="center"/>
      <protection hidden="1"/>
    </xf>
    <xf numFmtId="2" fontId="4" fillId="3" borderId="4" xfId="0" applyNumberFormat="1" applyFont="1" applyFill="1" applyBorder="1" applyProtection="1">
      <protection hidden="1"/>
    </xf>
    <xf numFmtId="0" fontId="22" fillId="2" borderId="0" xfId="0" applyFont="1" applyFill="1" applyAlignment="1">
      <alignment horizontal="center" vertical="center"/>
    </xf>
    <xf numFmtId="0" fontId="4" fillId="3" borderId="15" xfId="0" applyFont="1" applyFill="1" applyBorder="1" applyProtection="1">
      <protection hidden="1"/>
    </xf>
    <xf numFmtId="0" fontId="4" fillId="3" borderId="17" xfId="0" applyFont="1" applyFill="1" applyBorder="1" applyProtection="1">
      <protection hidden="1"/>
    </xf>
    <xf numFmtId="0" fontId="6" fillId="3" borderId="17" xfId="0" applyFont="1" applyFill="1" applyBorder="1" applyProtection="1">
      <protection hidden="1"/>
    </xf>
    <xf numFmtId="0" fontId="26" fillId="3" borderId="17" xfId="0" applyFont="1" applyFill="1" applyBorder="1" applyProtection="1">
      <protection hidden="1"/>
    </xf>
    <xf numFmtId="0" fontId="4" fillId="3" borderId="19" xfId="0" applyFont="1" applyFill="1" applyBorder="1" applyProtection="1">
      <protection hidden="1"/>
    </xf>
    <xf numFmtId="168" fontId="4" fillId="3" borderId="0" xfId="0" applyNumberFormat="1" applyFont="1" applyFill="1" applyProtection="1">
      <protection hidden="1"/>
    </xf>
    <xf numFmtId="168" fontId="4" fillId="3" borderId="18" xfId="0" applyNumberFormat="1" applyFont="1" applyFill="1" applyBorder="1" applyProtection="1">
      <protection hidden="1"/>
    </xf>
    <xf numFmtId="169" fontId="4" fillId="3" borderId="0" xfId="0" applyNumberFormat="1" applyFont="1" applyFill="1" applyProtection="1">
      <protection hidden="1"/>
    </xf>
    <xf numFmtId="169" fontId="4" fillId="3" borderId="18" xfId="0" applyNumberFormat="1" applyFont="1" applyFill="1" applyBorder="1" applyProtection="1">
      <protection hidden="1"/>
    </xf>
    <xf numFmtId="168" fontId="4" fillId="3" borderId="10" xfId="0" applyNumberFormat="1" applyFont="1" applyFill="1" applyBorder="1" applyProtection="1">
      <protection hidden="1"/>
    </xf>
    <xf numFmtId="168" fontId="4" fillId="3" borderId="16" xfId="0" applyNumberFormat="1" applyFont="1" applyFill="1" applyBorder="1" applyProtection="1">
      <protection hidden="1"/>
    </xf>
    <xf numFmtId="2" fontId="4" fillId="6" borderId="0" xfId="0" applyNumberFormat="1" applyFont="1" applyFill="1" applyProtection="1">
      <protection hidden="1"/>
    </xf>
    <xf numFmtId="2" fontId="4" fillId="3" borderId="10" xfId="0" applyNumberFormat="1" applyFont="1" applyFill="1" applyBorder="1" applyAlignment="1" applyProtection="1">
      <alignment horizontal="right"/>
      <protection hidden="1"/>
    </xf>
    <xf numFmtId="2" fontId="4" fillId="3" borderId="9" xfId="0" applyNumberFormat="1" applyFont="1" applyFill="1" applyBorder="1" applyAlignment="1" applyProtection="1">
      <alignment horizontal="right"/>
      <protection hidden="1"/>
    </xf>
    <xf numFmtId="2" fontId="4" fillId="3" borderId="20" xfId="0" applyNumberFormat="1" applyFont="1" applyFill="1" applyBorder="1" applyAlignment="1" applyProtection="1">
      <alignment horizontal="right"/>
      <protection hidden="1"/>
    </xf>
    <xf numFmtId="165" fontId="4" fillId="3" borderId="9" xfId="0" applyNumberFormat="1" applyFont="1" applyFill="1" applyBorder="1" applyAlignment="1" applyProtection="1">
      <alignment horizontal="right"/>
      <protection hidden="1"/>
    </xf>
    <xf numFmtId="0" fontId="4" fillId="7" borderId="0" xfId="0" applyFont="1" applyFill="1" applyProtection="1">
      <protection hidden="1"/>
    </xf>
    <xf numFmtId="0" fontId="4" fillId="3" borderId="21" xfId="0" applyFont="1" applyFill="1" applyBorder="1" applyProtection="1">
      <protection hidden="1"/>
    </xf>
    <xf numFmtId="0" fontId="31" fillId="3" borderId="0" xfId="0" applyFont="1" applyFill="1" applyAlignment="1" applyProtection="1">
      <alignment horizontal="right" vertical="center"/>
      <protection hidden="1"/>
    </xf>
    <xf numFmtId="0" fontId="4" fillId="3" borderId="0" xfId="0" applyFont="1" applyFill="1" applyAlignment="1" applyProtection="1">
      <alignment vertical="center" textRotation="90"/>
      <protection hidden="1"/>
    </xf>
    <xf numFmtId="0" fontId="4" fillId="3" borderId="22" xfId="0" applyFont="1" applyFill="1" applyBorder="1" applyAlignment="1">
      <alignment horizontal="center" vertical="center"/>
    </xf>
    <xf numFmtId="10" fontId="4" fillId="3" borderId="0" xfId="1" applyNumberFormat="1" applyFont="1" applyFill="1" applyBorder="1" applyProtection="1">
      <protection hidden="1"/>
    </xf>
    <xf numFmtId="2" fontId="4" fillId="3" borderId="18" xfId="0" applyNumberFormat="1" applyFont="1" applyFill="1" applyBorder="1" applyAlignment="1" applyProtection="1">
      <alignment horizontal="right"/>
      <protection hidden="1"/>
    </xf>
    <xf numFmtId="171" fontId="4" fillId="3" borderId="0" xfId="0" applyNumberFormat="1" applyFont="1" applyFill="1" applyAlignment="1" applyProtection="1">
      <alignment horizontal="right"/>
      <protection hidden="1"/>
    </xf>
    <xf numFmtId="2" fontId="4" fillId="3" borderId="0" xfId="0" applyNumberFormat="1" applyFont="1" applyFill="1" applyAlignment="1" applyProtection="1">
      <alignment horizontal="right"/>
      <protection hidden="1"/>
    </xf>
    <xf numFmtId="168" fontId="4" fillId="3" borderId="0" xfId="0" applyNumberFormat="1" applyFont="1" applyFill="1" applyAlignment="1" applyProtection="1">
      <alignment horizontal="right"/>
      <protection hidden="1"/>
    </xf>
    <xf numFmtId="2" fontId="4" fillId="6" borderId="0" xfId="0" applyNumberFormat="1" applyFont="1" applyFill="1" applyAlignment="1" applyProtection="1">
      <alignment horizontal="right"/>
      <protection hidden="1"/>
    </xf>
    <xf numFmtId="0" fontId="26" fillId="3" borderId="19" xfId="0" applyFont="1" applyFill="1" applyBorder="1" applyProtection="1">
      <protection hidden="1"/>
    </xf>
    <xf numFmtId="0" fontId="33" fillId="3" borderId="17" xfId="0" applyFont="1" applyFill="1" applyBorder="1" applyProtection="1">
      <protection hidden="1"/>
    </xf>
    <xf numFmtId="169" fontId="4" fillId="3" borderId="0" xfId="0" applyNumberFormat="1" applyFont="1" applyFill="1" applyAlignment="1" applyProtection="1">
      <alignment horizontal="right"/>
      <protection hidden="1"/>
    </xf>
    <xf numFmtId="0" fontId="3" fillId="3" borderId="22" xfId="0" applyFont="1" applyFill="1" applyBorder="1" applyAlignment="1">
      <alignment horizontal="center" vertical="center" wrapText="1"/>
    </xf>
    <xf numFmtId="168" fontId="4" fillId="3" borderId="10" xfId="0" applyNumberFormat="1" applyFont="1" applyFill="1" applyBorder="1" applyAlignment="1" applyProtection="1">
      <alignment horizontal="right"/>
      <protection hidden="1"/>
    </xf>
    <xf numFmtId="2" fontId="4" fillId="3" borderId="14" xfId="0" applyNumberFormat="1" applyFont="1" applyFill="1" applyBorder="1" applyAlignment="1" applyProtection="1">
      <alignment horizontal="right"/>
      <protection hidden="1"/>
    </xf>
    <xf numFmtId="165" fontId="4" fillId="3" borderId="12" xfId="0" applyNumberFormat="1" applyFont="1" applyFill="1" applyBorder="1" applyAlignment="1" applyProtection="1">
      <alignment horizontal="right"/>
      <protection hidden="1"/>
    </xf>
    <xf numFmtId="168" fontId="4" fillId="3" borderId="5" xfId="0" applyNumberFormat="1" applyFont="1" applyFill="1" applyBorder="1" applyProtection="1">
      <protection hidden="1"/>
    </xf>
    <xf numFmtId="0" fontId="4" fillId="6" borderId="4" xfId="0" applyFont="1" applyFill="1" applyBorder="1" applyProtection="1">
      <protection hidden="1"/>
    </xf>
    <xf numFmtId="2" fontId="4" fillId="6" borderId="5" xfId="0" applyNumberFormat="1" applyFont="1" applyFill="1" applyBorder="1" applyProtection="1">
      <protection hidden="1"/>
    </xf>
    <xf numFmtId="2" fontId="4" fillId="6" borderId="5" xfId="0" applyNumberFormat="1" applyFont="1" applyFill="1" applyBorder="1" applyAlignment="1" applyProtection="1">
      <alignment horizontal="right"/>
      <protection hidden="1"/>
    </xf>
    <xf numFmtId="10" fontId="4" fillId="3" borderId="5" xfId="1" applyNumberFormat="1" applyFont="1" applyFill="1" applyBorder="1" applyProtection="1">
      <protection hidden="1"/>
    </xf>
    <xf numFmtId="168" fontId="4" fillId="3" borderId="14" xfId="0" applyNumberFormat="1" applyFont="1" applyFill="1" applyBorder="1" applyProtection="1">
      <protection hidden="1"/>
    </xf>
    <xf numFmtId="0" fontId="6" fillId="3" borderId="4" xfId="0" applyFont="1" applyFill="1" applyBorder="1" applyProtection="1">
      <protection hidden="1"/>
    </xf>
    <xf numFmtId="0" fontId="26" fillId="3" borderId="4" xfId="0" applyFont="1" applyFill="1" applyBorder="1" applyProtection="1">
      <protection hidden="1"/>
    </xf>
    <xf numFmtId="2" fontId="4" fillId="3" borderId="5" xfId="0" applyNumberFormat="1" applyFont="1" applyFill="1" applyBorder="1" applyAlignment="1" applyProtection="1">
      <alignment horizontal="right"/>
      <protection hidden="1"/>
    </xf>
    <xf numFmtId="0" fontId="26" fillId="3" borderId="11" xfId="0" applyFont="1" applyFill="1" applyBorder="1" applyProtection="1">
      <protection hidden="1"/>
    </xf>
    <xf numFmtId="2" fontId="4" fillId="3" borderId="12" xfId="0" applyNumberFormat="1" applyFont="1" applyFill="1" applyBorder="1" applyAlignment="1" applyProtection="1">
      <alignment horizontal="right"/>
      <protection hidden="1"/>
    </xf>
    <xf numFmtId="168" fontId="4" fillId="3" borderId="14" xfId="0" applyNumberFormat="1" applyFont="1" applyFill="1" applyBorder="1" applyAlignment="1" applyProtection="1">
      <alignment horizontal="right"/>
      <protection hidden="1"/>
    </xf>
    <xf numFmtId="168" fontId="4" fillId="3" borderId="5" xfId="0" applyNumberFormat="1" applyFont="1" applyFill="1" applyBorder="1" applyAlignment="1" applyProtection="1">
      <alignment horizontal="right"/>
      <protection hidden="1"/>
    </xf>
    <xf numFmtId="0" fontId="33" fillId="3" borderId="4" xfId="0" applyFont="1" applyFill="1" applyBorder="1" applyProtection="1">
      <protection hidden="1"/>
    </xf>
    <xf numFmtId="169" fontId="4" fillId="3" borderId="5" xfId="0" applyNumberFormat="1" applyFont="1" applyFill="1" applyBorder="1" applyAlignment="1" applyProtection="1">
      <alignment horizontal="right"/>
      <protection hidden="1"/>
    </xf>
    <xf numFmtId="169" fontId="4" fillId="3" borderId="5" xfId="0" applyNumberFormat="1" applyFont="1" applyFill="1" applyBorder="1" applyProtection="1">
      <protection hidden="1"/>
    </xf>
    <xf numFmtId="168" fontId="4" fillId="3" borderId="7" xfId="0" applyNumberFormat="1" applyFont="1" applyFill="1" applyBorder="1" applyProtection="1">
      <protection hidden="1"/>
    </xf>
    <xf numFmtId="168" fontId="4" fillId="3" borderId="8" xfId="0" applyNumberFormat="1" applyFont="1" applyFill="1" applyBorder="1" applyProtection="1">
      <protection hidden="1"/>
    </xf>
    <xf numFmtId="0" fontId="22" fillId="2" borderId="4" xfId="0" applyFont="1" applyFill="1" applyBorder="1" applyAlignment="1">
      <alignment horizontal="right" vertical="center"/>
    </xf>
    <xf numFmtId="0" fontId="4" fillId="3" borderId="0" xfId="0" applyFont="1" applyFill="1" applyAlignment="1" applyProtection="1">
      <alignment horizontal="right"/>
      <protection hidden="1"/>
    </xf>
    <xf numFmtId="0" fontId="4" fillId="3" borderId="0" xfId="0" applyFont="1" applyFill="1" applyAlignment="1" applyProtection="1">
      <alignment horizontal="center" vertical="center" wrapText="1"/>
      <protection hidden="1"/>
    </xf>
    <xf numFmtId="0" fontId="4" fillId="3" borderId="0" xfId="0" applyFont="1" applyFill="1" applyAlignment="1" applyProtection="1">
      <alignment horizontal="center" wrapText="1"/>
      <protection hidden="1"/>
    </xf>
    <xf numFmtId="166" fontId="4" fillId="3" borderId="0" xfId="0" applyNumberFormat="1" applyFont="1" applyFill="1" applyProtection="1">
      <protection hidden="1"/>
    </xf>
    <xf numFmtId="2" fontId="3" fillId="3" borderId="6" xfId="0" applyNumberFormat="1" applyFont="1" applyFill="1" applyBorder="1" applyProtection="1">
      <protection hidden="1"/>
    </xf>
    <xf numFmtId="0" fontId="3" fillId="3" borderId="0" xfId="0" applyFont="1" applyFill="1" applyProtection="1">
      <protection hidden="1"/>
    </xf>
    <xf numFmtId="166" fontId="3" fillId="3" borderId="7" xfId="1" applyNumberFormat="1" applyFont="1" applyFill="1" applyBorder="1" applyProtection="1">
      <protection hidden="1"/>
    </xf>
    <xf numFmtId="165" fontId="4" fillId="3" borderId="0" xfId="0" applyNumberFormat="1" applyFont="1" applyFill="1" applyProtection="1">
      <protection hidden="1"/>
    </xf>
    <xf numFmtId="165" fontId="4" fillId="3" borderId="7" xfId="0" applyNumberFormat="1" applyFont="1" applyFill="1" applyBorder="1" applyProtection="1">
      <protection hidden="1"/>
    </xf>
    <xf numFmtId="165" fontId="4" fillId="3" borderId="8" xfId="0" applyNumberFormat="1" applyFont="1" applyFill="1" applyBorder="1" applyProtection="1">
      <protection hidden="1"/>
    </xf>
    <xf numFmtId="165" fontId="3" fillId="3" borderId="2" xfId="0" applyNumberFormat="1" applyFont="1" applyFill="1" applyBorder="1" applyProtection="1">
      <protection hidden="1"/>
    </xf>
    <xf numFmtId="165" fontId="3" fillId="3" borderId="3" xfId="0" applyNumberFormat="1" applyFont="1" applyFill="1" applyBorder="1" applyProtection="1">
      <protection hidden="1"/>
    </xf>
    <xf numFmtId="165" fontId="3" fillId="3" borderId="7" xfId="0" applyNumberFormat="1" applyFont="1" applyFill="1" applyBorder="1" applyProtection="1">
      <protection hidden="1"/>
    </xf>
    <xf numFmtId="165" fontId="3" fillId="3" borderId="8" xfId="0" applyNumberFormat="1" applyFont="1" applyFill="1" applyBorder="1" applyProtection="1">
      <protection hidden="1"/>
    </xf>
    <xf numFmtId="2" fontId="22" fillId="4" borderId="0" xfId="0" applyNumberFormat="1" applyFont="1" applyFill="1" applyProtection="1">
      <protection hidden="1"/>
    </xf>
    <xf numFmtId="2" fontId="22" fillId="4" borderId="5" xfId="0" applyNumberFormat="1" applyFont="1" applyFill="1" applyBorder="1" applyProtection="1">
      <protection hidden="1"/>
    </xf>
    <xf numFmtId="165" fontId="22" fillId="4" borderId="0" xfId="0" applyNumberFormat="1" applyFont="1" applyFill="1" applyProtection="1">
      <protection hidden="1"/>
    </xf>
    <xf numFmtId="165" fontId="22" fillId="4" borderId="5" xfId="0" applyNumberFormat="1" applyFont="1" applyFill="1" applyBorder="1" applyProtection="1">
      <protection hidden="1"/>
    </xf>
    <xf numFmtId="0" fontId="4" fillId="3" borderId="0" xfId="0" quotePrefix="1" applyFont="1" applyFill="1" applyAlignment="1" applyProtection="1">
      <alignment horizontal="center" vertical="center" wrapText="1"/>
      <protection hidden="1"/>
    </xf>
    <xf numFmtId="0" fontId="22" fillId="2" borderId="0" xfId="0" applyFont="1" applyFill="1" applyAlignment="1" applyProtection="1">
      <alignment horizontal="center" vertical="center" wrapText="1"/>
      <protection hidden="1"/>
    </xf>
    <xf numFmtId="0" fontId="4" fillId="3" borderId="15" xfId="0" applyFont="1" applyFill="1" applyBorder="1" applyAlignment="1" applyProtection="1">
      <alignment horizontal="left"/>
      <protection hidden="1"/>
    </xf>
    <xf numFmtId="0" fontId="4" fillId="3" borderId="19" xfId="0" applyFont="1" applyFill="1" applyBorder="1" applyAlignment="1" applyProtection="1">
      <alignment horizontal="left"/>
      <protection hidden="1"/>
    </xf>
    <xf numFmtId="0" fontId="22" fillId="2" borderId="0" xfId="0" quotePrefix="1" applyFont="1" applyFill="1" applyAlignment="1" applyProtection="1">
      <alignment horizontal="center" vertical="center" wrapText="1"/>
      <protection hidden="1"/>
    </xf>
    <xf numFmtId="169" fontId="4" fillId="3" borderId="10" xfId="0" applyNumberFormat="1" applyFont="1" applyFill="1" applyBorder="1" applyAlignment="1" applyProtection="1">
      <alignment horizontal="right"/>
      <protection hidden="1"/>
    </xf>
    <xf numFmtId="169" fontId="4" fillId="3" borderId="16" xfId="0" applyNumberFormat="1" applyFont="1" applyFill="1" applyBorder="1" applyAlignment="1" applyProtection="1">
      <alignment horizontal="right"/>
      <protection hidden="1"/>
    </xf>
    <xf numFmtId="169" fontId="4" fillId="3" borderId="9" xfId="0" applyNumberFormat="1" applyFont="1" applyFill="1" applyBorder="1" applyAlignment="1" applyProtection="1">
      <alignment horizontal="right"/>
      <protection hidden="1"/>
    </xf>
    <xf numFmtId="169" fontId="4" fillId="3" borderId="20" xfId="0" applyNumberFormat="1" applyFont="1" applyFill="1" applyBorder="1" applyAlignment="1" applyProtection="1">
      <alignment horizontal="right"/>
      <protection hidden="1"/>
    </xf>
    <xf numFmtId="169" fontId="4" fillId="6" borderId="0" xfId="0" applyNumberFormat="1" applyFont="1" applyFill="1" applyProtection="1">
      <protection hidden="1"/>
    </xf>
    <xf numFmtId="169" fontId="4" fillId="6" borderId="18" xfId="0" applyNumberFormat="1" applyFont="1" applyFill="1" applyBorder="1" applyProtection="1">
      <protection hidden="1"/>
    </xf>
    <xf numFmtId="169" fontId="4" fillId="6" borderId="0" xfId="0" applyNumberFormat="1" applyFont="1" applyFill="1" applyAlignment="1" applyProtection="1">
      <alignment horizontal="right"/>
      <protection hidden="1"/>
    </xf>
    <xf numFmtId="169" fontId="4" fillId="6" borderId="18" xfId="0" applyNumberFormat="1" applyFont="1" applyFill="1" applyBorder="1" applyAlignment="1" applyProtection="1">
      <alignment horizontal="right"/>
      <protection hidden="1"/>
    </xf>
    <xf numFmtId="169" fontId="4" fillId="3" borderId="0" xfId="1" applyNumberFormat="1" applyFont="1" applyFill="1" applyBorder="1" applyProtection="1">
      <protection hidden="1"/>
    </xf>
    <xf numFmtId="169" fontId="4" fillId="3" borderId="18" xfId="1" applyNumberFormat="1" applyFont="1" applyFill="1" applyBorder="1" applyProtection="1">
      <protection hidden="1"/>
    </xf>
    <xf numFmtId="0" fontId="4" fillId="3" borderId="13" xfId="0" applyFont="1" applyFill="1" applyBorder="1" applyAlignment="1" applyProtection="1">
      <alignment horizontal="left"/>
      <protection hidden="1"/>
    </xf>
    <xf numFmtId="0" fontId="4" fillId="3" borderId="11" xfId="0" applyFont="1" applyFill="1" applyBorder="1" applyAlignment="1" applyProtection="1">
      <alignment horizontal="left"/>
      <protection hidden="1"/>
    </xf>
    <xf numFmtId="0" fontId="4" fillId="7" borderId="9" xfId="0" applyFont="1" applyFill="1" applyBorder="1" applyProtection="1">
      <protection hidden="1"/>
    </xf>
    <xf numFmtId="0" fontId="4" fillId="7" borderId="10" xfId="0" applyFont="1" applyFill="1" applyBorder="1" applyProtection="1">
      <protection hidden="1"/>
    </xf>
    <xf numFmtId="0" fontId="31" fillId="3" borderId="0" xfId="0" applyFont="1" applyFill="1" applyAlignment="1" applyProtection="1">
      <alignment horizontal="left" vertical="center"/>
      <protection hidden="1"/>
    </xf>
    <xf numFmtId="0" fontId="17" fillId="5" borderId="0" xfId="2" applyFont="1" applyFill="1" applyAlignment="1">
      <alignment horizontal="left"/>
    </xf>
    <xf numFmtId="0" fontId="4" fillId="3" borderId="4" xfId="3" applyFont="1" applyFill="1" applyBorder="1" applyAlignment="1">
      <alignment horizontal="left" vertical="top" wrapText="1"/>
    </xf>
    <xf numFmtId="0" fontId="4" fillId="3" borderId="0" xfId="3" applyFont="1" applyFill="1" applyAlignment="1">
      <alignment horizontal="left" vertical="top" wrapText="1"/>
    </xf>
    <xf numFmtId="0" fontId="4" fillId="3" borderId="5" xfId="3" applyFont="1" applyFill="1" applyBorder="1" applyAlignment="1">
      <alignment horizontal="left" vertical="top" wrapText="1"/>
    </xf>
    <xf numFmtId="0" fontId="15" fillId="3" borderId="4" xfId="3" applyFont="1" applyFill="1" applyBorder="1" applyAlignment="1">
      <alignment horizontal="left"/>
    </xf>
    <xf numFmtId="0" fontId="15" fillId="3" borderId="0" xfId="3" applyFont="1" applyFill="1" applyAlignment="1">
      <alignment horizontal="left"/>
    </xf>
    <xf numFmtId="0" fontId="15" fillId="3" borderId="5" xfId="3" applyFont="1" applyFill="1" applyBorder="1" applyAlignment="1">
      <alignment horizontal="left"/>
    </xf>
    <xf numFmtId="0" fontId="4" fillId="3" borderId="4" xfId="3" applyFont="1" applyFill="1" applyBorder="1" applyAlignment="1">
      <alignment horizontal="left"/>
    </xf>
    <xf numFmtId="0" fontId="4" fillId="3" borderId="0" xfId="3" applyFont="1" applyFill="1" applyAlignment="1">
      <alignment horizontal="left"/>
    </xf>
    <xf numFmtId="0" fontId="4" fillId="3" borderId="5" xfId="3" applyFont="1" applyFill="1" applyBorder="1" applyAlignment="1">
      <alignment horizontal="left"/>
    </xf>
    <xf numFmtId="0" fontId="9" fillId="3" borderId="1" xfId="2" applyFont="1" applyFill="1" applyBorder="1" applyAlignment="1">
      <alignment horizontal="center" vertical="center"/>
    </xf>
    <xf numFmtId="0" fontId="9" fillId="3" borderId="2" xfId="2" applyFont="1" applyFill="1" applyBorder="1" applyAlignment="1">
      <alignment horizontal="center" vertical="center"/>
    </xf>
    <xf numFmtId="0" fontId="9" fillId="3" borderId="3" xfId="2" applyFont="1" applyFill="1" applyBorder="1" applyAlignment="1">
      <alignment horizontal="center" vertical="center"/>
    </xf>
    <xf numFmtId="0" fontId="9" fillId="3" borderId="4" xfId="2" applyFont="1" applyFill="1" applyBorder="1" applyAlignment="1">
      <alignment horizontal="center" vertical="center"/>
    </xf>
    <xf numFmtId="0" fontId="9" fillId="3" borderId="0" xfId="2" applyFont="1" applyFill="1" applyAlignment="1">
      <alignment horizontal="center" vertical="center"/>
    </xf>
    <xf numFmtId="0" fontId="9" fillId="3" borderId="5" xfId="2" applyFont="1" applyFill="1" applyBorder="1" applyAlignment="1">
      <alignment horizontal="center" vertical="center"/>
    </xf>
    <xf numFmtId="0" fontId="11" fillId="5" borderId="4" xfId="2" applyFont="1" applyFill="1" applyBorder="1" applyAlignment="1">
      <alignment horizontal="center"/>
    </xf>
    <xf numFmtId="0" fontId="11" fillId="5" borderId="0" xfId="2" applyFont="1" applyFill="1" applyAlignment="1">
      <alignment horizontal="center"/>
    </xf>
    <xf numFmtId="0" fontId="11" fillId="5" borderId="5" xfId="2" applyFont="1" applyFill="1" applyBorder="1" applyAlignment="1">
      <alignment horizontal="center"/>
    </xf>
    <xf numFmtId="0" fontId="12" fillId="3" borderId="0" xfId="2" applyFont="1" applyFill="1" applyAlignment="1">
      <alignment horizontal="center"/>
    </xf>
    <xf numFmtId="0" fontId="12" fillId="3" borderId="5" xfId="2" applyFont="1" applyFill="1" applyBorder="1" applyAlignment="1">
      <alignment horizontal="center"/>
    </xf>
    <xf numFmtId="0" fontId="3" fillId="3" borderId="22" xfId="0" applyFont="1" applyFill="1" applyBorder="1" applyAlignment="1">
      <alignment horizontal="center" vertical="center"/>
    </xf>
    <xf numFmtId="11" fontId="24" fillId="3" borderId="0" xfId="0" applyNumberFormat="1" applyFont="1" applyFill="1" applyAlignment="1" applyProtection="1">
      <alignment horizontal="left" vertical="center" wrapText="1"/>
      <protection hidden="1"/>
    </xf>
    <xf numFmtId="0" fontId="4" fillId="3" borderId="0" xfId="0" applyFont="1" applyFill="1" applyAlignment="1" applyProtection="1">
      <alignment horizontal="right" vertical="center"/>
      <protection hidden="1"/>
    </xf>
    <xf numFmtId="164" fontId="24" fillId="3" borderId="0" xfId="0" applyNumberFormat="1" applyFont="1" applyFill="1" applyAlignment="1" applyProtection="1">
      <alignment horizontal="left"/>
      <protection hidden="1"/>
    </xf>
    <xf numFmtId="1" fontId="24" fillId="3" borderId="0" xfId="0" applyNumberFormat="1" applyFont="1" applyFill="1" applyAlignment="1" applyProtection="1">
      <alignment horizontal="center"/>
      <protection hidden="1"/>
    </xf>
    <xf numFmtId="165" fontId="24" fillId="3" borderId="0" xfId="0" applyNumberFormat="1" applyFont="1" applyFill="1" applyAlignment="1" applyProtection="1">
      <alignment horizontal="center"/>
      <protection hidden="1"/>
    </xf>
    <xf numFmtId="0" fontId="4" fillId="3" borderId="4" xfId="0" applyFont="1" applyFill="1" applyBorder="1" applyAlignment="1" applyProtection="1">
      <alignment horizontal="right"/>
      <protection hidden="1"/>
    </xf>
    <xf numFmtId="0" fontId="4" fillId="3" borderId="0" xfId="0" applyFont="1" applyFill="1" applyAlignment="1" applyProtection="1">
      <alignment horizontal="right"/>
      <protection hidden="1"/>
    </xf>
    <xf numFmtId="0" fontId="3" fillId="3" borderId="1" xfId="0" applyFont="1" applyFill="1" applyBorder="1" applyAlignment="1" applyProtection="1">
      <alignment horizontal="center"/>
      <protection hidden="1"/>
    </xf>
    <xf numFmtId="0" fontId="3" fillId="3" borderId="2" xfId="0" applyFont="1" applyFill="1" applyBorder="1" applyAlignment="1" applyProtection="1">
      <alignment horizontal="center"/>
      <protection hidden="1"/>
    </xf>
    <xf numFmtId="0" fontId="3" fillId="3" borderId="3" xfId="0" applyFont="1" applyFill="1" applyBorder="1" applyAlignment="1" applyProtection="1">
      <alignment horizontal="center"/>
      <protection hidden="1"/>
    </xf>
    <xf numFmtId="0" fontId="4" fillId="3" borderId="10" xfId="0" applyFont="1" applyFill="1" applyBorder="1" applyAlignment="1" applyProtection="1">
      <alignment horizontal="center" vertical="center"/>
      <protection hidden="1"/>
    </xf>
    <xf numFmtId="0" fontId="4" fillId="3" borderId="0" xfId="0" applyFont="1" applyFill="1" applyAlignment="1" applyProtection="1">
      <alignment horizontal="center" vertical="center"/>
      <protection hidden="1"/>
    </xf>
    <xf numFmtId="0" fontId="4" fillId="3" borderId="9" xfId="0" applyFont="1" applyFill="1" applyBorder="1" applyAlignment="1" applyProtection="1">
      <alignment horizontal="center" vertical="center"/>
      <protection hidden="1"/>
    </xf>
    <xf numFmtId="0" fontId="4" fillId="3" borderId="7" xfId="0" applyFont="1" applyFill="1" applyBorder="1" applyAlignment="1" applyProtection="1">
      <alignment horizontal="center" vertical="center"/>
      <protection hidden="1"/>
    </xf>
    <xf numFmtId="0" fontId="3" fillId="3" borderId="1" xfId="0" applyFont="1" applyFill="1" applyBorder="1" applyAlignment="1" applyProtection="1">
      <alignment horizontal="right"/>
      <protection hidden="1"/>
    </xf>
    <xf numFmtId="0" fontId="3" fillId="3" borderId="2" xfId="0" applyFont="1" applyFill="1" applyBorder="1" applyAlignment="1" applyProtection="1">
      <alignment horizontal="right"/>
      <protection hidden="1"/>
    </xf>
    <xf numFmtId="0" fontId="3" fillId="3" borderId="6" xfId="0" applyFont="1" applyFill="1" applyBorder="1" applyAlignment="1" applyProtection="1">
      <alignment horizontal="right"/>
      <protection hidden="1"/>
    </xf>
    <xf numFmtId="0" fontId="3" fillId="3" borderId="7" xfId="0" applyFont="1" applyFill="1" applyBorder="1" applyAlignment="1" applyProtection="1">
      <alignment horizontal="right"/>
      <protection hidden="1"/>
    </xf>
    <xf numFmtId="0" fontId="31" fillId="3" borderId="27" xfId="0" applyFont="1" applyFill="1" applyBorder="1" applyAlignment="1" applyProtection="1">
      <alignment horizontal="center" vertical="center" wrapText="1"/>
      <protection hidden="1"/>
    </xf>
    <xf numFmtId="0" fontId="4" fillId="3" borderId="11" xfId="0" applyFont="1" applyFill="1" applyBorder="1" applyAlignment="1" applyProtection="1">
      <alignment horizontal="right"/>
      <protection hidden="1"/>
    </xf>
    <xf numFmtId="0" fontId="4" fillId="3" borderId="9" xfId="0" applyFont="1" applyFill="1" applyBorder="1" applyAlignment="1" applyProtection="1">
      <alignment horizontal="right"/>
      <protection hidden="1"/>
    </xf>
    <xf numFmtId="0" fontId="4" fillId="3" borderId="0" xfId="0" applyFont="1" applyFill="1" applyAlignment="1" applyProtection="1">
      <alignment horizontal="left"/>
      <protection hidden="1"/>
    </xf>
    <xf numFmtId="0" fontId="4" fillId="3" borderId="0" xfId="0" applyFont="1" applyFill="1" applyAlignment="1" applyProtection="1">
      <alignment horizontal="right" vertical="center" wrapText="1"/>
      <protection hidden="1"/>
    </xf>
    <xf numFmtId="0" fontId="4" fillId="3" borderId="0" xfId="0" applyFont="1" applyFill="1" applyAlignment="1" applyProtection="1">
      <alignment horizontal="center" vertical="center" wrapText="1"/>
      <protection hidden="1"/>
    </xf>
    <xf numFmtId="0" fontId="4" fillId="3" borderId="7" xfId="0" applyFont="1" applyFill="1" applyBorder="1" applyAlignment="1" applyProtection="1">
      <alignment horizontal="center" vertical="center" wrapText="1"/>
      <protection hidden="1"/>
    </xf>
    <xf numFmtId="0" fontId="31" fillId="3" borderId="10" xfId="0" applyFont="1" applyFill="1" applyBorder="1" applyAlignment="1" applyProtection="1">
      <alignment horizontal="center" vertical="center"/>
      <protection hidden="1"/>
    </xf>
    <xf numFmtId="0" fontId="31" fillId="3" borderId="0" xfId="0" applyFont="1" applyFill="1" applyAlignment="1" applyProtection="1">
      <alignment horizontal="center" vertical="center"/>
      <protection hidden="1"/>
    </xf>
    <xf numFmtId="0" fontId="31" fillId="3" borderId="9" xfId="0" applyFont="1" applyFill="1" applyBorder="1" applyAlignment="1" applyProtection="1">
      <alignment horizontal="center" vertical="center"/>
      <protection hidden="1"/>
    </xf>
    <xf numFmtId="0" fontId="29" fillId="2" borderId="0" xfId="0" applyFont="1" applyFill="1" applyAlignment="1" applyProtection="1">
      <alignment horizontal="center" vertical="center" wrapText="1"/>
      <protection hidden="1"/>
    </xf>
    <xf numFmtId="0" fontId="23" fillId="2" borderId="0" xfId="0" applyFont="1" applyFill="1" applyAlignment="1" applyProtection="1">
      <alignment horizontal="center" vertical="center"/>
      <protection hidden="1"/>
    </xf>
    <xf numFmtId="0" fontId="30" fillId="6" borderId="0" xfId="0" applyFont="1" applyFill="1" applyAlignment="1" applyProtection="1">
      <alignment horizontal="center" vertical="center" wrapText="1"/>
      <protection hidden="1"/>
    </xf>
    <xf numFmtId="0" fontId="3" fillId="3" borderId="28" xfId="0" applyFont="1" applyFill="1" applyBorder="1" applyAlignment="1" applyProtection="1">
      <alignment horizontal="center"/>
      <protection hidden="1"/>
    </xf>
    <xf numFmtId="0" fontId="3" fillId="3" borderId="21" xfId="0" applyFont="1" applyFill="1" applyBorder="1" applyAlignment="1" applyProtection="1">
      <alignment horizontal="center"/>
      <protection hidden="1"/>
    </xf>
    <xf numFmtId="0" fontId="3" fillId="3" borderId="29" xfId="0" applyFont="1" applyFill="1" applyBorder="1" applyAlignment="1" applyProtection="1">
      <alignment horizontal="center"/>
      <protection hidden="1"/>
    </xf>
    <xf numFmtId="1" fontId="4" fillId="3" borderId="25" xfId="0" applyNumberFormat="1" applyFont="1" applyFill="1" applyBorder="1" applyAlignment="1" applyProtection="1">
      <alignment horizontal="center" vertical="center"/>
      <protection hidden="1"/>
    </xf>
    <xf numFmtId="1" fontId="4" fillId="3" borderId="27" xfId="0" applyNumberFormat="1" applyFont="1" applyFill="1" applyBorder="1" applyAlignment="1" applyProtection="1">
      <alignment horizontal="center" vertical="center"/>
      <protection hidden="1"/>
    </xf>
    <xf numFmtId="1" fontId="4" fillId="3" borderId="26" xfId="0" applyNumberFormat="1" applyFont="1" applyFill="1" applyBorder="1" applyAlignment="1" applyProtection="1">
      <alignment horizontal="center" vertical="center"/>
      <protection hidden="1"/>
    </xf>
    <xf numFmtId="0" fontId="3" fillId="3" borderId="23" xfId="0" applyFont="1" applyFill="1" applyBorder="1" applyAlignment="1" applyProtection="1">
      <alignment horizontal="center"/>
      <protection hidden="1"/>
    </xf>
    <xf numFmtId="0" fontId="3" fillId="3" borderId="24" xfId="0" applyFont="1" applyFill="1" applyBorder="1" applyAlignment="1" applyProtection="1">
      <alignment horizontal="center"/>
      <protection hidden="1"/>
    </xf>
    <xf numFmtId="1" fontId="4" fillId="3" borderId="30" xfId="0" applyNumberFormat="1" applyFont="1" applyFill="1" applyBorder="1" applyAlignment="1" applyProtection="1">
      <alignment horizontal="center" vertical="center"/>
      <protection hidden="1"/>
    </xf>
    <xf numFmtId="1" fontId="22" fillId="2" borderId="25" xfId="0" applyNumberFormat="1" applyFont="1" applyFill="1" applyBorder="1" applyAlignment="1" applyProtection="1">
      <alignment horizontal="center" vertical="center"/>
      <protection hidden="1"/>
    </xf>
    <xf numFmtId="1" fontId="22" fillId="2" borderId="27" xfId="0" applyNumberFormat="1" applyFont="1" applyFill="1" applyBorder="1" applyAlignment="1" applyProtection="1">
      <alignment horizontal="center" vertical="center"/>
      <protection hidden="1"/>
    </xf>
    <xf numFmtId="1" fontId="22" fillId="2" borderId="26" xfId="0" applyNumberFormat="1" applyFont="1" applyFill="1" applyBorder="1" applyAlignment="1" applyProtection="1">
      <alignment horizontal="center" vertical="center"/>
      <protection hidden="1"/>
    </xf>
    <xf numFmtId="0" fontId="12" fillId="3" borderId="0" xfId="2" applyFont="1" applyFill="1" applyBorder="1" applyAlignment="1">
      <alignment horizontal="center"/>
    </xf>
    <xf numFmtId="0" fontId="12" fillId="3" borderId="0" xfId="2" applyFont="1" applyFill="1" applyBorder="1" applyAlignment="1">
      <alignment horizontal="center"/>
    </xf>
    <xf numFmtId="0" fontId="9" fillId="3" borderId="31" xfId="2" applyFont="1" applyFill="1" applyBorder="1" applyAlignment="1">
      <alignment horizontal="center" vertical="center"/>
    </xf>
    <xf numFmtId="0" fontId="9" fillId="3" borderId="0" xfId="2" applyFont="1" applyFill="1" applyBorder="1" applyAlignment="1">
      <alignment horizontal="center" vertical="center"/>
    </xf>
    <xf numFmtId="0" fontId="11" fillId="5" borderId="31" xfId="2" applyFont="1" applyFill="1" applyBorder="1" applyAlignment="1">
      <alignment horizontal="center"/>
    </xf>
    <xf numFmtId="0" fontId="11" fillId="5" borderId="0" xfId="2" applyFont="1" applyFill="1" applyBorder="1" applyAlignment="1">
      <alignment horizontal="center"/>
    </xf>
    <xf numFmtId="0" fontId="12" fillId="3" borderId="31" xfId="2" applyFont="1" applyFill="1" applyBorder="1" applyAlignment="1">
      <alignment horizontal="center"/>
    </xf>
    <xf numFmtId="0" fontId="12" fillId="3" borderId="0" xfId="2" applyFont="1" applyFill="1" applyBorder="1" applyAlignment="1">
      <alignment horizontal="left"/>
    </xf>
    <xf numFmtId="0" fontId="1" fillId="3" borderId="0" xfId="2" applyFill="1" applyBorder="1"/>
    <xf numFmtId="0" fontId="16" fillId="3" borderId="31" xfId="2" applyFont="1" applyFill="1" applyBorder="1" applyAlignment="1">
      <alignment horizontal="right"/>
    </xf>
    <xf numFmtId="0" fontId="16" fillId="3" borderId="0" xfId="2" applyFont="1" applyFill="1" applyBorder="1" applyAlignment="1">
      <alignment horizontal="left" vertical="top"/>
    </xf>
    <xf numFmtId="0" fontId="16" fillId="2" borderId="0" xfId="2" applyFont="1" applyFill="1" applyBorder="1" applyAlignment="1">
      <alignment vertical="top"/>
    </xf>
    <xf numFmtId="0" fontId="16" fillId="3" borderId="0" xfId="2" applyFont="1" applyFill="1" applyBorder="1" applyAlignment="1">
      <alignment vertical="top"/>
    </xf>
    <xf numFmtId="0" fontId="12" fillId="3" borderId="31" xfId="2" applyFont="1" applyFill="1" applyBorder="1" applyAlignment="1">
      <alignment horizontal="center"/>
    </xf>
    <xf numFmtId="0" fontId="2" fillId="3" borderId="0" xfId="2" applyFont="1" applyFill="1" applyBorder="1"/>
    <xf numFmtId="0" fontId="19" fillId="3" borderId="31" xfId="2" applyFont="1" applyFill="1" applyBorder="1" applyAlignment="1">
      <alignment horizontal="left" vertical="top" wrapText="1"/>
    </xf>
    <xf numFmtId="0" fontId="19" fillId="3" borderId="0" xfId="2" applyFont="1" applyFill="1" applyBorder="1" applyAlignment="1">
      <alignment horizontal="left" vertical="top" wrapText="1"/>
    </xf>
    <xf numFmtId="0" fontId="10" fillId="3" borderId="0" xfId="3" applyFill="1" applyBorder="1"/>
    <xf numFmtId="0" fontId="19" fillId="3" borderId="0" xfId="2" applyFont="1" applyFill="1" applyBorder="1" applyAlignment="1">
      <alignment vertical="top" wrapText="1"/>
    </xf>
    <xf numFmtId="0" fontId="20" fillId="3" borderId="31" xfId="2" applyFont="1" applyFill="1" applyBorder="1" applyAlignment="1">
      <alignment horizontal="center" vertical="top" wrapText="1"/>
    </xf>
    <xf numFmtId="0" fontId="20" fillId="3" borderId="0" xfId="2" applyFont="1" applyFill="1" applyBorder="1" applyAlignment="1">
      <alignment horizontal="center" vertical="top" wrapText="1"/>
    </xf>
    <xf numFmtId="0" fontId="18" fillId="3" borderId="0" xfId="2" applyFont="1" applyFill="1" applyBorder="1" applyAlignment="1">
      <alignment vertical="top" wrapText="1"/>
    </xf>
    <xf numFmtId="0" fontId="18" fillId="3" borderId="31" xfId="2" applyFont="1" applyFill="1" applyBorder="1" applyAlignment="1">
      <alignment vertical="top" wrapText="1"/>
    </xf>
    <xf numFmtId="0" fontId="19" fillId="3" borderId="0" xfId="2" applyFont="1" applyFill="1" applyBorder="1"/>
    <xf numFmtId="0" fontId="19" fillId="3" borderId="31" xfId="2" applyFont="1" applyFill="1" applyBorder="1"/>
    <xf numFmtId="0" fontId="4" fillId="3" borderId="31" xfId="3" applyFont="1" applyFill="1" applyBorder="1"/>
    <xf numFmtId="0" fontId="4" fillId="3" borderId="0" xfId="3" applyFont="1" applyFill="1" applyBorder="1"/>
    <xf numFmtId="0" fontId="4" fillId="3" borderId="31" xfId="3" applyFont="1" applyFill="1" applyBorder="1" applyAlignment="1">
      <alignment vertical="top" wrapText="1"/>
    </xf>
    <xf numFmtId="0" fontId="4" fillId="3" borderId="0" xfId="3" applyFont="1" applyFill="1" applyBorder="1" applyAlignment="1">
      <alignment vertical="top" wrapText="1"/>
    </xf>
    <xf numFmtId="0" fontId="15" fillId="3" borderId="0" xfId="3" applyFont="1" applyFill="1" applyBorder="1"/>
    <xf numFmtId="0" fontId="15" fillId="3" borderId="31" xfId="3" applyFont="1" applyFill="1" applyBorder="1"/>
    <xf numFmtId="0" fontId="10" fillId="3" borderId="31" xfId="3" applyFill="1" applyBorder="1"/>
    <xf numFmtId="0" fontId="4" fillId="3" borderId="0" xfId="2" applyFont="1" applyFill="1" applyBorder="1"/>
    <xf numFmtId="0" fontId="4" fillId="3" borderId="32" xfId="2" applyFont="1" applyFill="1" applyBorder="1"/>
    <xf numFmtId="0" fontId="4" fillId="3" borderId="31" xfId="2" applyFont="1" applyFill="1" applyBorder="1"/>
    <xf numFmtId="0" fontId="19" fillId="3" borderId="31" xfId="2" applyFont="1" applyFill="1" applyBorder="1" applyAlignment="1">
      <alignment horizontal="left" wrapText="1"/>
    </xf>
    <xf numFmtId="0" fontId="19" fillId="3" borderId="0" xfId="2" applyFont="1" applyFill="1" applyBorder="1" applyAlignment="1">
      <alignment horizontal="left" wrapText="1"/>
    </xf>
    <xf numFmtId="0" fontId="16" fillId="3" borderId="33" xfId="2" applyFont="1" applyFill="1" applyBorder="1" applyAlignment="1">
      <alignment horizontal="center"/>
    </xf>
    <xf numFmtId="0" fontId="16" fillId="3" borderId="34" xfId="2" applyFont="1" applyFill="1" applyBorder="1" applyAlignment="1">
      <alignment horizontal="left"/>
    </xf>
    <xf numFmtId="0" fontId="4" fillId="3" borderId="34" xfId="2" applyFont="1" applyFill="1" applyBorder="1"/>
    <xf numFmtId="0" fontId="1" fillId="3" borderId="35" xfId="2" applyFill="1" applyBorder="1"/>
    <xf numFmtId="0" fontId="10" fillId="3" borderId="4" xfId="3" applyFill="1" applyBorder="1"/>
    <xf numFmtId="0" fontId="19" fillId="3" borderId="7" xfId="2" applyFont="1" applyFill="1" applyBorder="1"/>
    <xf numFmtId="0" fontId="4" fillId="3" borderId="8" xfId="2" applyFont="1" applyFill="1" applyBorder="1"/>
    <xf numFmtId="0" fontId="10" fillId="3" borderId="1" xfId="3" applyFill="1" applyBorder="1"/>
    <xf numFmtId="0" fontId="9" fillId="3" borderId="36" xfId="2" applyFont="1" applyFill="1" applyBorder="1" applyAlignment="1">
      <alignment horizontal="center" vertical="center"/>
    </xf>
    <xf numFmtId="0" fontId="10" fillId="3" borderId="6" xfId="3" applyFill="1" applyBorder="1"/>
    <xf numFmtId="0" fontId="19" fillId="3" borderId="37" xfId="2" applyFont="1" applyFill="1" applyBorder="1"/>
    <xf numFmtId="0" fontId="19" fillId="3" borderId="31" xfId="2" applyFont="1" applyFill="1" applyBorder="1" applyAlignment="1">
      <alignment vertical="top" wrapText="1"/>
    </xf>
  </cellXfs>
  <cellStyles count="5">
    <cellStyle name="Hyperlink" xfId="4" builtinId="8"/>
    <cellStyle name="Normal" xfId="0" builtinId="0"/>
    <cellStyle name="Normal 2" xfId="2" xr:uid="{ECC7F8FD-029B-405F-A15B-ED6EB57D1952}"/>
    <cellStyle name="Normal 3" xfId="3" xr:uid="{A5FE047F-F6F0-45A2-9ED0-28AE905AA596}"/>
    <cellStyle name="Percent" xfId="1" builtinId="5"/>
  </cellStyles>
  <dxfs count="64">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right" vertical="center" textRotation="0" wrapText="0" indent="0" justifyLastLine="0" shrinkToFit="0" readingOrder="0"/>
      <border diagonalUp="0" diagonalDown="0">
        <left style="medium">
          <color theme="0"/>
        </left>
        <right/>
        <top/>
        <bottom/>
        <vertical/>
        <horizontal/>
      </border>
    </dxf>
    <dxf>
      <border outline="0">
        <bottom style="medium">
          <color theme="0"/>
        </bottom>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border diagonalUp="0" diagonalDown="0">
        <left/>
        <right style="medium">
          <color theme="0"/>
        </right>
        <top/>
        <bottom/>
        <vertical/>
        <horizontal/>
      </border>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65" formatCode="0.0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strike val="0"/>
        <outline val="0"/>
        <shadow val="0"/>
        <u val="none"/>
        <vertAlign val="baseline"/>
        <sz val="11"/>
        <color auto="1"/>
        <name val="Calibri"/>
        <family val="2"/>
        <scheme val="minor"/>
      </font>
      <numFmt numFmtId="2" formatCode="0.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strike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7" formatCode="0.0000E+00"/>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border diagonalUp="0" diagonalDown="0" outline="0">
        <left style="medium">
          <color theme="0"/>
        </left>
        <right/>
        <top/>
        <bottom/>
      </border>
    </dxf>
    <dxf>
      <font>
        <b val="0"/>
        <i val="0"/>
        <strike val="0"/>
        <condense val="0"/>
        <extend val="0"/>
        <outline val="0"/>
        <shadow val="0"/>
        <u val="none"/>
        <vertAlign val="baseline"/>
        <sz val="11"/>
        <color auto="1"/>
        <name val="Calibri"/>
        <family val="2"/>
        <scheme val="minor"/>
      </font>
      <fill>
        <patternFill patternType="solid">
          <fgColor indexed="64"/>
          <bgColor rgb="FFFFFF00"/>
        </patternFill>
      </fill>
      <alignment vertical="center" textRotation="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Final DK Values at Base Temperature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571626031953106"/>
          <c:y val="0.20129112095267415"/>
          <c:w val="0.74879005712264779"/>
          <c:h val="0.50896596131040617"/>
        </c:manualLayout>
      </c:layout>
      <c:scatterChart>
        <c:scatterStyle val="lineMarker"/>
        <c:varyColors val="0"/>
        <c:ser>
          <c:idx val="0"/>
          <c:order val="0"/>
          <c:tx>
            <c:v>DK_InPlane</c:v>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Modeler'!$C$24:$H$24</c:f>
              <c:numCache>
                <c:formatCode>0.00</c:formatCode>
                <c:ptCount val="6"/>
                <c:pt idx="0">
                  <c:v>1</c:v>
                </c:pt>
                <c:pt idx="1">
                  <c:v>2</c:v>
                </c:pt>
                <c:pt idx="2">
                  <c:v>5</c:v>
                </c:pt>
                <c:pt idx="3">
                  <c:v>10</c:v>
                </c:pt>
                <c:pt idx="4">
                  <c:v>15</c:v>
                </c:pt>
                <c:pt idx="5">
                  <c:v>20</c:v>
                </c:pt>
              </c:numCache>
            </c:numRef>
          </c:xVal>
          <c:yVal>
            <c:numRef>
              <c:f>'Material Modeler'!$C$28:$H$28</c:f>
              <c:numCache>
                <c:formatCode>0.00</c:formatCode>
                <c:ptCount val="6"/>
                <c:pt idx="0">
                  <c:v>3.105798816568047</c:v>
                </c:pt>
                <c:pt idx="1">
                  <c:v>3.105798816568047</c:v>
                </c:pt>
                <c:pt idx="2">
                  <c:v>3.1062209072978306</c:v>
                </c:pt>
                <c:pt idx="3">
                  <c:v>3.1053767258382647</c:v>
                </c:pt>
                <c:pt idx="4">
                  <c:v>3.1045325443786975</c:v>
                </c:pt>
                <c:pt idx="5">
                  <c:v>3.1032662721893494</c:v>
                </c:pt>
              </c:numCache>
            </c:numRef>
          </c:yVal>
          <c:smooth val="0"/>
          <c:extLst>
            <c:ext xmlns:c16="http://schemas.microsoft.com/office/drawing/2014/chart" uri="{C3380CC4-5D6E-409C-BE32-E72D297353CC}">
              <c16:uniqueId val="{00000000-9944-4D0A-B36A-59860BDE8DF3}"/>
            </c:ext>
          </c:extLst>
        </c:ser>
        <c:ser>
          <c:idx val="1"/>
          <c:order val="1"/>
          <c:tx>
            <c:v>DK_OutofPlane</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Modeler'!$L$24:$Q$24</c:f>
              <c:numCache>
                <c:formatCode>0.00</c:formatCode>
                <c:ptCount val="6"/>
                <c:pt idx="0">
                  <c:v>1</c:v>
                </c:pt>
                <c:pt idx="1">
                  <c:v>2</c:v>
                </c:pt>
                <c:pt idx="2">
                  <c:v>5</c:v>
                </c:pt>
                <c:pt idx="3">
                  <c:v>10</c:v>
                </c:pt>
                <c:pt idx="4">
                  <c:v>15</c:v>
                </c:pt>
                <c:pt idx="5">
                  <c:v>20</c:v>
                </c:pt>
              </c:numCache>
            </c:numRef>
          </c:xVal>
          <c:yVal>
            <c:numRef>
              <c:f>'Material Modeler'!$L$28:$Q$28</c:f>
              <c:numCache>
                <c:formatCode>0.00</c:formatCode>
                <c:ptCount val="6"/>
                <c:pt idx="0">
                  <c:v>2.9369220682722141</c:v>
                </c:pt>
                <c:pt idx="1">
                  <c:v>2.9369220682722141</c:v>
                </c:pt>
                <c:pt idx="2">
                  <c:v>2.9393223209195587</c:v>
                </c:pt>
                <c:pt idx="3">
                  <c:v>2.934511621419182</c:v>
                </c:pt>
                <c:pt idx="4">
                  <c:v>2.9296602373871066</c:v>
                </c:pt>
                <c:pt idx="5">
                  <c:v>2.9223072797918439</c:v>
                </c:pt>
              </c:numCache>
            </c:numRef>
          </c:yVal>
          <c:smooth val="0"/>
          <c:extLst>
            <c:ext xmlns:c16="http://schemas.microsoft.com/office/drawing/2014/chart" uri="{C3380CC4-5D6E-409C-BE32-E72D297353CC}">
              <c16:uniqueId val="{00000001-9944-4D0A-B36A-59860BDE8DF3}"/>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Dk_anisotropic vs. Temperature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Modeler'!$AL$3:$AL$7</c:f>
              <c:strCache>
                <c:ptCount val="1"/>
                <c:pt idx="0">
                  <c:v>-40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2</c:v>
                </c:pt>
                <c:pt idx="2">
                  <c:v>5</c:v>
                </c:pt>
                <c:pt idx="3">
                  <c:v>10</c:v>
                </c:pt>
                <c:pt idx="4">
                  <c:v>15</c:v>
                </c:pt>
                <c:pt idx="5">
                  <c:v>20</c:v>
                </c:pt>
              </c:numCache>
            </c:numRef>
          </c:xVal>
          <c:yVal>
            <c:numRef>
              <c:f>'Material Modeler'!$AM$3:$AR$3</c:f>
              <c:numCache>
                <c:formatCode>0.00</c:formatCode>
                <c:ptCount val="6"/>
                <c:pt idx="0">
                  <c:v>3.0063735354636809</c:v>
                </c:pt>
                <c:pt idx="1">
                  <c:v>3.0063735354636809</c:v>
                </c:pt>
                <c:pt idx="2">
                  <c:v>3.007777707292679</c:v>
                </c:pt>
                <c:pt idx="3">
                  <c:v>3.0049642918150887</c:v>
                </c:pt>
                <c:pt idx="4">
                  <c:v>3.0021306349757446</c:v>
                </c:pt>
                <c:pt idx="5">
                  <c:v>2.9978423971414365</c:v>
                </c:pt>
              </c:numCache>
            </c:numRef>
          </c:yVal>
          <c:smooth val="0"/>
          <c:extLst>
            <c:ext xmlns:c16="http://schemas.microsoft.com/office/drawing/2014/chart" uri="{C3380CC4-5D6E-409C-BE32-E72D297353CC}">
              <c16:uniqueId val="{00000002-B169-4131-BECD-4F6E7029C01E}"/>
            </c:ext>
          </c:extLst>
        </c:ser>
        <c:ser>
          <c:idx val="1"/>
          <c:order val="1"/>
          <c:tx>
            <c:strRef>
              <c:f>'Material Modeler'!$AL$8:$AL$12</c:f>
              <c:strCache>
                <c:ptCount val="1"/>
                <c:pt idx="0">
                  <c:v>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2</c:v>
                </c:pt>
                <c:pt idx="2">
                  <c:v>5</c:v>
                </c:pt>
                <c:pt idx="3">
                  <c:v>10</c:v>
                </c:pt>
                <c:pt idx="4">
                  <c:v>15</c:v>
                </c:pt>
                <c:pt idx="5">
                  <c:v>20</c:v>
                </c:pt>
              </c:numCache>
            </c:numRef>
          </c:xVal>
          <c:yVal>
            <c:numRef>
              <c:f>'Material Modeler'!$AM$8:$AR$8</c:f>
              <c:numCache>
                <c:formatCode>0.00</c:formatCode>
                <c:ptCount val="6"/>
                <c:pt idx="0">
                  <c:v>3.0155962474368807</c:v>
                </c:pt>
                <c:pt idx="1">
                  <c:v>3.0155962474368807</c:v>
                </c:pt>
                <c:pt idx="2">
                  <c:v>3.0170047268717659</c:v>
                </c:pt>
                <c:pt idx="3">
                  <c:v>3.0141826806234797</c:v>
                </c:pt>
                <c:pt idx="4">
                  <c:v>3.0113403309186109</c:v>
                </c:pt>
                <c:pt idx="5">
                  <c:v>3.0070389379716889</c:v>
                </c:pt>
              </c:numCache>
            </c:numRef>
          </c:yVal>
          <c:smooth val="0"/>
          <c:extLst>
            <c:ext xmlns:c16="http://schemas.microsoft.com/office/drawing/2014/chart" uri="{C3380CC4-5D6E-409C-BE32-E72D297353CC}">
              <c16:uniqueId val="{00000003-B169-4131-BECD-4F6E7029C01E}"/>
            </c:ext>
          </c:extLst>
        </c:ser>
        <c:ser>
          <c:idx val="2"/>
          <c:order val="2"/>
          <c:tx>
            <c:strRef>
              <c:f>'Material Modeler'!$AL$13:$AL$17</c:f>
              <c:strCache>
                <c:ptCount val="1"/>
                <c:pt idx="0">
                  <c:v>25</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2</c:v>
                </c:pt>
                <c:pt idx="2">
                  <c:v>5</c:v>
                </c:pt>
                <c:pt idx="3">
                  <c:v>10</c:v>
                </c:pt>
                <c:pt idx="4">
                  <c:v>15</c:v>
                </c:pt>
                <c:pt idx="5">
                  <c:v>20</c:v>
                </c:pt>
              </c:numCache>
            </c:numRef>
          </c:xVal>
          <c:yVal>
            <c:numRef>
              <c:f>'Material Modeler'!$AM$13:$AR$13</c:f>
              <c:numCache>
                <c:formatCode>0.00</c:formatCode>
                <c:ptCount val="6"/>
                <c:pt idx="0">
                  <c:v>3.0213604424201304</c:v>
                </c:pt>
                <c:pt idx="1">
                  <c:v>3.0213604424201304</c:v>
                </c:pt>
                <c:pt idx="2">
                  <c:v>3.0227716141086947</c:v>
                </c:pt>
                <c:pt idx="3">
                  <c:v>3.0199441736287236</c:v>
                </c:pt>
                <c:pt idx="4">
                  <c:v>3.017096390882902</c:v>
                </c:pt>
                <c:pt idx="5">
                  <c:v>3.0127867759905964</c:v>
                </c:pt>
              </c:numCache>
            </c:numRef>
          </c:yVal>
          <c:smooth val="0"/>
          <c:extLst>
            <c:ext xmlns:c16="http://schemas.microsoft.com/office/drawing/2014/chart" uri="{C3380CC4-5D6E-409C-BE32-E72D297353CC}">
              <c16:uniqueId val="{00000004-B169-4131-BECD-4F6E7029C01E}"/>
            </c:ext>
          </c:extLst>
        </c:ser>
        <c:ser>
          <c:idx val="3"/>
          <c:order val="3"/>
          <c:tx>
            <c:strRef>
              <c:f>'Material Modeler'!$AL$18:$AL$22</c:f>
              <c:strCache>
                <c:ptCount val="1"/>
                <c:pt idx="0">
                  <c:v>90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2</c:v>
                </c:pt>
                <c:pt idx="2">
                  <c:v>5</c:v>
                </c:pt>
                <c:pt idx="3">
                  <c:v>10</c:v>
                </c:pt>
                <c:pt idx="4">
                  <c:v>15</c:v>
                </c:pt>
                <c:pt idx="5">
                  <c:v>20</c:v>
                </c:pt>
              </c:numCache>
            </c:numRef>
          </c:xVal>
          <c:yVal>
            <c:numRef>
              <c:f>'Material Modeler'!$AM$18:$AR$18</c:f>
              <c:numCache>
                <c:formatCode>0.00</c:formatCode>
                <c:ptCount val="6"/>
                <c:pt idx="0">
                  <c:v>3.0363473493765794</c:v>
                </c:pt>
                <c:pt idx="1">
                  <c:v>3.0363473493765794</c:v>
                </c:pt>
                <c:pt idx="2">
                  <c:v>3.0377655209247099</c:v>
                </c:pt>
                <c:pt idx="3">
                  <c:v>3.034924055442358</c:v>
                </c:pt>
                <c:pt idx="4">
                  <c:v>3.032062146790059</c:v>
                </c:pt>
                <c:pt idx="5">
                  <c:v>3.0277311548397559</c:v>
                </c:pt>
              </c:numCache>
            </c:numRef>
          </c:yVal>
          <c:smooth val="0"/>
          <c:extLst>
            <c:ext xmlns:c16="http://schemas.microsoft.com/office/drawing/2014/chart" uri="{C3380CC4-5D6E-409C-BE32-E72D297353CC}">
              <c16:uniqueId val="{00000005-B169-4131-BECD-4F6E7029C01E}"/>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DK_avg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 Line Design'!$Q$40</c:f>
          <c:strCache>
            <c:ptCount val="1"/>
            <c:pt idx="0">
              <c:v>α_Total_odd (dB/m)</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Design'!$Q$40</c:f>
              <c:strCache>
                <c:ptCount val="1"/>
                <c:pt idx="0">
                  <c:v>α_Total_odd (dB/m)</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Design'!$AV$40:$BA$40</c:f>
                <c:numCache>
                  <c:formatCode>General</c:formatCode>
                  <c:ptCount val="6"/>
                  <c:pt idx="0">
                    <c:v>0.151019993748819</c:v>
                  </c:pt>
                  <c:pt idx="1">
                    <c:v>0.23912617944563799</c:v>
                  </c:pt>
                  <c:pt idx="2">
                    <c:v>0.46193623288170998</c:v>
                  </c:pt>
                  <c:pt idx="3">
                    <c:v>0.79840917768503095</c:v>
                  </c:pt>
                  <c:pt idx="4">
                    <c:v>1.1210549959239799</c:v>
                  </c:pt>
                  <c:pt idx="5">
                    <c:v>1.4391274563632099</c:v>
                  </c:pt>
                </c:numCache>
              </c:numRef>
            </c:plus>
            <c:minus>
              <c:numRef>
                <c:f>'Transmission Line Design'!$AM$40:$AR$40</c:f>
                <c:numCache>
                  <c:formatCode>General</c:formatCode>
                  <c:ptCount val="6"/>
                  <c:pt idx="0">
                    <c:v>0.26386259478236301</c:v>
                  </c:pt>
                  <c:pt idx="1">
                    <c:v>0.401883733283811</c:v>
                  </c:pt>
                  <c:pt idx="2">
                    <c:v>0.73349486025660204</c:v>
                  </c:pt>
                  <c:pt idx="3">
                    <c:v>1.2140380900233101</c:v>
                  </c:pt>
                  <c:pt idx="4">
                    <c:v>1.66578989006823</c:v>
                  </c:pt>
                  <c:pt idx="5">
                    <c:v>2.10382665106928</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Design'!$S$40:$X$40</c:f>
              <c:numCache>
                <c:formatCode>0.000</c:formatCode>
                <c:ptCount val="6"/>
                <c:pt idx="0">
                  <c:v>4.8407600691897628</c:v>
                </c:pt>
                <c:pt idx="1">
                  <c:v>7.122383160822257</c:v>
                </c:pt>
                <c:pt idx="2">
                  <c:v>12.306019916164125</c:v>
                </c:pt>
                <c:pt idx="3">
                  <c:v>19.413519760337543</c:v>
                </c:pt>
                <c:pt idx="4">
                  <c:v>25.90229706780179</c:v>
                </c:pt>
                <c:pt idx="5">
                  <c:v>32.0683177794727</c:v>
                </c:pt>
              </c:numCache>
            </c:numRef>
          </c:yVal>
          <c:smooth val="0"/>
          <c:extLst>
            <c:ext xmlns:c16="http://schemas.microsoft.com/office/drawing/2014/chart" uri="{C3380CC4-5D6E-409C-BE32-E72D297353CC}">
              <c16:uniqueId val="{00000000-FCC9-4E35-BAD5-11160277C398}"/>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Attenuation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|Zs| and |Zm| (</a:t>
            </a:r>
            <a:r>
              <a:rPr lang="el-GR"/>
              <a:t>Ω)</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Design'!$Q$28</c:f>
              <c:strCache>
                <c:ptCount val="1"/>
                <c:pt idx="0">
                  <c:v>|Zs| (Ω)</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Design'!$AV$28:$BA$28</c:f>
                <c:numCache>
                  <c:formatCode>General</c:formatCode>
                  <c:ptCount val="6"/>
                  <c:pt idx="0">
                    <c:v>7.2859962026003897</c:v>
                  </c:pt>
                  <c:pt idx="1">
                    <c:v>7.2859962026003897</c:v>
                  </c:pt>
                  <c:pt idx="2">
                    <c:v>7.2804962028552804</c:v>
                  </c:pt>
                  <c:pt idx="3">
                    <c:v>7.2914962023474201</c:v>
                  </c:pt>
                  <c:pt idx="4">
                    <c:v>7.3034962015431004</c:v>
                  </c:pt>
                  <c:pt idx="5">
                    <c:v>7.3204962007470398</c:v>
                  </c:pt>
                </c:numCache>
              </c:numRef>
            </c:plus>
            <c:minus>
              <c:numRef>
                <c:f>'Transmission Line Design'!$AR$28</c:f>
                <c:numCache>
                  <c:formatCode>General</c:formatCode>
                  <c:ptCount val="1"/>
                  <c:pt idx="0">
                    <c:v>7.07849827267128</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Design'!$S$28:$X$28</c:f>
              <c:numCache>
                <c:formatCode>0.00</c:formatCode>
                <c:ptCount val="6"/>
                <c:pt idx="0">
                  <c:v>59.607524009381365</c:v>
                </c:pt>
                <c:pt idx="1">
                  <c:v>59.607524009381365</c:v>
                </c:pt>
                <c:pt idx="2">
                  <c:v>59.593524015022467</c:v>
                </c:pt>
                <c:pt idx="3">
                  <c:v>59.621524003745513</c:v>
                </c:pt>
                <c:pt idx="4">
                  <c:v>59.64952399247656</c:v>
                </c:pt>
                <c:pt idx="5">
                  <c:v>59.69252397519346</c:v>
                </c:pt>
              </c:numCache>
            </c:numRef>
          </c:yVal>
          <c:smooth val="0"/>
          <c:extLst>
            <c:ext xmlns:c16="http://schemas.microsoft.com/office/drawing/2014/chart" uri="{C3380CC4-5D6E-409C-BE32-E72D297353CC}">
              <c16:uniqueId val="{00000000-628C-4B1B-BD47-26E499632CC9}"/>
            </c:ext>
          </c:extLst>
        </c:ser>
        <c:ser>
          <c:idx val="1"/>
          <c:order val="1"/>
          <c:tx>
            <c:strRef>
              <c:f>'Transmission Line Design'!$Q$29</c:f>
              <c:strCache>
                <c:ptCount val="1"/>
                <c:pt idx="0">
                  <c:v>|Zm| (Ω)</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Design'!$AV$29:$BA$29</c:f>
                <c:numCache>
                  <c:formatCode>General</c:formatCode>
                  <c:ptCount val="6"/>
                  <c:pt idx="0">
                    <c:v>1.0369992483634101</c:v>
                  </c:pt>
                  <c:pt idx="1">
                    <c:v>1.0369992483634101</c:v>
                  </c:pt>
                  <c:pt idx="2">
                    <c:v>1.0364992482772699</c:v>
                  </c:pt>
                  <c:pt idx="3">
                    <c:v>1.0374992485499801</c:v>
                  </c:pt>
                  <c:pt idx="4">
                    <c:v>1.0394992484236301</c:v>
                  </c:pt>
                  <c:pt idx="5">
                    <c:v>1.04249924833306</c:v>
                  </c:pt>
                </c:numCache>
              </c:numRef>
            </c:plus>
            <c:minus>
              <c:numRef>
                <c:f>'Transmission Line Design'!$AM$29:$AR$29</c:f>
                <c:numCache>
                  <c:formatCode>General</c:formatCode>
                  <c:ptCount val="6"/>
                  <c:pt idx="0">
                    <c:v>1.3514989009112199</c:v>
                  </c:pt>
                  <c:pt idx="1">
                    <c:v>1.3514989009112199</c:v>
                  </c:pt>
                  <c:pt idx="2">
                    <c:v>1.3504989010585999</c:v>
                  </c:pt>
                  <c:pt idx="3">
                    <c:v>1.35249890084799</c:v>
                  </c:pt>
                  <c:pt idx="4">
                    <c:v>1.35399890080499</c:v>
                  </c:pt>
                  <c:pt idx="5">
                    <c:v>1.3554989011886101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Design'!$S$29:$X$29</c:f>
              <c:numCache>
                <c:formatCode>0.00</c:formatCode>
                <c:ptCount val="6"/>
                <c:pt idx="0">
                  <c:v>9.6575037391152101</c:v>
                </c:pt>
                <c:pt idx="1">
                  <c:v>9.6575037391152101</c:v>
                </c:pt>
                <c:pt idx="2">
                  <c:v>9.655503739885404</c:v>
                </c:pt>
                <c:pt idx="3">
                  <c:v>9.6605037379422996</c:v>
                </c:pt>
                <c:pt idx="4">
                  <c:v>9.6645037364038338</c:v>
                </c:pt>
                <c:pt idx="5">
                  <c:v>9.6715037336989909</c:v>
                </c:pt>
              </c:numCache>
            </c:numRef>
          </c:yVal>
          <c:smooth val="0"/>
          <c:extLst>
            <c:ext xmlns:c16="http://schemas.microsoft.com/office/drawing/2014/chart" uri="{C3380CC4-5D6E-409C-BE32-E72D297353CC}">
              <c16:uniqueId val="{00000001-628C-4B1B-BD47-26E499632CC9}"/>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Impedance (</a:t>
                </a:r>
                <a:r>
                  <a:rPr lang="el-GR"/>
                  <a:t>Ω)</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|Zdd| and |Zcc| (</a:t>
            </a:r>
            <a:r>
              <a:rPr lang="el-GR"/>
              <a:t>Ω)</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Design'!$Q$26</c:f>
              <c:strCache>
                <c:ptCount val="1"/>
                <c:pt idx="0">
                  <c:v>|Zdd| (Ω)</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Design'!$AV$26:$BA$26</c:f>
                <c:numCache>
                  <c:formatCode>General</c:formatCode>
                  <c:ptCount val="6"/>
                  <c:pt idx="0">
                    <c:v>12.4979939084739</c:v>
                  </c:pt>
                  <c:pt idx="1">
                    <c:v>12.4979939084739</c:v>
                  </c:pt>
                  <c:pt idx="2">
                    <c:v>12.487993909156</c:v>
                  </c:pt>
                  <c:pt idx="3">
                    <c:v>12.5079939075949</c:v>
                  </c:pt>
                  <c:pt idx="4">
                    <c:v>12.527993906238899</c:v>
                  </c:pt>
                  <c:pt idx="5">
                    <c:v>12.555993904828</c:v>
                  </c:pt>
                </c:numCache>
              </c:numRef>
            </c:plus>
            <c:minus>
              <c:numRef>
                <c:f>'Transmission Line Design'!$AM$26:$AR$26</c:f>
                <c:numCache>
                  <c:formatCode>General</c:formatCode>
                  <c:ptCount val="6"/>
                  <c:pt idx="0">
                    <c:v>11.3939987580642</c:v>
                  </c:pt>
                  <c:pt idx="1">
                    <c:v>11.3939987580642</c:v>
                  </c:pt>
                  <c:pt idx="2">
                    <c:v>11.3859987602512</c:v>
                  </c:pt>
                  <c:pt idx="3">
                    <c:v>11.4019987557464</c:v>
                  </c:pt>
                  <c:pt idx="4">
                    <c:v>11.4179987513819</c:v>
                  </c:pt>
                  <c:pt idx="5">
                    <c:v>11.445998742965299</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Design'!$S$26:$X$26</c:f>
              <c:numCache>
                <c:formatCode>0.00</c:formatCode>
                <c:ptCount val="6"/>
                <c:pt idx="0">
                  <c:v>99.900040540532316</c:v>
                </c:pt>
                <c:pt idx="1">
                  <c:v>99.900040540532316</c:v>
                </c:pt>
                <c:pt idx="2">
                  <c:v>99.876040550274126</c:v>
                </c:pt>
                <c:pt idx="3">
                  <c:v>99.922040531606427</c:v>
                </c:pt>
                <c:pt idx="4">
                  <c:v>99.970040512145445</c:v>
                </c:pt>
                <c:pt idx="5">
                  <c:v>100.04204048298894</c:v>
                </c:pt>
              </c:numCache>
            </c:numRef>
          </c:yVal>
          <c:smooth val="0"/>
          <c:extLst>
            <c:ext xmlns:c16="http://schemas.microsoft.com/office/drawing/2014/chart" uri="{C3380CC4-5D6E-409C-BE32-E72D297353CC}">
              <c16:uniqueId val="{00000000-32AF-4D27-B9A6-47DF0AB6DDE3}"/>
            </c:ext>
          </c:extLst>
        </c:ser>
        <c:ser>
          <c:idx val="1"/>
          <c:order val="1"/>
          <c:tx>
            <c:strRef>
              <c:f>'Transmission Line Design'!$Q$27</c:f>
              <c:strCache>
                <c:ptCount val="1"/>
                <c:pt idx="0">
                  <c:v>|Zcc| (Ω)</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Design'!$AV$27:$BA$27</c:f>
                <c:numCache>
                  <c:formatCode>General</c:formatCode>
                  <c:ptCount val="6"/>
                  <c:pt idx="0">
                    <c:v>4.1614977254818903</c:v>
                  </c:pt>
                  <c:pt idx="1">
                    <c:v>4.1614977254818903</c:v>
                  </c:pt>
                  <c:pt idx="2">
                    <c:v>4.1584977255662698</c:v>
                  </c:pt>
                  <c:pt idx="3">
                    <c:v>4.1644977254487001</c:v>
                  </c:pt>
                  <c:pt idx="4">
                    <c:v>4.1714977249833698</c:v>
                  </c:pt>
                  <c:pt idx="5">
                    <c:v>4.1814977245400504</c:v>
                  </c:pt>
                </c:numCache>
              </c:numRef>
            </c:plus>
            <c:minus>
              <c:numRef>
                <c:f>'Transmission Line Design'!$AM$27:$AR$27</c:f>
                <c:numCache>
                  <c:formatCode>General</c:formatCode>
                  <c:ptCount val="6"/>
                  <c:pt idx="0">
                    <c:v>4.1999985904272599</c:v>
                  </c:pt>
                  <c:pt idx="1">
                    <c:v>4.1999985904272599</c:v>
                  </c:pt>
                  <c:pt idx="2">
                    <c:v>4.1969985911213996</c:v>
                  </c:pt>
                  <c:pt idx="3">
                    <c:v>4.2029985897845998</c:v>
                  </c:pt>
                  <c:pt idx="4">
                    <c:v>4.2084985886504702</c:v>
                  </c:pt>
                  <c:pt idx="5">
                    <c:v>4.2169985869299396</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Design'!$S$27:$X$27</c:f>
              <c:numCache>
                <c:formatCode>0.00</c:formatCode>
                <c:ptCount val="6"/>
                <c:pt idx="0">
                  <c:v>34.632513874248289</c:v>
                </c:pt>
                <c:pt idx="1">
                  <c:v>34.632513874248289</c:v>
                </c:pt>
                <c:pt idx="2">
                  <c:v>34.624513877453936</c:v>
                </c:pt>
                <c:pt idx="3">
                  <c:v>34.641013870843906</c:v>
                </c:pt>
                <c:pt idx="4">
                  <c:v>34.657013864440195</c:v>
                </c:pt>
                <c:pt idx="5">
                  <c:v>34.682013854446225</c:v>
                </c:pt>
              </c:numCache>
            </c:numRef>
          </c:yVal>
          <c:smooth val="0"/>
          <c:extLst>
            <c:ext xmlns:c16="http://schemas.microsoft.com/office/drawing/2014/chart" uri="{C3380CC4-5D6E-409C-BE32-E72D297353CC}">
              <c16:uniqueId val="{00000001-32AF-4D27-B9A6-47DF0AB6DDE3}"/>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Impedance (</a:t>
                </a:r>
                <a:r>
                  <a:rPr lang="el-GR"/>
                  <a:t>Ω)</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Resistance (</a:t>
            </a:r>
            <a:r>
              <a:rPr lang="el-GR"/>
              <a:t>Ω/</a:t>
            </a:r>
            <a:r>
              <a:rPr lang="en-US"/>
              <a:t>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Design'!$Q$45</c:f>
              <c:strCache>
                <c:ptCount val="1"/>
                <c:pt idx="0">
                  <c:v>Reven (Ω/u.l)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Design'!$AV$45:$BA$45</c:f>
                <c:numCache>
                  <c:formatCode>General</c:formatCode>
                  <c:ptCount val="6"/>
                  <c:pt idx="0">
                    <c:v>1.9382919999999999</c:v>
                  </c:pt>
                  <c:pt idx="1">
                    <c:v>2.6991800000000001</c:v>
                  </c:pt>
                  <c:pt idx="2">
                    <c:v>4.1882080000000004</c:v>
                  </c:pt>
                  <c:pt idx="3">
                    <c:v>5.9647909999999902</c:v>
                  </c:pt>
                  <c:pt idx="4">
                    <c:v>7.4977450000000099</c:v>
                  </c:pt>
                  <c:pt idx="5">
                    <c:v>8.7955439999999498</c:v>
                  </c:pt>
                </c:numCache>
              </c:numRef>
            </c:plus>
            <c:minus>
              <c:numRef>
                <c:f>'Transmission Line Design'!$AM$45:$AR$45</c:f>
                <c:numCache>
                  <c:formatCode>General</c:formatCode>
                  <c:ptCount val="6"/>
                  <c:pt idx="0">
                    <c:v>1.9975020000000001</c:v>
                  </c:pt>
                  <c:pt idx="1">
                    <c:v>2.919244</c:v>
                  </c:pt>
                  <c:pt idx="2">
                    <c:v>4.8216989999999997</c:v>
                  </c:pt>
                  <c:pt idx="3">
                    <c:v>7.3753010000000101</c:v>
                  </c:pt>
                  <c:pt idx="4">
                    <c:v>9.6849870000000102</c:v>
                  </c:pt>
                  <c:pt idx="5">
                    <c:v>11.816936999999999</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Design'!$S$45:$X$45</c:f>
              <c:numCache>
                <c:formatCode>0.000</c:formatCode>
                <c:ptCount val="6"/>
                <c:pt idx="0">
                  <c:v>34.674680000000002</c:v>
                </c:pt>
                <c:pt idx="1">
                  <c:v>52.448700000000002</c:v>
                </c:pt>
                <c:pt idx="2">
                  <c:v>94.671762000000001</c:v>
                </c:pt>
                <c:pt idx="3">
                  <c:v>154.97929400000001</c:v>
                </c:pt>
                <c:pt idx="4">
                  <c:v>211.23061799999999</c:v>
                </c:pt>
                <c:pt idx="5">
                  <c:v>265.40928000000002</c:v>
                </c:pt>
              </c:numCache>
            </c:numRef>
          </c:yVal>
          <c:smooth val="0"/>
          <c:extLst>
            <c:ext xmlns:c16="http://schemas.microsoft.com/office/drawing/2014/chart" uri="{C3380CC4-5D6E-409C-BE32-E72D297353CC}">
              <c16:uniqueId val="{00000000-DA81-416F-A595-199F380CD9FB}"/>
            </c:ext>
          </c:extLst>
        </c:ser>
        <c:ser>
          <c:idx val="1"/>
          <c:order val="1"/>
          <c:tx>
            <c:strRef>
              <c:f>'Transmission Line Design'!$Q$46</c:f>
              <c:strCache>
                <c:ptCount val="1"/>
                <c:pt idx="0">
                  <c:v>Rodd (Ω/u.l)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Design'!$AV$46:$BA$46</c:f>
                <c:numCache>
                  <c:formatCode>General</c:formatCode>
                  <c:ptCount val="6"/>
                  <c:pt idx="0">
                    <c:v>2.47282</c:v>
                  </c:pt>
                  <c:pt idx="1">
                    <c:v>3.4455840000000002</c:v>
                  </c:pt>
                  <c:pt idx="2">
                    <c:v>5.6079610000000004</c:v>
                  </c:pt>
                  <c:pt idx="3">
                    <c:v>8.2799059999999791</c:v>
                  </c:pt>
                  <c:pt idx="4">
                    <c:v>10.631584999999999</c:v>
                  </c:pt>
                  <c:pt idx="5">
                    <c:v>12.772314</c:v>
                  </c:pt>
                </c:numCache>
              </c:numRef>
            </c:plus>
            <c:minus>
              <c:numRef>
                <c:f>'Transmission Line Design'!$AM$46:$AR$46</c:f>
                <c:numCache>
                  <c:formatCode>General</c:formatCode>
                  <c:ptCount val="6"/>
                  <c:pt idx="0">
                    <c:v>1.858422</c:v>
                  </c:pt>
                  <c:pt idx="1">
                    <c:v>2.7499739999999901</c:v>
                  </c:pt>
                  <c:pt idx="2">
                    <c:v>4.6360969999999897</c:v>
                  </c:pt>
                  <c:pt idx="3">
                    <c:v>7.1146240000000098</c:v>
                  </c:pt>
                  <c:pt idx="4">
                    <c:v>9.3738900000000207</c:v>
                  </c:pt>
                  <c:pt idx="5">
                    <c:v>11.536891000000001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Design'!$S$46:$X$46</c:f>
              <c:numCache>
                <c:formatCode>0.000</c:formatCode>
                <c:ptCount val="6"/>
                <c:pt idx="0">
                  <c:v>29.461500000000001</c:v>
                </c:pt>
                <c:pt idx="1">
                  <c:v>44.237699999999997</c:v>
                </c:pt>
                <c:pt idx="2">
                  <c:v>78.960830999999999</c:v>
                </c:pt>
                <c:pt idx="3">
                  <c:v>128.05255500000001</c:v>
                </c:pt>
                <c:pt idx="4">
                  <c:v>173.62824000000001</c:v>
                </c:pt>
                <c:pt idx="5">
                  <c:v>217.418092</c:v>
                </c:pt>
              </c:numCache>
            </c:numRef>
          </c:yVal>
          <c:smooth val="0"/>
          <c:extLst>
            <c:ext xmlns:c16="http://schemas.microsoft.com/office/drawing/2014/chart" uri="{C3380CC4-5D6E-409C-BE32-E72D297353CC}">
              <c16:uniqueId val="{00000001-DA81-416F-A595-199F380CD9FB}"/>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Resistance (</a:t>
                </a:r>
                <a:r>
                  <a:rPr lang="el-GR"/>
                  <a:t>Ω/</a:t>
                </a:r>
                <a:r>
                  <a:rPr lang="en-US"/>
                  <a:t>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Conductance (Ʊ/u.l)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Design'!$Q$49</c:f>
              <c:strCache>
                <c:ptCount val="1"/>
                <c:pt idx="0">
                  <c:v>Geven (Ʊ/u.l)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Design'!$AV$49:$BA$49</c:f>
                <c:numCache>
                  <c:formatCode>General</c:formatCode>
                  <c:ptCount val="6"/>
                  <c:pt idx="0">
                    <c:v>9.2279528447220005E-4</c:v>
                  </c:pt>
                  <c:pt idx="1">
                    <c:v>1.3259206724159499E-3</c:v>
                  </c:pt>
                  <c:pt idx="2">
                    <c:v>2.1970744397485E-3</c:v>
                  </c:pt>
                  <c:pt idx="3">
                    <c:v>3.3416329150956999E-3</c:v>
                  </c:pt>
                  <c:pt idx="4">
                    <c:v>4.3572713622931003E-3</c:v>
                  </c:pt>
                  <c:pt idx="5">
                    <c:v>5.3260702159228998E-3</c:v>
                  </c:pt>
                </c:numCache>
              </c:numRef>
            </c:plus>
            <c:minus>
              <c:numRef>
                <c:f>'Transmission Line Design'!$AM$49:$AR$49</c:f>
                <c:numCache>
                  <c:formatCode>General</c:formatCode>
                  <c:ptCount val="6"/>
                  <c:pt idx="0">
                    <c:v>1.3231007358213899E-3</c:v>
                  </c:pt>
                  <c:pt idx="1">
                    <c:v>1.89715665095802E-3</c:v>
                  </c:pt>
                  <c:pt idx="2">
                    <c:v>3.1686636955203002E-3</c:v>
                  </c:pt>
                  <c:pt idx="3">
                    <c:v>4.8390796712912999E-3</c:v>
                  </c:pt>
                  <c:pt idx="4">
                    <c:v>6.3264664979471004E-3</c:v>
                  </c:pt>
                  <c:pt idx="5">
                    <c:v>7.7366705384889004E-3</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Design'!$S$49:$X$49</c:f>
              <c:numCache>
                <c:formatCode>0.00000</c:formatCode>
                <c:ptCount val="6"/>
                <c:pt idx="0">
                  <c:v>6.2858685567905997E-3</c:v>
                </c:pt>
                <c:pt idx="1">
                  <c:v>9.0490372723812801E-3</c:v>
                </c:pt>
                <c:pt idx="2">
                  <c:v>1.50309487140245E-2</c:v>
                </c:pt>
                <c:pt idx="3">
                  <c:v>2.2878442595661599E-2</c:v>
                </c:pt>
                <c:pt idx="4">
                  <c:v>2.9872076680892298E-2</c:v>
                </c:pt>
                <c:pt idx="5">
                  <c:v>3.6411855343421902E-2</c:v>
                </c:pt>
              </c:numCache>
            </c:numRef>
          </c:yVal>
          <c:smooth val="0"/>
          <c:extLst>
            <c:ext xmlns:c16="http://schemas.microsoft.com/office/drawing/2014/chart" uri="{C3380CC4-5D6E-409C-BE32-E72D297353CC}">
              <c16:uniqueId val="{00000000-BB4F-4840-AA24-280D77500111}"/>
            </c:ext>
          </c:extLst>
        </c:ser>
        <c:ser>
          <c:idx val="1"/>
          <c:order val="1"/>
          <c:tx>
            <c:strRef>
              <c:f>'Transmission Line Design'!$Q$50</c:f>
              <c:strCache>
                <c:ptCount val="1"/>
                <c:pt idx="0">
                  <c:v>Godd (Ʊ/u.l)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Design'!$AV$50:$BA$50</c:f>
                <c:numCache>
                  <c:formatCode>General</c:formatCode>
                  <c:ptCount val="6"/>
                  <c:pt idx="0">
                    <c:v>1.38781966308479E-3</c:v>
                  </c:pt>
                  <c:pt idx="1">
                    <c:v>2.0143874906847999E-3</c:v>
                  </c:pt>
                  <c:pt idx="2">
                    <c:v>3.3237328326313998E-3</c:v>
                  </c:pt>
                  <c:pt idx="3">
                    <c:v>5.0672203170753997E-3</c:v>
                  </c:pt>
                  <c:pt idx="4">
                    <c:v>6.6182664383738002E-3</c:v>
                  </c:pt>
                  <c:pt idx="5">
                    <c:v>8.0889312261667994E-3</c:v>
                  </c:pt>
                </c:numCache>
              </c:numRef>
            </c:plus>
            <c:minus>
              <c:numRef>
                <c:f>'Transmission Line Design'!$AM$50:$AR$50</c:f>
                <c:numCache>
                  <c:formatCode>General</c:formatCode>
                  <c:ptCount val="6"/>
                  <c:pt idx="0">
                    <c:v>1.9851414726923E-3</c:v>
                  </c:pt>
                  <c:pt idx="1">
                    <c:v>2.8509958778366001E-3</c:v>
                  </c:pt>
                  <c:pt idx="2">
                    <c:v>4.7950188675953001E-3</c:v>
                  </c:pt>
                  <c:pt idx="3">
                    <c:v>7.4154268949369103E-3</c:v>
                  </c:pt>
                  <c:pt idx="4">
                    <c:v>9.7628884035945995E-3</c:v>
                  </c:pt>
                  <c:pt idx="5">
                    <c:v>1.1973826678206999E-2</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Design'!$S$50:$X$50</c:f>
              <c:numCache>
                <c:formatCode>0.00000</c:formatCode>
                <c:ptCount val="6"/>
                <c:pt idx="0">
                  <c:v>1.0494089184066699E-2</c:v>
                </c:pt>
                <c:pt idx="1">
                  <c:v>1.51022972593607E-2</c:v>
                </c:pt>
                <c:pt idx="2">
                  <c:v>2.5087542610158199E-2</c:v>
                </c:pt>
                <c:pt idx="3">
                  <c:v>3.8168735088203697E-2</c:v>
                </c:pt>
                <c:pt idx="4">
                  <c:v>4.98227688208005E-2</c:v>
                </c:pt>
                <c:pt idx="5">
                  <c:v>6.0723720976501402E-2</c:v>
                </c:pt>
              </c:numCache>
            </c:numRef>
          </c:yVal>
          <c:smooth val="0"/>
          <c:extLst>
            <c:ext xmlns:c16="http://schemas.microsoft.com/office/drawing/2014/chart" uri="{C3380CC4-5D6E-409C-BE32-E72D297353CC}">
              <c16:uniqueId val="{00000001-BB4F-4840-AA24-280D77500111}"/>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Conductance (Ʊ/u.l)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Inductance (nH</a:t>
            </a:r>
            <a:r>
              <a:rPr lang="el-G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t>
            </a: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Design'!$Q$47</c:f>
              <c:strCache>
                <c:ptCount val="1"/>
                <c:pt idx="0">
                  <c:v>Leven (nH/u.l)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Design'!$AV$47:$BA$47</c:f>
                <c:numCache>
                  <c:formatCode>General</c:formatCode>
                  <c:ptCount val="6"/>
                  <c:pt idx="0">
                    <c:v>43.750045965681302</c:v>
                  </c:pt>
                  <c:pt idx="1">
                    <c:v>43.743780353881597</c:v>
                  </c:pt>
                  <c:pt idx="2">
                    <c:v>43.747501937577901</c:v>
                  </c:pt>
                  <c:pt idx="3">
                    <c:v>43.738805472754997</c:v>
                  </c:pt>
                  <c:pt idx="4">
                    <c:v>43.7420910090433</c:v>
                  </c:pt>
                  <c:pt idx="5">
                    <c:v>43.741070430623303</c:v>
                  </c:pt>
                </c:numCache>
              </c:numRef>
            </c:plus>
            <c:minus>
              <c:numRef>
                <c:f>'Transmission Line Design'!$AM$47:$AR$47</c:f>
                <c:numCache>
                  <c:formatCode>General</c:formatCode>
                  <c:ptCount val="6"/>
                  <c:pt idx="0">
                    <c:v>45.138755286418501</c:v>
                  </c:pt>
                  <c:pt idx="1">
                    <c:v>45.138697035709399</c:v>
                  </c:pt>
                  <c:pt idx="2">
                    <c:v>45.135309136266798</c:v>
                  </c:pt>
                  <c:pt idx="3">
                    <c:v>45.141188988315299</c:v>
                  </c:pt>
                  <c:pt idx="4">
                    <c:v>45.138989021367998</c:v>
                  </c:pt>
                  <c:pt idx="5">
                    <c:v>45.139036640527003</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Design'!$S$47:$X$47</c:f>
              <c:numCache>
                <c:formatCode>0.000</c:formatCode>
                <c:ptCount val="6"/>
                <c:pt idx="0">
                  <c:v>401.59486162483779</c:v>
                </c:pt>
                <c:pt idx="1">
                  <c:v>401.59606547282738</c:v>
                </c:pt>
                <c:pt idx="2">
                  <c:v>401.59911866942468</c:v>
                </c:pt>
                <c:pt idx="3">
                  <c:v>401.6035370016308</c:v>
                </c:pt>
                <c:pt idx="4">
                  <c:v>401.59948832269549</c:v>
                </c:pt>
                <c:pt idx="5">
                  <c:v>401.60227156067828</c:v>
                </c:pt>
              </c:numCache>
            </c:numRef>
          </c:yVal>
          <c:smooth val="0"/>
          <c:extLst>
            <c:ext xmlns:c16="http://schemas.microsoft.com/office/drawing/2014/chart" uri="{C3380CC4-5D6E-409C-BE32-E72D297353CC}">
              <c16:uniqueId val="{00000000-AE84-4FEF-9FEF-C4748EEE8E6F}"/>
            </c:ext>
          </c:extLst>
        </c:ser>
        <c:ser>
          <c:idx val="1"/>
          <c:order val="1"/>
          <c:tx>
            <c:strRef>
              <c:f>'Transmission Line Design'!$Q$48</c:f>
              <c:strCache>
                <c:ptCount val="1"/>
                <c:pt idx="0">
                  <c:v>Lodd (nH/u.l)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Design'!$AV$48:$BA$48</c:f>
                <c:numCache>
                  <c:formatCode>General</c:formatCode>
                  <c:ptCount val="6"/>
                  <c:pt idx="0">
                    <c:v>32.967313531770102</c:v>
                  </c:pt>
                  <c:pt idx="1">
                    <c:v>32.962796953217499</c:v>
                  </c:pt>
                  <c:pt idx="2">
                    <c:v>32.962075647099901</c:v>
                  </c:pt>
                  <c:pt idx="3">
                    <c:v>32.962748840678202</c:v>
                  </c:pt>
                  <c:pt idx="4">
                    <c:v>32.963672183385697</c:v>
                  </c:pt>
                  <c:pt idx="5">
                    <c:v>32.959245689183497</c:v>
                  </c:pt>
                </c:numCache>
              </c:numRef>
            </c:plus>
            <c:minus>
              <c:numRef>
                <c:f>'Transmission Line Design'!$AM$48:$AR$48</c:f>
                <c:numCache>
                  <c:formatCode>General</c:formatCode>
                  <c:ptCount val="6"/>
                  <c:pt idx="0">
                    <c:v>30.4394690988116</c:v>
                  </c:pt>
                  <c:pt idx="1">
                    <c:v>30.439461141064399</c:v>
                  </c:pt>
                  <c:pt idx="2">
                    <c:v>30.438611317330299</c:v>
                  </c:pt>
                  <c:pt idx="3">
                    <c:v>30.439826497151799</c:v>
                  </c:pt>
                  <c:pt idx="4">
                    <c:v>30.4393279283771</c:v>
                  </c:pt>
                  <c:pt idx="5">
                    <c:v>30.450680896101701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Design'!$S$48:$X$48</c:f>
              <c:numCache>
                <c:formatCode>0.000</c:formatCode>
                <c:ptCount val="6"/>
                <c:pt idx="0">
                  <c:v>289.60683889439684</c:v>
                </c:pt>
                <c:pt idx="1">
                  <c:v>289.60789170434543</c:v>
                </c:pt>
                <c:pt idx="2">
                  <c:v>289.60757399924802</c:v>
                </c:pt>
                <c:pt idx="3">
                  <c:v>289.60621263561131</c:v>
                </c:pt>
                <c:pt idx="4">
                  <c:v>289.60867761145443</c:v>
                </c:pt>
                <c:pt idx="5">
                  <c:v>289.61037283441527</c:v>
                </c:pt>
              </c:numCache>
            </c:numRef>
          </c:yVal>
          <c:smooth val="0"/>
          <c:extLst>
            <c:ext xmlns:c16="http://schemas.microsoft.com/office/drawing/2014/chart" uri="{C3380CC4-5D6E-409C-BE32-E72D297353CC}">
              <c16:uniqueId val="{00000001-AE84-4FEF-9FEF-C4748EEE8E6F}"/>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Inductance (nH/u.l)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Capacitance (pF/u.l)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Design'!$Q$51</c:f>
              <c:strCache>
                <c:ptCount val="1"/>
                <c:pt idx="0">
                  <c:v>Ceven (pF/u.l)</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Design'!$AV$51:$BA$51</c:f>
                <c:numCache>
                  <c:formatCode>General</c:formatCode>
                  <c:ptCount val="6"/>
                  <c:pt idx="0">
                    <c:v>9.7284257348418208</c:v>
                  </c:pt>
                  <c:pt idx="1">
                    <c:v>9.7293852534290295</c:v>
                  </c:pt>
                  <c:pt idx="2">
                    <c:v>9.7254969509441302</c:v>
                  </c:pt>
                  <c:pt idx="3">
                    <c:v>9.7331258695579503</c:v>
                  </c:pt>
                  <c:pt idx="4">
                    <c:v>9.7427162965823602</c:v>
                  </c:pt>
                  <c:pt idx="5">
                    <c:v>9.7554767552366695</c:v>
                  </c:pt>
                </c:numCache>
              </c:numRef>
            </c:plus>
            <c:minus>
              <c:numRef>
                <c:f>'Transmission Line Design'!$AM$52:$AR$52</c:f>
                <c:numCache>
                  <c:formatCode>General</c:formatCode>
                  <c:ptCount val="6"/>
                  <c:pt idx="0">
                    <c:v>16.267256556489698</c:v>
                  </c:pt>
                  <c:pt idx="1">
                    <c:v>16.267136854067299</c:v>
                  </c:pt>
                  <c:pt idx="2">
                    <c:v>16.259404814890299</c:v>
                  </c:pt>
                  <c:pt idx="3">
                    <c:v>16.2757195132221</c:v>
                  </c:pt>
                  <c:pt idx="4">
                    <c:v>16.291994377974198</c:v>
                  </c:pt>
                  <c:pt idx="5">
                    <c:v>16.321874656455801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Design'!$S$51:$X$51</c:f>
              <c:numCache>
                <c:formatCode>0.000</c:formatCode>
                <c:ptCount val="6"/>
                <c:pt idx="0">
                  <c:v>83.708606125965403</c:v>
                </c:pt>
                <c:pt idx="1">
                  <c:v>83.708355201141956</c:v>
                </c:pt>
                <c:pt idx="2">
                  <c:v>83.747245061238516</c:v>
                </c:pt>
                <c:pt idx="3">
                  <c:v>83.668200266484732</c:v>
                </c:pt>
                <c:pt idx="4">
                  <c:v>83.590037529999876</c:v>
                </c:pt>
                <c:pt idx="5">
                  <c:v>83.470101878022632</c:v>
                </c:pt>
              </c:numCache>
            </c:numRef>
          </c:yVal>
          <c:smooth val="0"/>
          <c:extLst>
            <c:ext xmlns:c16="http://schemas.microsoft.com/office/drawing/2014/chart" uri="{C3380CC4-5D6E-409C-BE32-E72D297353CC}">
              <c16:uniqueId val="{00000000-EEE5-44AE-9D3E-ACDC2B83605D}"/>
            </c:ext>
          </c:extLst>
        </c:ser>
        <c:ser>
          <c:idx val="1"/>
          <c:order val="1"/>
          <c:tx>
            <c:strRef>
              <c:f>'Transmission Line Design'!$Q$52</c:f>
              <c:strCache>
                <c:ptCount val="1"/>
                <c:pt idx="0">
                  <c:v>Codd (pF/u.l)</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Design'!$AV$52:$BA$52</c:f>
                <c:numCache>
                  <c:formatCode>General</c:formatCode>
                  <c:ptCount val="6"/>
                  <c:pt idx="0">
                    <c:v>13.9410588942056</c:v>
                  </c:pt>
                  <c:pt idx="1">
                    <c:v>13.9423722051448</c:v>
                  </c:pt>
                  <c:pt idx="2">
                    <c:v>13.936367470655499</c:v>
                  </c:pt>
                  <c:pt idx="3">
                    <c:v>13.9490042392293</c:v>
                  </c:pt>
                  <c:pt idx="4">
                    <c:v>13.9608576575363</c:v>
                  </c:pt>
                  <c:pt idx="5">
                    <c:v>13.976602881593999</c:v>
                  </c:pt>
                </c:numCache>
              </c:numRef>
            </c:plus>
            <c:minus>
              <c:numRef>
                <c:f>'Transmission Line Design'!$AM$52:$AR$52</c:f>
                <c:numCache>
                  <c:formatCode>General</c:formatCode>
                  <c:ptCount val="6"/>
                  <c:pt idx="0">
                    <c:v>16.267256556489698</c:v>
                  </c:pt>
                  <c:pt idx="1">
                    <c:v>16.267136854067299</c:v>
                  </c:pt>
                  <c:pt idx="2">
                    <c:v>16.259404814890299</c:v>
                  </c:pt>
                  <c:pt idx="3">
                    <c:v>16.2757195132221</c:v>
                  </c:pt>
                  <c:pt idx="4">
                    <c:v>16.291994377974198</c:v>
                  </c:pt>
                  <c:pt idx="5">
                    <c:v>16.321874656455801</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Design'!$S$52:$X$52</c:f>
              <c:numCache>
                <c:formatCode>0.000</c:formatCode>
                <c:ptCount val="6"/>
                <c:pt idx="0">
                  <c:v>116.07787257688197</c:v>
                </c:pt>
                <c:pt idx="1">
                  <c:v>116.07745060973244</c:v>
                </c:pt>
                <c:pt idx="2">
                  <c:v>116.13238905454936</c:v>
                </c:pt>
                <c:pt idx="3">
                  <c:v>116.0245994207211</c:v>
                </c:pt>
                <c:pt idx="4">
                  <c:v>115.91405419454659</c:v>
                </c:pt>
                <c:pt idx="5">
                  <c:v>115.74786443403765</c:v>
                </c:pt>
              </c:numCache>
            </c:numRef>
          </c:yVal>
          <c:smooth val="0"/>
          <c:extLst>
            <c:ext xmlns:c16="http://schemas.microsoft.com/office/drawing/2014/chart" uri="{C3380CC4-5D6E-409C-BE32-E72D297353CC}">
              <c16:uniqueId val="{00000001-EEE5-44AE-9D3E-ACDC2B83605D}"/>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9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Capacitance (pF/u.l)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Dielectric</a:t>
            </a:r>
            <a:r>
              <a:rPr lang="en-US" baseline="0"/>
              <a:t> Constant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'Transmission Line Design'!$Q$19</c:f>
              <c:strCache>
                <c:ptCount val="1"/>
                <c:pt idx="0">
                  <c:v>Dk_avg</c:v>
                </c:pt>
              </c:strCache>
            </c:strRef>
          </c:tx>
          <c:spPr>
            <a:ln w="9525" cap="rnd">
              <a:solidFill>
                <a:schemeClr val="accent1"/>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Design'!$AV$19:$BA$19</c:f>
                <c:numCache>
                  <c:formatCode>General</c:formatCode>
                  <c:ptCount val="6"/>
                  <c:pt idx="0">
                    <c:v>6.0338916380977103E-2</c:v>
                  </c:pt>
                  <c:pt idx="1">
                    <c:v>6.0338916380977103E-2</c:v>
                  </c:pt>
                  <c:pt idx="2">
                    <c:v>6.00063980942021E-2</c:v>
                  </c:pt>
                  <c:pt idx="3">
                    <c:v>6.06708574463974E-2</c:v>
                  </c:pt>
                  <c:pt idx="4">
                    <c:v>6.1333007728358299E-2</c:v>
                  </c:pt>
                  <c:pt idx="5">
                    <c:v>6.2321902960437797E-2</c:v>
                  </c:pt>
                </c:numCache>
              </c:numRef>
            </c:plus>
            <c:minus>
              <c:numRef>
                <c:f>'Transmission Line Design'!$AM$19:$AR$19</c:f>
                <c:numCache>
                  <c:formatCode>General</c:formatCode>
                  <c:ptCount val="6"/>
                  <c:pt idx="0">
                    <c:v>6.1353641588909102E-2</c:v>
                  </c:pt>
                  <c:pt idx="1">
                    <c:v>6.1353641588909102E-2</c:v>
                  </c:pt>
                  <c:pt idx="2">
                    <c:v>6.1010812449064498E-2</c:v>
                  </c:pt>
                  <c:pt idx="3">
                    <c:v>6.1695916208275699E-2</c:v>
                  </c:pt>
                  <c:pt idx="4">
                    <c:v>6.2378799879972302E-2</c:v>
                  </c:pt>
                  <c:pt idx="5">
                    <c:v>6.3398954108045302E-2</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Design'!$S$19:$X$19</c:f>
              <c:numCache>
                <c:formatCode>0.00</c:formatCode>
                <c:ptCount val="6"/>
                <c:pt idx="0">
                  <c:v>3.0213604424201304</c:v>
                </c:pt>
                <c:pt idx="1">
                  <c:v>3.0213604424201304</c:v>
                </c:pt>
                <c:pt idx="2">
                  <c:v>3.0227716141086947</c:v>
                </c:pt>
                <c:pt idx="3">
                  <c:v>3.0199441736287236</c:v>
                </c:pt>
                <c:pt idx="4">
                  <c:v>3.017096390882902</c:v>
                </c:pt>
                <c:pt idx="5">
                  <c:v>3.0127867759905964</c:v>
                </c:pt>
              </c:numCache>
            </c:numRef>
          </c:yVal>
          <c:smooth val="0"/>
          <c:extLst>
            <c:ext xmlns:c16="http://schemas.microsoft.com/office/drawing/2014/chart" uri="{C3380CC4-5D6E-409C-BE32-E72D297353CC}">
              <c16:uniqueId val="{00000000-FC66-4877-908E-634F039914BA}"/>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Loss Tangent</a:t>
            </a:r>
            <a:endParaRPr lang="el-G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plotArea>
      <c:layout/>
      <c:scatterChart>
        <c:scatterStyle val="lineMarker"/>
        <c:varyColors val="0"/>
        <c:ser>
          <c:idx val="1"/>
          <c:order val="0"/>
          <c:tx>
            <c:strRef>
              <c:f>'Transmission Line Design'!$Q$20</c:f>
              <c:strCache>
                <c:ptCount val="1"/>
                <c:pt idx="0">
                  <c:v>Df</c:v>
                </c:pt>
              </c:strCache>
            </c:strRef>
          </c:tx>
          <c:spPr>
            <a:ln w="9525" cap="rnd">
              <a:solidFill>
                <a:schemeClr val="accent2"/>
              </a:solidFill>
              <a:round/>
            </a:ln>
            <a:effectLst>
              <a:outerShdw blurRad="57150" dist="19050" dir="5400000" algn="ctr" rotWithShape="0">
                <a:srgbClr val="000000">
                  <a:alpha val="63000"/>
                </a:srgbClr>
              </a:outerShdw>
            </a:effectLst>
          </c:spPr>
          <c:marker>
            <c:symbol val="none"/>
          </c:marker>
          <c:errBars>
            <c:errDir val="y"/>
            <c:errBarType val="both"/>
            <c:errValType val="cust"/>
            <c:noEndCap val="0"/>
            <c:plus>
              <c:numRef>
                <c:f>'Transmission Line Design'!$AV$20:$BA$20</c:f>
                <c:numCache>
                  <c:formatCode>General</c:formatCode>
                  <c:ptCount val="6"/>
                  <c:pt idx="0">
                    <c:v>2.30629455341751E-4</c:v>
                  </c:pt>
                  <c:pt idx="1">
                    <c:v>2.30629455341751E-4</c:v>
                  </c:pt>
                  <c:pt idx="2">
                    <c:v>2.30629455341751E-4</c:v>
                  </c:pt>
                  <c:pt idx="3">
                    <c:v>2.30629455341751E-4</c:v>
                  </c:pt>
                  <c:pt idx="4">
                    <c:v>2.30629455341751E-4</c:v>
                  </c:pt>
                  <c:pt idx="5">
                    <c:v>2.30629455341751E-4</c:v>
                  </c:pt>
                </c:numCache>
              </c:numRef>
            </c:plus>
            <c:minus>
              <c:numRef>
                <c:f>'Transmission Line Design'!$AM$20:$AR$20</c:f>
                <c:numCache>
                  <c:formatCode>General</c:formatCode>
                  <c:ptCount val="6"/>
                  <c:pt idx="0">
                    <c:v>2.3062945534175E-4</c:v>
                  </c:pt>
                  <c:pt idx="1">
                    <c:v>2.3062945534175E-4</c:v>
                  </c:pt>
                  <c:pt idx="2">
                    <c:v>2.3062945534175E-4</c:v>
                  </c:pt>
                  <c:pt idx="3">
                    <c:v>2.3062945534175E-4</c:v>
                  </c:pt>
                  <c:pt idx="4">
                    <c:v>2.3062945534175E-4</c:v>
                  </c:pt>
                  <c:pt idx="5">
                    <c:v>2.3062945534175E-4</c:v>
                  </c:pt>
                </c:numCache>
              </c:numRef>
            </c:minus>
            <c:spPr>
              <a:noFill/>
              <a:ln w="9525" cap="flat" cmpd="sng" algn="ctr">
                <a:solidFill>
                  <a:schemeClr val="lt1">
                    <a:lumMod val="95000"/>
                  </a:schemeClr>
                </a:solidFill>
                <a:round/>
              </a:ln>
              <a:effectLst/>
            </c:spPr>
          </c:errBars>
          <c:xVal>
            <c:numRef>
              <c:f>'Transmission Line Design'!$S$18:$X$18</c:f>
              <c:numCache>
                <c:formatCode>0.00</c:formatCode>
                <c:ptCount val="6"/>
                <c:pt idx="0">
                  <c:v>1</c:v>
                </c:pt>
                <c:pt idx="1">
                  <c:v>2</c:v>
                </c:pt>
                <c:pt idx="2">
                  <c:v>5</c:v>
                </c:pt>
                <c:pt idx="3">
                  <c:v>10</c:v>
                </c:pt>
                <c:pt idx="4">
                  <c:v>15</c:v>
                </c:pt>
                <c:pt idx="5">
                  <c:v>20</c:v>
                </c:pt>
              </c:numCache>
            </c:numRef>
          </c:xVal>
          <c:yVal>
            <c:numRef>
              <c:f>'Transmission Line Design'!$S$20:$X$20</c:f>
              <c:numCache>
                <c:formatCode>0.0000</c:formatCode>
                <c:ptCount val="6"/>
                <c:pt idx="0">
                  <c:v>1.7845167652859959E-3</c:v>
                </c:pt>
                <c:pt idx="1">
                  <c:v>1.7845167652859959E-3</c:v>
                </c:pt>
                <c:pt idx="2">
                  <c:v>1.7845167652859959E-3</c:v>
                </c:pt>
                <c:pt idx="3">
                  <c:v>1.7845167652859959E-3</c:v>
                </c:pt>
                <c:pt idx="4">
                  <c:v>1.7845167652859959E-3</c:v>
                </c:pt>
                <c:pt idx="5">
                  <c:v>1.7845167652859959E-3</c:v>
                </c:pt>
              </c:numCache>
            </c:numRef>
          </c:yVal>
          <c:smooth val="0"/>
          <c:extLst>
            <c:ext xmlns:c16="http://schemas.microsoft.com/office/drawing/2014/chart" uri="{C3380CC4-5D6E-409C-BE32-E72D297353CC}">
              <c16:uniqueId val="{00000001-420E-47CF-A958-4223A8636CD5}"/>
            </c:ext>
          </c:extLst>
        </c:ser>
        <c:dLbls>
          <c:showLegendKey val="0"/>
          <c:showVal val="0"/>
          <c:showCatName val="0"/>
          <c:showSerName val="0"/>
          <c:showPercent val="0"/>
          <c:showBubbleSize val="0"/>
        </c:dLbls>
        <c:axId val="108259712"/>
        <c:axId val="108262112"/>
      </c:scatterChart>
      <c:valAx>
        <c:axId val="10825971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(GHz)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62112"/>
        <c:crosses val="autoZero"/>
        <c:crossBetween val="midCat"/>
      </c:valAx>
      <c:valAx>
        <c:axId val="108262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9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Final DF Values at Base Temperature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571626031953106"/>
          <c:y val="0.20129112095267415"/>
          <c:w val="0.74879005712264779"/>
          <c:h val="0.50892137592611519"/>
        </c:manualLayout>
      </c:layout>
      <c:scatterChart>
        <c:scatterStyle val="lineMarker"/>
        <c:varyColors val="0"/>
        <c:ser>
          <c:idx val="0"/>
          <c:order val="0"/>
          <c:tx>
            <c:v>DF</c:v>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Modeler'!$U$24:$Z$24</c:f>
              <c:numCache>
                <c:formatCode>0.00</c:formatCode>
                <c:ptCount val="6"/>
                <c:pt idx="0">
                  <c:v>1</c:v>
                </c:pt>
                <c:pt idx="1">
                  <c:v>2</c:v>
                </c:pt>
                <c:pt idx="2">
                  <c:v>5</c:v>
                </c:pt>
                <c:pt idx="3">
                  <c:v>10</c:v>
                </c:pt>
                <c:pt idx="4">
                  <c:v>15</c:v>
                </c:pt>
                <c:pt idx="5">
                  <c:v>20</c:v>
                </c:pt>
              </c:numCache>
            </c:numRef>
          </c:xVal>
          <c:yVal>
            <c:numRef>
              <c:f>'Material Modeler'!$U$28:$Z$28</c:f>
              <c:numCache>
                <c:formatCode>0.0000</c:formatCode>
                <c:ptCount val="6"/>
                <c:pt idx="0">
                  <c:v>1.7845167652859959E-3</c:v>
                </c:pt>
                <c:pt idx="1">
                  <c:v>1.7845167652859959E-3</c:v>
                </c:pt>
                <c:pt idx="2">
                  <c:v>1.7845167652859959E-3</c:v>
                </c:pt>
                <c:pt idx="3">
                  <c:v>1.7845167652859959E-3</c:v>
                </c:pt>
                <c:pt idx="4">
                  <c:v>1.7845167652859959E-3</c:v>
                </c:pt>
                <c:pt idx="5">
                  <c:v>1.7845167652859959E-3</c:v>
                </c:pt>
              </c:numCache>
            </c:numRef>
          </c:yVal>
          <c:smooth val="0"/>
          <c:extLst>
            <c:ext xmlns:c16="http://schemas.microsoft.com/office/drawing/2014/chart" uri="{C3380CC4-5D6E-409C-BE32-E72D297353CC}">
              <c16:uniqueId val="{00000000-0B78-4988-88A5-23736FD620AE}"/>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DF</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Modeler'!$A$23:$H$23</c:f>
          <c:strCache>
            <c:ptCount val="8"/>
            <c:pt idx="0">
              <c:v>DK_InPlane (From Dk_Glass, DK_Resin, and RC)</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Modeler'!$C$24</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Modeler'!$C$25:$C$28</c:f>
              <c:numCache>
                <c:formatCode>0.00</c:formatCode>
                <c:ptCount val="4"/>
                <c:pt idx="0">
                  <c:v>3.1938461538461538</c:v>
                </c:pt>
                <c:pt idx="1">
                  <c:v>3.1446153846153848</c:v>
                </c:pt>
                <c:pt idx="2">
                  <c:v>3.0215384615384613</c:v>
                </c:pt>
                <c:pt idx="3">
                  <c:v>3.105798816568047</c:v>
                </c:pt>
              </c:numCache>
            </c:numRef>
          </c:yVal>
          <c:smooth val="0"/>
          <c:extLst>
            <c:ext xmlns:c16="http://schemas.microsoft.com/office/drawing/2014/chart" uri="{C3380CC4-5D6E-409C-BE32-E72D297353CC}">
              <c16:uniqueId val="{00000000-E8F2-4BC5-B561-CCE1E60D5638}"/>
            </c:ext>
          </c:extLst>
        </c:ser>
        <c:ser>
          <c:idx val="1"/>
          <c:order val="1"/>
          <c:tx>
            <c:strRef>
              <c:f>'Material Modeler'!$D$24</c:f>
              <c:strCache>
                <c:ptCount val="1"/>
                <c:pt idx="0">
                  <c:v>2.00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Modeler'!$D$25:$D$28</c:f>
              <c:numCache>
                <c:formatCode>0.00</c:formatCode>
                <c:ptCount val="4"/>
                <c:pt idx="0">
                  <c:v>3.1938461538461538</c:v>
                </c:pt>
                <c:pt idx="1">
                  <c:v>3.1446153846153848</c:v>
                </c:pt>
                <c:pt idx="2">
                  <c:v>3.0215384615384613</c:v>
                </c:pt>
                <c:pt idx="3">
                  <c:v>3.105798816568047</c:v>
                </c:pt>
              </c:numCache>
            </c:numRef>
          </c:yVal>
          <c:smooth val="0"/>
          <c:extLst>
            <c:ext xmlns:c16="http://schemas.microsoft.com/office/drawing/2014/chart" uri="{C3380CC4-5D6E-409C-BE32-E72D297353CC}">
              <c16:uniqueId val="{00000001-E8F2-4BC5-B561-CCE1E60D5638}"/>
            </c:ext>
          </c:extLst>
        </c:ser>
        <c:ser>
          <c:idx val="2"/>
          <c:order val="2"/>
          <c:tx>
            <c:strRef>
              <c:f>'Material Modeler'!$E$24</c:f>
              <c:strCache>
                <c:ptCount val="1"/>
                <c:pt idx="0">
                  <c:v>5.00</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Modeler'!$E$25:$E$28</c:f>
              <c:numCache>
                <c:formatCode>0.00</c:formatCode>
                <c:ptCount val="4"/>
                <c:pt idx="0">
                  <c:v>3.193717948717949</c:v>
                </c:pt>
                <c:pt idx="1">
                  <c:v>3.1447948717948719</c:v>
                </c:pt>
                <c:pt idx="2">
                  <c:v>3.0224871794871797</c:v>
                </c:pt>
                <c:pt idx="3">
                  <c:v>3.1062209072978306</c:v>
                </c:pt>
              </c:numCache>
            </c:numRef>
          </c:yVal>
          <c:smooth val="0"/>
          <c:extLst>
            <c:ext xmlns:c16="http://schemas.microsoft.com/office/drawing/2014/chart" uri="{C3380CC4-5D6E-409C-BE32-E72D297353CC}">
              <c16:uniqueId val="{00000002-E8F2-4BC5-B561-CCE1E60D5638}"/>
            </c:ext>
          </c:extLst>
        </c:ser>
        <c:ser>
          <c:idx val="3"/>
          <c:order val="3"/>
          <c:tx>
            <c:strRef>
              <c:f>'Material Modeler'!$F$24</c:f>
              <c:strCache>
                <c:ptCount val="1"/>
                <c:pt idx="0">
                  <c:v>10.00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Modeler'!$F$25:$F$28</c:f>
              <c:numCache>
                <c:formatCode>0.00</c:formatCode>
                <c:ptCount val="4"/>
                <c:pt idx="0">
                  <c:v>3.1939743589743594</c:v>
                </c:pt>
                <c:pt idx="1">
                  <c:v>3.1444358974358977</c:v>
                </c:pt>
                <c:pt idx="2">
                  <c:v>3.0205897435897437</c:v>
                </c:pt>
                <c:pt idx="3">
                  <c:v>3.1053767258382647</c:v>
                </c:pt>
              </c:numCache>
            </c:numRef>
          </c:yVal>
          <c:smooth val="0"/>
          <c:extLst>
            <c:ext xmlns:c16="http://schemas.microsoft.com/office/drawing/2014/chart" uri="{C3380CC4-5D6E-409C-BE32-E72D297353CC}">
              <c16:uniqueId val="{00000003-E8F2-4BC5-B561-CCE1E60D5638}"/>
            </c:ext>
          </c:extLst>
        </c:ser>
        <c:ser>
          <c:idx val="4"/>
          <c:order val="4"/>
          <c:tx>
            <c:strRef>
              <c:f>'Material Modeler'!$G$24</c:f>
              <c:strCache>
                <c:ptCount val="1"/>
                <c:pt idx="0">
                  <c:v>15.00</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Modeler'!$G$25:$G$28</c:f>
              <c:numCache>
                <c:formatCode>0.00</c:formatCode>
                <c:ptCount val="4"/>
                <c:pt idx="0">
                  <c:v>3.194230769230769</c:v>
                </c:pt>
                <c:pt idx="1">
                  <c:v>3.1440769230769225</c:v>
                </c:pt>
                <c:pt idx="2">
                  <c:v>3.0186923076923073</c:v>
                </c:pt>
                <c:pt idx="3">
                  <c:v>3.1045325443786975</c:v>
                </c:pt>
              </c:numCache>
            </c:numRef>
          </c:yVal>
          <c:smooth val="0"/>
          <c:extLst>
            <c:ext xmlns:c16="http://schemas.microsoft.com/office/drawing/2014/chart" uri="{C3380CC4-5D6E-409C-BE32-E72D297353CC}">
              <c16:uniqueId val="{00000000-17DD-4A05-8980-FBE88EBEB021}"/>
            </c:ext>
          </c:extLst>
        </c:ser>
        <c:ser>
          <c:idx val="5"/>
          <c:order val="5"/>
          <c:tx>
            <c:strRef>
              <c:f>'Material Modeler'!$H$24</c:f>
              <c:strCache>
                <c:ptCount val="1"/>
                <c:pt idx="0">
                  <c:v>20.00</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Modeler'!$H$25:$H$28</c:f>
              <c:numCache>
                <c:formatCode>0.00</c:formatCode>
                <c:ptCount val="4"/>
                <c:pt idx="0">
                  <c:v>3.1946153846153851</c:v>
                </c:pt>
                <c:pt idx="1">
                  <c:v>3.1435384615384621</c:v>
                </c:pt>
                <c:pt idx="2">
                  <c:v>3.0158461538461543</c:v>
                </c:pt>
                <c:pt idx="3">
                  <c:v>3.1032662721893494</c:v>
                </c:pt>
              </c:numCache>
            </c:numRef>
          </c:yVal>
          <c:smooth val="0"/>
          <c:extLst>
            <c:ext xmlns:c16="http://schemas.microsoft.com/office/drawing/2014/chart" uri="{C3380CC4-5D6E-409C-BE32-E72D297353CC}">
              <c16:uniqueId val="{00000001-17DD-4A05-8980-FBE88EBEB021}"/>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Modeler'!$J$23:$Q$23</c:f>
          <c:strCache>
            <c:ptCount val="8"/>
            <c:pt idx="0">
              <c:v>DK_OutofPlane (From Dk_Glass, DK_Resin, and RC)</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Modeler'!$L$24</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Modeler'!$L$25:$L$28</c:f>
              <c:numCache>
                <c:formatCode>0.00</c:formatCode>
                <c:ptCount val="4"/>
                <c:pt idx="0">
                  <c:v>3.0103418305631466</c:v>
                </c:pt>
                <c:pt idx="1">
                  <c:v>2.9688437237661818</c:v>
                </c:pt>
                <c:pt idx="2">
                  <c:v>2.8699372143680861</c:v>
                </c:pt>
                <c:pt idx="3">
                  <c:v>2.9369220682722141</c:v>
                </c:pt>
              </c:numCache>
            </c:numRef>
          </c:yVal>
          <c:smooth val="0"/>
          <c:extLst>
            <c:ext xmlns:c16="http://schemas.microsoft.com/office/drawing/2014/chart" uri="{C3380CC4-5D6E-409C-BE32-E72D297353CC}">
              <c16:uniqueId val="{00000000-BF33-43FE-8578-32CFAFDE4D7E}"/>
            </c:ext>
          </c:extLst>
        </c:ser>
        <c:ser>
          <c:idx val="1"/>
          <c:order val="1"/>
          <c:tx>
            <c:strRef>
              <c:f>'Material Modeler'!$M$24</c:f>
              <c:strCache>
                <c:ptCount val="1"/>
                <c:pt idx="0">
                  <c:v>2.00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Modeler'!$M$25:$M$28</c:f>
              <c:numCache>
                <c:formatCode>0.00</c:formatCode>
                <c:ptCount val="4"/>
                <c:pt idx="0">
                  <c:v>3.0103418305631466</c:v>
                </c:pt>
                <c:pt idx="1">
                  <c:v>2.9688437237661818</c:v>
                </c:pt>
                <c:pt idx="2">
                  <c:v>2.8699372143680861</c:v>
                </c:pt>
                <c:pt idx="3">
                  <c:v>2.9369220682722141</c:v>
                </c:pt>
              </c:numCache>
            </c:numRef>
          </c:yVal>
          <c:smooth val="0"/>
          <c:extLst>
            <c:ext xmlns:c16="http://schemas.microsoft.com/office/drawing/2014/chart" uri="{C3380CC4-5D6E-409C-BE32-E72D297353CC}">
              <c16:uniqueId val="{00000001-BF33-43FE-8578-32CFAFDE4D7E}"/>
            </c:ext>
          </c:extLst>
        </c:ser>
        <c:ser>
          <c:idx val="2"/>
          <c:order val="2"/>
          <c:tx>
            <c:strRef>
              <c:f>'Material Modeler'!$N$24</c:f>
              <c:strCache>
                <c:ptCount val="1"/>
                <c:pt idx="0">
                  <c:v>5.00</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Modeler'!$N$25:$N$28</c:f>
              <c:numCache>
                <c:formatCode>0.00</c:formatCode>
                <c:ptCount val="4"/>
                <c:pt idx="0">
                  <c:v>3.012388052243999</c:v>
                </c:pt>
                <c:pt idx="1">
                  <c:v>2.971092517561734</c:v>
                </c:pt>
                <c:pt idx="2">
                  <c:v>2.872642945070925</c:v>
                </c:pt>
                <c:pt idx="3">
                  <c:v>2.9393223209195587</c:v>
                </c:pt>
              </c:numCache>
            </c:numRef>
          </c:yVal>
          <c:smooth val="0"/>
          <c:extLst>
            <c:ext xmlns:c16="http://schemas.microsoft.com/office/drawing/2014/chart" uri="{C3380CC4-5D6E-409C-BE32-E72D297353CC}">
              <c16:uniqueId val="{00000002-BF33-43FE-8578-32CFAFDE4D7E}"/>
            </c:ext>
          </c:extLst>
        </c:ser>
        <c:ser>
          <c:idx val="3"/>
          <c:order val="3"/>
          <c:tx>
            <c:strRef>
              <c:f>'Material Modeler'!$O$24</c:f>
              <c:strCache>
                <c:ptCount val="1"/>
                <c:pt idx="0">
                  <c:v>10.00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Modeler'!$O$25:$O$28</c:f>
              <c:numCache>
                <c:formatCode>0.00</c:formatCode>
                <c:ptCount val="4"/>
                <c:pt idx="0">
                  <c:v>3.0082839709310307</c:v>
                </c:pt>
                <c:pt idx="1">
                  <c:v>2.9665840876515888</c:v>
                </c:pt>
                <c:pt idx="2">
                  <c:v>2.8672227449750398</c:v>
                </c:pt>
                <c:pt idx="3">
                  <c:v>2.934511621419182</c:v>
                </c:pt>
              </c:numCache>
            </c:numRef>
          </c:yVal>
          <c:smooth val="0"/>
          <c:extLst>
            <c:ext xmlns:c16="http://schemas.microsoft.com/office/drawing/2014/chart" uri="{C3380CC4-5D6E-409C-BE32-E72D297353CC}">
              <c16:uniqueId val="{00000003-BF33-43FE-8578-32CFAFDE4D7E}"/>
            </c:ext>
          </c:extLst>
        </c:ser>
        <c:ser>
          <c:idx val="4"/>
          <c:order val="4"/>
          <c:tx>
            <c:strRef>
              <c:f>'Material Modeler'!$P$24</c:f>
              <c:strCache>
                <c:ptCount val="1"/>
                <c:pt idx="0">
                  <c:v>15.00</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Modeler'!$P$25:$P$28</c:f>
              <c:numCache>
                <c:formatCode>0.00</c:formatCode>
                <c:ptCount val="4"/>
                <c:pt idx="0">
                  <c:v>3.0041334240732915</c:v>
                </c:pt>
                <c:pt idx="1">
                  <c:v>2.962032378888495</c:v>
                </c:pt>
                <c:pt idx="2">
                  <c:v>2.8617676823076543</c:v>
                </c:pt>
                <c:pt idx="3">
                  <c:v>2.9296602373871066</c:v>
                </c:pt>
              </c:numCache>
            </c:numRef>
          </c:yVal>
          <c:smooth val="0"/>
          <c:extLst>
            <c:ext xmlns:c16="http://schemas.microsoft.com/office/drawing/2014/chart" uri="{C3380CC4-5D6E-409C-BE32-E72D297353CC}">
              <c16:uniqueId val="{00000000-F4DA-4DB7-9B91-DA1F82B415F8}"/>
            </c:ext>
          </c:extLst>
        </c:ser>
        <c:ser>
          <c:idx val="5"/>
          <c:order val="5"/>
          <c:tx>
            <c:strRef>
              <c:f>'Material Modeler'!$Q$24</c:f>
              <c:strCache>
                <c:ptCount val="1"/>
                <c:pt idx="0">
                  <c:v>20.00</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Modeler'!$Q$25:$Q$28</c:f>
              <c:numCache>
                <c:formatCode>0.00</c:formatCode>
                <c:ptCount val="4"/>
                <c:pt idx="0">
                  <c:v>2.9978208568830169</c:v>
                </c:pt>
                <c:pt idx="1">
                  <c:v>2.9551240618499772</c:v>
                </c:pt>
                <c:pt idx="2">
                  <c:v>2.8535201221915019</c:v>
                </c:pt>
                <c:pt idx="3">
                  <c:v>2.9223072797918439</c:v>
                </c:pt>
              </c:numCache>
            </c:numRef>
          </c:yVal>
          <c:smooth val="0"/>
          <c:extLst>
            <c:ext xmlns:c16="http://schemas.microsoft.com/office/drawing/2014/chart" uri="{C3380CC4-5D6E-409C-BE32-E72D297353CC}">
              <c16:uniqueId val="{00000001-F4DA-4DB7-9B91-DA1F82B415F8}"/>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Modeler'!$AB$9:$AH$9</c:f>
          <c:strCache>
            <c:ptCount val="7"/>
            <c:pt idx="0">
              <c:v>Stripline Loss Decomposition at 25°C</c:v>
            </c:pt>
          </c:strCache>
        </c:strRef>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5571626031953106"/>
          <c:y val="0.20129112095267415"/>
          <c:w val="0.74879005712264779"/>
          <c:h val="0.44032963382099438"/>
        </c:manualLayout>
      </c:layout>
      <c:scatterChart>
        <c:scatterStyle val="lineMarker"/>
        <c:varyColors val="0"/>
        <c:ser>
          <c:idx val="0"/>
          <c:order val="0"/>
          <c:tx>
            <c:strRef>
              <c:f>'Material Modeler'!$AB$14</c:f>
              <c:strCache>
                <c:ptCount val="1"/>
                <c:pt idx="0">
                  <c:v>α_Dielectric (dB/m)</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Modeler'!$AD$10:$AI$10</c:f>
              <c:numCache>
                <c:formatCode>0.00</c:formatCode>
                <c:ptCount val="6"/>
                <c:pt idx="0">
                  <c:v>1</c:v>
                </c:pt>
                <c:pt idx="1">
                  <c:v>2</c:v>
                </c:pt>
                <c:pt idx="2">
                  <c:v>5</c:v>
                </c:pt>
                <c:pt idx="3">
                  <c:v>10</c:v>
                </c:pt>
                <c:pt idx="4">
                  <c:v>15</c:v>
                </c:pt>
                <c:pt idx="5">
                  <c:v>20</c:v>
                </c:pt>
              </c:numCache>
            </c:numRef>
          </c:xVal>
          <c:yVal>
            <c:numRef>
              <c:f>'Material Modeler'!$AD$14:$AI$14</c:f>
              <c:numCache>
                <c:formatCode>0.00</c:formatCode>
                <c:ptCount val="6"/>
                <c:pt idx="0">
                  <c:v>0.28233243409014946</c:v>
                </c:pt>
                <c:pt idx="1">
                  <c:v>0.56466486818029893</c:v>
                </c:pt>
                <c:pt idx="2">
                  <c:v>1.4119918009551595</c:v>
                </c:pt>
                <c:pt idx="3">
                  <c:v>2.8226625438527084</c:v>
                </c:pt>
                <c:pt idx="4">
                  <c:v>4.2319970340983604</c:v>
                </c:pt>
                <c:pt idx="5">
                  <c:v>5.6386312875173923</c:v>
                </c:pt>
              </c:numCache>
            </c:numRef>
          </c:yVal>
          <c:smooth val="0"/>
          <c:extLst>
            <c:ext xmlns:c16="http://schemas.microsoft.com/office/drawing/2014/chart" uri="{C3380CC4-5D6E-409C-BE32-E72D297353CC}">
              <c16:uniqueId val="{00000000-52F4-4FF2-8262-6851F7BEE136}"/>
            </c:ext>
          </c:extLst>
        </c:ser>
        <c:ser>
          <c:idx val="1"/>
          <c:order val="1"/>
          <c:tx>
            <c:strRef>
              <c:f>'Material Modeler'!$AB$15</c:f>
              <c:strCache>
                <c:ptCount val="1"/>
                <c:pt idx="0">
                  <c:v>α_SmoothMetal (dB/m)</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Modeler'!$AD$10:$AI$10</c:f>
              <c:numCache>
                <c:formatCode>0.00</c:formatCode>
                <c:ptCount val="6"/>
                <c:pt idx="0">
                  <c:v>1</c:v>
                </c:pt>
                <c:pt idx="1">
                  <c:v>2</c:v>
                </c:pt>
                <c:pt idx="2">
                  <c:v>5</c:v>
                </c:pt>
                <c:pt idx="3">
                  <c:v>10</c:v>
                </c:pt>
                <c:pt idx="4">
                  <c:v>15</c:v>
                </c:pt>
                <c:pt idx="5">
                  <c:v>20</c:v>
                </c:pt>
              </c:numCache>
            </c:numRef>
          </c:xVal>
          <c:yVal>
            <c:numRef>
              <c:f>'Material Modeler'!$AD$15:$AI$15</c:f>
              <c:numCache>
                <c:formatCode>0.00</c:formatCode>
                <c:ptCount val="6"/>
                <c:pt idx="0">
                  <c:v>4.4816628963570126</c:v>
                </c:pt>
                <c:pt idx="1">
                  <c:v>6.3380284500123754</c:v>
                </c:pt>
                <c:pt idx="2">
                  <c:v>10.023642915161538</c:v>
                </c:pt>
                <c:pt idx="3">
                  <c:v>14.168940429925259</c:v>
                </c:pt>
                <c:pt idx="4">
                  <c:v>17.345153167050547</c:v>
                </c:pt>
                <c:pt idx="5">
                  <c:v>20.014148282624053</c:v>
                </c:pt>
              </c:numCache>
            </c:numRef>
          </c:yVal>
          <c:smooth val="0"/>
          <c:extLst>
            <c:ext xmlns:c16="http://schemas.microsoft.com/office/drawing/2014/chart" uri="{C3380CC4-5D6E-409C-BE32-E72D297353CC}">
              <c16:uniqueId val="{00000001-52F4-4FF2-8262-6851F7BEE136}"/>
            </c:ext>
          </c:extLst>
        </c:ser>
        <c:ser>
          <c:idx val="2"/>
          <c:order val="2"/>
          <c:tx>
            <c:strRef>
              <c:f>'Material Modeler'!$AB$16</c:f>
              <c:strCache>
                <c:ptCount val="1"/>
                <c:pt idx="0">
                  <c:v>α_RoughMetal  (dB/m)</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Modeler'!$AD$10:$AI$10</c:f>
              <c:numCache>
                <c:formatCode>0.00</c:formatCode>
                <c:ptCount val="6"/>
                <c:pt idx="0">
                  <c:v>1</c:v>
                </c:pt>
                <c:pt idx="1">
                  <c:v>2</c:v>
                </c:pt>
                <c:pt idx="2">
                  <c:v>5</c:v>
                </c:pt>
                <c:pt idx="3">
                  <c:v>10</c:v>
                </c:pt>
                <c:pt idx="4">
                  <c:v>15</c:v>
                </c:pt>
                <c:pt idx="5">
                  <c:v>20</c:v>
                </c:pt>
              </c:numCache>
            </c:numRef>
          </c:xVal>
          <c:yVal>
            <c:numRef>
              <c:f>'Material Modeler'!$AD$16:$AI$16</c:f>
              <c:numCache>
                <c:formatCode>0.00</c:formatCode>
                <c:ptCount val="6"/>
                <c:pt idx="0">
                  <c:v>4.5603959961644316</c:v>
                </c:pt>
                <c:pt idx="1">
                  <c:v>6.5605499614529075</c:v>
                </c:pt>
                <c:pt idx="2">
                  <c:v>10.89880624585779</c:v>
                </c:pt>
                <c:pt idx="3">
                  <c:v>16.59825754230339</c:v>
                </c:pt>
                <c:pt idx="4">
                  <c:v>21.679780878190464</c:v>
                </c:pt>
                <c:pt idx="5">
                  <c:v>26.441110860811683</c:v>
                </c:pt>
              </c:numCache>
            </c:numRef>
          </c:yVal>
          <c:smooth val="0"/>
          <c:extLst>
            <c:ext xmlns:c16="http://schemas.microsoft.com/office/drawing/2014/chart" uri="{C3380CC4-5D6E-409C-BE32-E72D297353CC}">
              <c16:uniqueId val="{00000002-52F4-4FF2-8262-6851F7BEE136}"/>
            </c:ext>
          </c:extLst>
        </c:ser>
        <c:ser>
          <c:idx val="3"/>
          <c:order val="3"/>
          <c:tx>
            <c:strRef>
              <c:f>'Material Modeler'!$AB$17</c:f>
              <c:strCache>
                <c:ptCount val="1"/>
                <c:pt idx="0">
                  <c:v>α_Total  (dB/m)</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Modeler'!$AD$10:$AI$10</c:f>
              <c:numCache>
                <c:formatCode>0.00</c:formatCode>
                <c:ptCount val="6"/>
                <c:pt idx="0">
                  <c:v>1</c:v>
                </c:pt>
                <c:pt idx="1">
                  <c:v>2</c:v>
                </c:pt>
                <c:pt idx="2">
                  <c:v>5</c:v>
                </c:pt>
                <c:pt idx="3">
                  <c:v>10</c:v>
                </c:pt>
                <c:pt idx="4">
                  <c:v>15</c:v>
                </c:pt>
                <c:pt idx="5">
                  <c:v>20</c:v>
                </c:pt>
              </c:numCache>
            </c:numRef>
          </c:xVal>
          <c:yVal>
            <c:numRef>
              <c:f>'Material Modeler'!$AD$17:$AI$17</c:f>
              <c:numCache>
                <c:formatCode>0.00</c:formatCode>
                <c:ptCount val="6"/>
                <c:pt idx="0">
                  <c:v>4.8427284302545814</c:v>
                </c:pt>
                <c:pt idx="1">
                  <c:v>7.1252148296332063</c:v>
                </c:pt>
                <c:pt idx="2">
                  <c:v>12.310798046812948</c:v>
                </c:pt>
                <c:pt idx="3">
                  <c:v>19.420920086156098</c:v>
                </c:pt>
                <c:pt idx="4">
                  <c:v>25.911777912288823</c:v>
                </c:pt>
                <c:pt idx="5">
                  <c:v>32.079742148329075</c:v>
                </c:pt>
              </c:numCache>
            </c:numRef>
          </c:yVal>
          <c:smooth val="0"/>
          <c:extLst>
            <c:ext xmlns:c16="http://schemas.microsoft.com/office/drawing/2014/chart" uri="{C3380CC4-5D6E-409C-BE32-E72D297353CC}">
              <c16:uniqueId val="{00000003-52F4-4FF2-8262-6851F7BEE136}"/>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l-GR"/>
                  <a:t>α</a:t>
                </a:r>
                <a:r>
                  <a:rPr lang="en-US"/>
                  <a:t>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Modeler'!$AK$24:$AQ$24</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Modeler'!$AM$25</c:f>
              <c:strCache>
                <c:ptCount val="1"/>
                <c:pt idx="0">
                  <c:v>1.00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Modeler'!$AM$26:$AM$29</c:f>
              <c:numCache>
                <c:formatCode>0.00</c:formatCode>
                <c:ptCount val="4"/>
                <c:pt idx="0">
                  <c:v>4.1329671593312485</c:v>
                </c:pt>
                <c:pt idx="1">
                  <c:v>4.5731696530974952</c:v>
                </c:pt>
                <c:pt idx="2">
                  <c:v>4.8319341504040105</c:v>
                </c:pt>
                <c:pt idx="3">
                  <c:v>5.4595654375472531</c:v>
                </c:pt>
              </c:numCache>
            </c:numRef>
          </c:yVal>
          <c:smooth val="0"/>
          <c:extLst>
            <c:ext xmlns:c16="http://schemas.microsoft.com/office/drawing/2014/chart" uri="{C3380CC4-5D6E-409C-BE32-E72D297353CC}">
              <c16:uniqueId val="{00000001-A5C3-4E39-BBC9-B8FF93DF1593}"/>
            </c:ext>
          </c:extLst>
        </c:ser>
        <c:ser>
          <c:idx val="1"/>
          <c:order val="1"/>
          <c:tx>
            <c:strRef>
              <c:f>'Material Modeler'!$AN$25</c:f>
              <c:strCache>
                <c:ptCount val="1"/>
                <c:pt idx="0">
                  <c:v>2.00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Modeler'!$AN$26:$AN$29</c:f>
              <c:numCache>
                <c:formatCode>0.00</c:formatCode>
                <c:ptCount val="4"/>
                <c:pt idx="0">
                  <c:v>6.0976714940369687</c:v>
                </c:pt>
                <c:pt idx="1">
                  <c:v>6.7337478604726648</c:v>
                </c:pt>
                <c:pt idx="2">
                  <c:v>7.1096862631847797</c:v>
                </c:pt>
                <c:pt idx="3">
                  <c:v>8.0268592567910257</c:v>
                </c:pt>
              </c:numCache>
            </c:numRef>
          </c:yVal>
          <c:smooth val="0"/>
          <c:extLst>
            <c:ext xmlns:c16="http://schemas.microsoft.com/office/drawing/2014/chart" uri="{C3380CC4-5D6E-409C-BE32-E72D297353CC}">
              <c16:uniqueId val="{00000003-A5C3-4E39-BBC9-B8FF93DF1593}"/>
            </c:ext>
          </c:extLst>
        </c:ser>
        <c:ser>
          <c:idx val="2"/>
          <c:order val="2"/>
          <c:tx>
            <c:strRef>
              <c:f>'Material Modeler'!$AO$25</c:f>
              <c:strCache>
                <c:ptCount val="1"/>
                <c:pt idx="0">
                  <c:v>5.00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Modeler'!$AO$26:$AO$29</c:f>
              <c:numCache>
                <c:formatCode>0.00</c:formatCode>
                <c:ptCount val="4"/>
                <c:pt idx="0">
                  <c:v>10.634468325412595</c:v>
                </c:pt>
                <c:pt idx="1">
                  <c:v>11.667323582777698</c:v>
                </c:pt>
                <c:pt idx="2">
                  <c:v>12.285000996566897</c:v>
                </c:pt>
                <c:pt idx="3">
                  <c:v>13.811036420620439</c:v>
                </c:pt>
              </c:numCache>
            </c:numRef>
          </c:yVal>
          <c:smooth val="0"/>
          <c:extLst>
            <c:ext xmlns:c16="http://schemas.microsoft.com/office/drawing/2014/chart" uri="{C3380CC4-5D6E-409C-BE32-E72D297353CC}">
              <c16:uniqueId val="{00000005-A5C3-4E39-BBC9-B8FF93DF1593}"/>
            </c:ext>
          </c:extLst>
        </c:ser>
        <c:ser>
          <c:idx val="3"/>
          <c:order val="3"/>
          <c:tx>
            <c:strRef>
              <c:f>'Material Modeler'!$AP$25</c:f>
              <c:strCache>
                <c:ptCount val="1"/>
                <c:pt idx="0">
                  <c:v>10.00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trendline>
            <c:spPr>
              <a:ln w="19050" cap="rnd">
                <a:solidFill>
                  <a:schemeClr val="accent4"/>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Modeler'!$AP$26:$AP$29</c:f>
              <c:numCache>
                <c:formatCode>0.00</c:formatCode>
                <c:ptCount val="4"/>
                <c:pt idx="0">
                  <c:v>16.987591756268266</c:v>
                </c:pt>
                <c:pt idx="1">
                  <c:v>18.480526489909934</c:v>
                </c:pt>
                <c:pt idx="2">
                  <c:v>19.381632656491178</c:v>
                </c:pt>
                <c:pt idx="3">
                  <c:v>21.634706370879343</c:v>
                </c:pt>
              </c:numCache>
            </c:numRef>
          </c:yVal>
          <c:smooth val="0"/>
          <c:extLst>
            <c:ext xmlns:c16="http://schemas.microsoft.com/office/drawing/2014/chart" uri="{C3380CC4-5D6E-409C-BE32-E72D297353CC}">
              <c16:uniqueId val="{00000007-A5C3-4E39-BBC9-B8FF93DF1593}"/>
            </c:ext>
          </c:extLst>
        </c:ser>
        <c:ser>
          <c:idx val="4"/>
          <c:order val="4"/>
          <c:tx>
            <c:strRef>
              <c:f>'Material Modeler'!$AQ$25</c:f>
              <c:strCache>
                <c:ptCount val="1"/>
                <c:pt idx="0">
                  <c:v>15.00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trendline>
            <c:spPr>
              <a:ln w="19050" cap="rnd">
                <a:solidFill>
                  <a:schemeClr val="accent5"/>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Modeler'!$AQ$26:$AQ$29</c:f>
              <c:numCache>
                <c:formatCode>0.00</c:formatCode>
                <c:ptCount val="4"/>
                <c:pt idx="0">
                  <c:v>22.826398072060449</c:v>
                </c:pt>
                <c:pt idx="1">
                  <c:v>24.720338857936355</c:v>
                </c:pt>
                <c:pt idx="2">
                  <c:v>25.860462714640402</c:v>
                </c:pt>
                <c:pt idx="3">
                  <c:v>28.71708947482254</c:v>
                </c:pt>
              </c:numCache>
            </c:numRef>
          </c:yVal>
          <c:smooth val="0"/>
          <c:extLst>
            <c:ext xmlns:c16="http://schemas.microsoft.com/office/drawing/2014/chart" uri="{C3380CC4-5D6E-409C-BE32-E72D297353CC}">
              <c16:uniqueId val="{00000009-A5C3-4E39-BBC9-B8FF93DF1593}"/>
            </c:ext>
          </c:extLst>
        </c:ser>
        <c:ser>
          <c:idx val="5"/>
          <c:order val="5"/>
          <c:tx>
            <c:strRef>
              <c:f>'Material Modeler'!$AR$25</c:f>
              <c:strCache>
                <c:ptCount val="1"/>
                <c:pt idx="0">
                  <c:v>20.00</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trendline>
            <c:spPr>
              <a:ln w="19050" cap="rnd">
                <a:solidFill>
                  <a:schemeClr val="accent6"/>
                </a:solidFill>
                <a:prstDash val="sysDash"/>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'Material Modeler'!$AL$26:$AL$29</c:f>
              <c:numCache>
                <c:formatCode>General</c:formatCode>
                <c:ptCount val="4"/>
                <c:pt idx="0">
                  <c:v>-40</c:v>
                </c:pt>
                <c:pt idx="1">
                  <c:v>0</c:v>
                </c:pt>
                <c:pt idx="2">
                  <c:v>25</c:v>
                </c:pt>
                <c:pt idx="3">
                  <c:v>90</c:v>
                </c:pt>
              </c:numCache>
            </c:numRef>
          </c:xVal>
          <c:yVal>
            <c:numRef>
              <c:f>'Material Modeler'!$AR$26:$AR$29</c:f>
              <c:numCache>
                <c:formatCode>0.00</c:formatCode>
                <c:ptCount val="4"/>
                <c:pt idx="0">
                  <c:v>28.332326990398364</c:v>
                </c:pt>
                <c:pt idx="1">
                  <c:v>30.641158698269784</c:v>
                </c:pt>
                <c:pt idx="2">
                  <c:v>32.017157067903682</c:v>
                </c:pt>
                <c:pt idx="3">
                  <c:v>35.445483351137582</c:v>
                </c:pt>
              </c:numCache>
            </c:numRef>
          </c:yVal>
          <c:smooth val="0"/>
          <c:extLst>
            <c:ext xmlns:c16="http://schemas.microsoft.com/office/drawing/2014/chart" uri="{C3380CC4-5D6E-409C-BE32-E72D297353CC}">
              <c16:uniqueId val="{0000000B-A5C3-4E39-BBC9-B8FF93DF1593}"/>
            </c:ext>
          </c:extLst>
        </c:ser>
        <c:dLbls>
          <c:showLegendKey val="0"/>
          <c:showVal val="0"/>
          <c:showCatName val="0"/>
          <c:showSerName val="0"/>
          <c:showPercent val="0"/>
          <c:showBubbleSize val="0"/>
        </c:dLbls>
        <c:axId val="599681023"/>
        <c:axId val="599694463"/>
      </c:scatterChart>
      <c:valAx>
        <c:axId val="599681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Temperature (°C)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94463"/>
        <c:crosses val="autoZero"/>
        <c:crossBetween val="midCat"/>
      </c:valAx>
      <c:valAx>
        <c:axId val="5996944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9681023"/>
        <c:crossesAt val="-50"/>
        <c:crossBetween val="midCat"/>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5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Modeler'!$AK$24:$AQ$24</c:f>
          <c:strCache>
            <c:ptCount val="7"/>
            <c:pt idx="0">
              <c:v>Stripline Total Loss vs. Temperature (dB/m)</c:v>
            </c:pt>
          </c:strCache>
        </c:strRef>
      </c:tx>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503790684700997"/>
          <c:y val="0.19910914687196135"/>
          <c:w val="0.73237382202540646"/>
          <c:h val="0.4862079143409791"/>
        </c:manualLayout>
      </c:layout>
      <c:scatterChart>
        <c:scatterStyle val="smoothMarker"/>
        <c:varyColors val="0"/>
        <c:ser>
          <c:idx val="0"/>
          <c:order val="0"/>
          <c:tx>
            <c:strRef>
              <c:f>'Material Modeler'!$AL$26</c:f>
              <c:strCache>
                <c:ptCount val="1"/>
                <c:pt idx="0">
                  <c:v>-40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Modeler'!$AM$25:$AR$25</c:f>
              <c:numCache>
                <c:formatCode>0.00</c:formatCode>
                <c:ptCount val="6"/>
                <c:pt idx="0">
                  <c:v>1</c:v>
                </c:pt>
                <c:pt idx="1">
                  <c:v>2</c:v>
                </c:pt>
                <c:pt idx="2">
                  <c:v>5</c:v>
                </c:pt>
                <c:pt idx="3">
                  <c:v>10</c:v>
                </c:pt>
                <c:pt idx="4">
                  <c:v>15</c:v>
                </c:pt>
                <c:pt idx="5">
                  <c:v>20</c:v>
                </c:pt>
              </c:numCache>
            </c:numRef>
          </c:xVal>
          <c:yVal>
            <c:numRef>
              <c:f>'Material Modeler'!$AM$26:$AR$26</c:f>
              <c:numCache>
                <c:formatCode>0.00</c:formatCode>
                <c:ptCount val="6"/>
                <c:pt idx="0">
                  <c:v>4.1329671593312485</c:v>
                </c:pt>
                <c:pt idx="1">
                  <c:v>6.0976714940369687</c:v>
                </c:pt>
                <c:pt idx="2">
                  <c:v>10.634468325412595</c:v>
                </c:pt>
                <c:pt idx="3">
                  <c:v>16.987591756268266</c:v>
                </c:pt>
                <c:pt idx="4">
                  <c:v>22.826398072060449</c:v>
                </c:pt>
                <c:pt idx="5">
                  <c:v>28.332326990398364</c:v>
                </c:pt>
              </c:numCache>
            </c:numRef>
          </c:yVal>
          <c:smooth val="1"/>
          <c:extLst>
            <c:ext xmlns:c16="http://schemas.microsoft.com/office/drawing/2014/chart" uri="{C3380CC4-5D6E-409C-BE32-E72D297353CC}">
              <c16:uniqueId val="{00000000-A2F6-4439-8069-BF38D0952ECC}"/>
            </c:ext>
          </c:extLst>
        </c:ser>
        <c:ser>
          <c:idx val="1"/>
          <c:order val="1"/>
          <c:tx>
            <c:strRef>
              <c:f>'Material Modeler'!$AL$27</c:f>
              <c:strCache>
                <c:ptCount val="1"/>
                <c:pt idx="0">
                  <c:v>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Modeler'!$AM$25:$AR$25</c:f>
              <c:numCache>
                <c:formatCode>0.00</c:formatCode>
                <c:ptCount val="6"/>
                <c:pt idx="0">
                  <c:v>1</c:v>
                </c:pt>
                <c:pt idx="1">
                  <c:v>2</c:v>
                </c:pt>
                <c:pt idx="2">
                  <c:v>5</c:v>
                </c:pt>
                <c:pt idx="3">
                  <c:v>10</c:v>
                </c:pt>
                <c:pt idx="4">
                  <c:v>15</c:v>
                </c:pt>
                <c:pt idx="5">
                  <c:v>20</c:v>
                </c:pt>
              </c:numCache>
            </c:numRef>
          </c:xVal>
          <c:yVal>
            <c:numRef>
              <c:f>'Material Modeler'!$AM$27:$AR$27</c:f>
              <c:numCache>
                <c:formatCode>0.00</c:formatCode>
                <c:ptCount val="6"/>
                <c:pt idx="0">
                  <c:v>4.5731696530974952</c:v>
                </c:pt>
                <c:pt idx="1">
                  <c:v>6.7337478604726648</c:v>
                </c:pt>
                <c:pt idx="2">
                  <c:v>11.667323582777698</c:v>
                </c:pt>
                <c:pt idx="3">
                  <c:v>18.480526489909934</c:v>
                </c:pt>
                <c:pt idx="4">
                  <c:v>24.720338857936355</c:v>
                </c:pt>
                <c:pt idx="5">
                  <c:v>30.641158698269784</c:v>
                </c:pt>
              </c:numCache>
            </c:numRef>
          </c:yVal>
          <c:smooth val="1"/>
          <c:extLst>
            <c:ext xmlns:c16="http://schemas.microsoft.com/office/drawing/2014/chart" uri="{C3380CC4-5D6E-409C-BE32-E72D297353CC}">
              <c16:uniqueId val="{00000001-A2F6-4439-8069-BF38D0952ECC}"/>
            </c:ext>
          </c:extLst>
        </c:ser>
        <c:ser>
          <c:idx val="2"/>
          <c:order val="2"/>
          <c:tx>
            <c:strRef>
              <c:f>'Material Modeler'!$AL$28</c:f>
              <c:strCache>
                <c:ptCount val="1"/>
                <c:pt idx="0">
                  <c:v>25</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Modeler'!$AM$25:$AR$25</c:f>
              <c:numCache>
                <c:formatCode>0.00</c:formatCode>
                <c:ptCount val="6"/>
                <c:pt idx="0">
                  <c:v>1</c:v>
                </c:pt>
                <c:pt idx="1">
                  <c:v>2</c:v>
                </c:pt>
                <c:pt idx="2">
                  <c:v>5</c:v>
                </c:pt>
                <c:pt idx="3">
                  <c:v>10</c:v>
                </c:pt>
                <c:pt idx="4">
                  <c:v>15</c:v>
                </c:pt>
                <c:pt idx="5">
                  <c:v>20</c:v>
                </c:pt>
              </c:numCache>
            </c:numRef>
          </c:xVal>
          <c:yVal>
            <c:numRef>
              <c:f>'Material Modeler'!$AM$28:$AR$28</c:f>
              <c:numCache>
                <c:formatCode>0.00</c:formatCode>
                <c:ptCount val="6"/>
                <c:pt idx="0">
                  <c:v>4.8319341504040105</c:v>
                </c:pt>
                <c:pt idx="1">
                  <c:v>7.1096862631847797</c:v>
                </c:pt>
                <c:pt idx="2">
                  <c:v>12.285000996566897</c:v>
                </c:pt>
                <c:pt idx="3">
                  <c:v>19.381632656491178</c:v>
                </c:pt>
                <c:pt idx="4">
                  <c:v>25.860462714640402</c:v>
                </c:pt>
                <c:pt idx="5">
                  <c:v>32.017157067903682</c:v>
                </c:pt>
              </c:numCache>
            </c:numRef>
          </c:yVal>
          <c:smooth val="1"/>
          <c:extLst>
            <c:ext xmlns:c16="http://schemas.microsoft.com/office/drawing/2014/chart" uri="{C3380CC4-5D6E-409C-BE32-E72D297353CC}">
              <c16:uniqueId val="{00000002-A2F6-4439-8069-BF38D0952ECC}"/>
            </c:ext>
          </c:extLst>
        </c:ser>
        <c:ser>
          <c:idx val="3"/>
          <c:order val="3"/>
          <c:tx>
            <c:strRef>
              <c:f>'Material Modeler'!$AL$29</c:f>
              <c:strCache>
                <c:ptCount val="1"/>
                <c:pt idx="0">
                  <c:v>90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Modeler'!$AM$25:$AR$25</c:f>
              <c:numCache>
                <c:formatCode>0.00</c:formatCode>
                <c:ptCount val="6"/>
                <c:pt idx="0">
                  <c:v>1</c:v>
                </c:pt>
                <c:pt idx="1">
                  <c:v>2</c:v>
                </c:pt>
                <c:pt idx="2">
                  <c:v>5</c:v>
                </c:pt>
                <c:pt idx="3">
                  <c:v>10</c:v>
                </c:pt>
                <c:pt idx="4">
                  <c:v>15</c:v>
                </c:pt>
                <c:pt idx="5">
                  <c:v>20</c:v>
                </c:pt>
              </c:numCache>
            </c:numRef>
          </c:xVal>
          <c:yVal>
            <c:numRef>
              <c:f>'Material Modeler'!$AM$29:$AR$29</c:f>
              <c:numCache>
                <c:formatCode>0.00</c:formatCode>
                <c:ptCount val="6"/>
                <c:pt idx="0">
                  <c:v>5.4595654375472531</c:v>
                </c:pt>
                <c:pt idx="1">
                  <c:v>8.0268592567910257</c:v>
                </c:pt>
                <c:pt idx="2">
                  <c:v>13.811036420620439</c:v>
                </c:pt>
                <c:pt idx="3">
                  <c:v>21.634706370879343</c:v>
                </c:pt>
                <c:pt idx="4">
                  <c:v>28.71708947482254</c:v>
                </c:pt>
                <c:pt idx="5">
                  <c:v>35.445483351137582</c:v>
                </c:pt>
              </c:numCache>
            </c:numRef>
          </c:yVal>
          <c:smooth val="1"/>
          <c:extLst>
            <c:ext xmlns:c16="http://schemas.microsoft.com/office/drawing/2014/chart" uri="{C3380CC4-5D6E-409C-BE32-E72D297353CC}">
              <c16:uniqueId val="{00000003-A2F6-4439-8069-BF38D0952ECC}"/>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l-GR"/>
                  <a:t>α</a:t>
                </a:r>
                <a:r>
                  <a:rPr lang="en-US"/>
                  <a:t>_Total (dB/m)</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'Material Modeler'!$S$23</c:f>
          <c:strCache>
            <c:ptCount val="1"/>
            <c:pt idx="0">
              <c:v>DF (From DF_Glass, DF_Resin, and RC)</c:v>
            </c:pt>
          </c:strCache>
        </c:strRef>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'Material Modeler'!$U$24</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Modeler'!$U$25:$U$28</c:f>
              <c:numCache>
                <c:formatCode>0.0000</c:formatCode>
                <c:ptCount val="4"/>
                <c:pt idx="0">
                  <c:v>2.0871794871794871E-3</c:v>
                </c:pt>
                <c:pt idx="1">
                  <c:v>1.9179487179487177E-3</c:v>
                </c:pt>
                <c:pt idx="2">
                  <c:v>1.4948717948717947E-3</c:v>
                </c:pt>
                <c:pt idx="3">
                  <c:v>1.7845167652859959E-3</c:v>
                </c:pt>
              </c:numCache>
            </c:numRef>
          </c:yVal>
          <c:smooth val="0"/>
          <c:extLst>
            <c:ext xmlns:c16="http://schemas.microsoft.com/office/drawing/2014/chart" uri="{C3380CC4-5D6E-409C-BE32-E72D297353CC}">
              <c16:uniqueId val="{00000000-1851-4F34-A56C-EB4F6F571AFF}"/>
            </c:ext>
          </c:extLst>
        </c:ser>
        <c:ser>
          <c:idx val="1"/>
          <c:order val="1"/>
          <c:tx>
            <c:strRef>
              <c:f>'Material Modeler'!$V$24</c:f>
              <c:strCache>
                <c:ptCount val="1"/>
                <c:pt idx="0">
                  <c:v>2.00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Modeler'!$V$25:$V$28</c:f>
              <c:numCache>
                <c:formatCode>0.0000</c:formatCode>
                <c:ptCount val="4"/>
                <c:pt idx="0">
                  <c:v>2.0871794871794871E-3</c:v>
                </c:pt>
                <c:pt idx="1">
                  <c:v>1.9179487179487177E-3</c:v>
                </c:pt>
                <c:pt idx="2">
                  <c:v>1.4948717948717947E-3</c:v>
                </c:pt>
                <c:pt idx="3">
                  <c:v>1.7845167652859959E-3</c:v>
                </c:pt>
              </c:numCache>
            </c:numRef>
          </c:yVal>
          <c:smooth val="0"/>
          <c:extLst>
            <c:ext xmlns:c16="http://schemas.microsoft.com/office/drawing/2014/chart" uri="{C3380CC4-5D6E-409C-BE32-E72D297353CC}">
              <c16:uniqueId val="{00000001-1851-4F34-A56C-EB4F6F571AFF}"/>
            </c:ext>
          </c:extLst>
        </c:ser>
        <c:ser>
          <c:idx val="2"/>
          <c:order val="2"/>
          <c:tx>
            <c:strRef>
              <c:f>'Material Modeler'!$W$24</c:f>
              <c:strCache>
                <c:ptCount val="1"/>
                <c:pt idx="0">
                  <c:v>5.00</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Modeler'!$W$25:$W$28</c:f>
              <c:numCache>
                <c:formatCode>0.0000</c:formatCode>
                <c:ptCount val="4"/>
                <c:pt idx="0">
                  <c:v>2.0871794871794871E-3</c:v>
                </c:pt>
                <c:pt idx="1">
                  <c:v>1.9179487179487177E-3</c:v>
                </c:pt>
                <c:pt idx="2">
                  <c:v>1.4948717948717947E-3</c:v>
                </c:pt>
                <c:pt idx="3">
                  <c:v>1.7845167652859959E-3</c:v>
                </c:pt>
              </c:numCache>
            </c:numRef>
          </c:yVal>
          <c:smooth val="0"/>
          <c:extLst>
            <c:ext xmlns:c16="http://schemas.microsoft.com/office/drawing/2014/chart" uri="{C3380CC4-5D6E-409C-BE32-E72D297353CC}">
              <c16:uniqueId val="{00000002-1851-4F34-A56C-EB4F6F571AFF}"/>
            </c:ext>
          </c:extLst>
        </c:ser>
        <c:ser>
          <c:idx val="3"/>
          <c:order val="3"/>
          <c:tx>
            <c:strRef>
              <c:f>'Material Modeler'!$X$24</c:f>
              <c:strCache>
                <c:ptCount val="1"/>
                <c:pt idx="0">
                  <c:v>10.00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Modeler'!$X$25:$X$28</c:f>
              <c:numCache>
                <c:formatCode>0.0000</c:formatCode>
                <c:ptCount val="4"/>
                <c:pt idx="0">
                  <c:v>2.0871794871794871E-3</c:v>
                </c:pt>
                <c:pt idx="1">
                  <c:v>1.9179487179487177E-3</c:v>
                </c:pt>
                <c:pt idx="2">
                  <c:v>1.4948717948717947E-3</c:v>
                </c:pt>
                <c:pt idx="3">
                  <c:v>1.7845167652859959E-3</c:v>
                </c:pt>
              </c:numCache>
            </c:numRef>
          </c:yVal>
          <c:smooth val="0"/>
          <c:extLst>
            <c:ext xmlns:c16="http://schemas.microsoft.com/office/drawing/2014/chart" uri="{C3380CC4-5D6E-409C-BE32-E72D297353CC}">
              <c16:uniqueId val="{00000003-1851-4F34-A56C-EB4F6F571AFF}"/>
            </c:ext>
          </c:extLst>
        </c:ser>
        <c:ser>
          <c:idx val="4"/>
          <c:order val="4"/>
          <c:tx>
            <c:strRef>
              <c:f>'Material Modeler'!$Y$24</c:f>
              <c:strCache>
                <c:ptCount val="1"/>
                <c:pt idx="0">
                  <c:v>15.00</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Modeler'!$Y$25:$Y$28</c:f>
              <c:numCache>
                <c:formatCode>0.0000</c:formatCode>
                <c:ptCount val="4"/>
                <c:pt idx="0">
                  <c:v>2.0871794871794871E-3</c:v>
                </c:pt>
                <c:pt idx="1">
                  <c:v>1.9179487179487177E-3</c:v>
                </c:pt>
                <c:pt idx="2">
                  <c:v>1.4948717948717947E-3</c:v>
                </c:pt>
                <c:pt idx="3">
                  <c:v>1.7845167652859959E-3</c:v>
                </c:pt>
              </c:numCache>
            </c:numRef>
          </c:yVal>
          <c:smooth val="0"/>
          <c:extLst>
            <c:ext xmlns:c16="http://schemas.microsoft.com/office/drawing/2014/chart" uri="{C3380CC4-5D6E-409C-BE32-E72D297353CC}">
              <c16:uniqueId val="{00000000-2756-434C-9D61-9898919EA569}"/>
            </c:ext>
          </c:extLst>
        </c:ser>
        <c:ser>
          <c:idx val="5"/>
          <c:order val="5"/>
          <c:tx>
            <c:strRef>
              <c:f>'Material Modeler'!$Z$24</c:f>
              <c:strCache>
                <c:ptCount val="1"/>
                <c:pt idx="0">
                  <c:v>20.00</c:v>
                </c:pt>
              </c:strCache>
            </c:strRef>
          </c:tx>
          <c:spPr>
            <a:ln w="95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'Material Modeler'!$B$25:$B$28</c:f>
              <c:numCache>
                <c:formatCode>0.0%</c:formatCode>
                <c:ptCount val="4"/>
                <c:pt idx="0">
                  <c:v>0.6</c:v>
                </c:pt>
                <c:pt idx="1">
                  <c:v>0.63</c:v>
                </c:pt>
                <c:pt idx="2">
                  <c:v>0.70499999999999996</c:v>
                </c:pt>
                <c:pt idx="3">
                  <c:v>0.65365384615384614</c:v>
                </c:pt>
              </c:numCache>
            </c:numRef>
          </c:xVal>
          <c:yVal>
            <c:numRef>
              <c:f>'Material Modeler'!$Z$25:$Z$28</c:f>
              <c:numCache>
                <c:formatCode>0.0000</c:formatCode>
                <c:ptCount val="4"/>
                <c:pt idx="0">
                  <c:v>2.0871794871794871E-3</c:v>
                </c:pt>
                <c:pt idx="1">
                  <c:v>1.9179487179487177E-3</c:v>
                </c:pt>
                <c:pt idx="2">
                  <c:v>1.4948717948717947E-3</c:v>
                </c:pt>
                <c:pt idx="3">
                  <c:v>1.7845167652859959E-3</c:v>
                </c:pt>
              </c:numCache>
            </c:numRef>
          </c:yVal>
          <c:smooth val="0"/>
          <c:extLst>
            <c:ext xmlns:c16="http://schemas.microsoft.com/office/drawing/2014/chart" uri="{C3380CC4-5D6E-409C-BE32-E72D297353CC}">
              <c16:uniqueId val="{00000001-2756-434C-9D61-9898919EA569}"/>
            </c:ext>
          </c:extLst>
        </c:ser>
        <c:dLbls>
          <c:showLegendKey val="0"/>
          <c:showVal val="0"/>
          <c:showCatName val="0"/>
          <c:showSerName val="0"/>
          <c:showPercent val="0"/>
          <c:showBubbleSize val="0"/>
        </c:dLbls>
        <c:axId val="674854719"/>
        <c:axId val="674848959"/>
      </c:scatterChart>
      <c:valAx>
        <c:axId val="67485471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48959"/>
        <c:crosses val="autoZero"/>
        <c:crossBetween val="midCat"/>
      </c:valAx>
      <c:valAx>
        <c:axId val="67484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854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Df vs. Temperature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smoothMarker"/>
        <c:varyColors val="0"/>
        <c:ser>
          <c:idx val="0"/>
          <c:order val="0"/>
          <c:tx>
            <c:strRef>
              <c:f>'Material Modeler'!$AL$3</c:f>
              <c:strCache>
                <c:ptCount val="1"/>
                <c:pt idx="0">
                  <c:v>-40</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2</c:v>
                </c:pt>
                <c:pt idx="2">
                  <c:v>5</c:v>
                </c:pt>
                <c:pt idx="3">
                  <c:v>10</c:v>
                </c:pt>
                <c:pt idx="4">
                  <c:v>15</c:v>
                </c:pt>
                <c:pt idx="5">
                  <c:v>20</c:v>
                </c:pt>
              </c:numCache>
            </c:numRef>
          </c:xVal>
          <c:yVal>
            <c:numRef>
              <c:f>'Material Modeler'!$AM$4:$AR$4</c:f>
              <c:numCache>
                <c:formatCode>0.0000</c:formatCode>
                <c:ptCount val="6"/>
                <c:pt idx="0">
                  <c:v>1.342636423405654E-3</c:v>
                </c:pt>
                <c:pt idx="1">
                  <c:v>1.342636423405654E-3</c:v>
                </c:pt>
                <c:pt idx="2">
                  <c:v>1.342636423405654E-3</c:v>
                </c:pt>
                <c:pt idx="3">
                  <c:v>1.342636423405654E-3</c:v>
                </c:pt>
                <c:pt idx="4">
                  <c:v>1.342636423405654E-3</c:v>
                </c:pt>
                <c:pt idx="5">
                  <c:v>1.342636423405654E-3</c:v>
                </c:pt>
              </c:numCache>
            </c:numRef>
          </c:yVal>
          <c:smooth val="1"/>
          <c:extLst>
            <c:ext xmlns:c16="http://schemas.microsoft.com/office/drawing/2014/chart" uri="{C3380CC4-5D6E-409C-BE32-E72D297353CC}">
              <c16:uniqueId val="{00000000-C37B-4423-860D-66EA48D8C0DF}"/>
            </c:ext>
          </c:extLst>
        </c:ser>
        <c:ser>
          <c:idx val="1"/>
          <c:order val="1"/>
          <c:tx>
            <c:strRef>
              <c:f>'Material Modeler'!$AL$8</c:f>
              <c:strCache>
                <c:ptCount val="1"/>
                <c:pt idx="0">
                  <c:v>0</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2</c:v>
                </c:pt>
                <c:pt idx="2">
                  <c:v>5</c:v>
                </c:pt>
                <c:pt idx="3">
                  <c:v>10</c:v>
                </c:pt>
                <c:pt idx="4">
                  <c:v>15</c:v>
                </c:pt>
                <c:pt idx="5">
                  <c:v>20</c:v>
                </c:pt>
              </c:numCache>
            </c:numRef>
          </c:xVal>
          <c:yVal>
            <c:numRef>
              <c:f>'Material Modeler'!$AM$9:$AR$9</c:f>
              <c:numCache>
                <c:formatCode>0.0000</c:formatCode>
                <c:ptCount val="6"/>
                <c:pt idx="0">
                  <c:v>1.6145627876397106E-3</c:v>
                </c:pt>
                <c:pt idx="1">
                  <c:v>1.6145627876397106E-3</c:v>
                </c:pt>
                <c:pt idx="2">
                  <c:v>1.6145627876397106E-3</c:v>
                </c:pt>
                <c:pt idx="3">
                  <c:v>1.6145627876397106E-3</c:v>
                </c:pt>
                <c:pt idx="4">
                  <c:v>1.6145627876397106E-3</c:v>
                </c:pt>
                <c:pt idx="5">
                  <c:v>1.6145627876397106E-3</c:v>
                </c:pt>
              </c:numCache>
            </c:numRef>
          </c:yVal>
          <c:smooth val="1"/>
          <c:extLst>
            <c:ext xmlns:c16="http://schemas.microsoft.com/office/drawing/2014/chart" uri="{C3380CC4-5D6E-409C-BE32-E72D297353CC}">
              <c16:uniqueId val="{00000001-C37B-4423-860D-66EA48D8C0DF}"/>
            </c:ext>
          </c:extLst>
        </c:ser>
        <c:ser>
          <c:idx val="2"/>
          <c:order val="2"/>
          <c:tx>
            <c:strRef>
              <c:f>'Material Modeler'!$AL$13</c:f>
              <c:strCache>
                <c:ptCount val="1"/>
                <c:pt idx="0">
                  <c:v>25</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'Material Modeler'!$AM$2:$AR$2</c:f>
              <c:numCache>
                <c:formatCode>0.00</c:formatCode>
                <c:ptCount val="6"/>
                <c:pt idx="0">
                  <c:v>1</c:v>
                </c:pt>
                <c:pt idx="1">
                  <c:v>2</c:v>
                </c:pt>
                <c:pt idx="2">
                  <c:v>5</c:v>
                </c:pt>
                <c:pt idx="3">
                  <c:v>10</c:v>
                </c:pt>
                <c:pt idx="4">
                  <c:v>15</c:v>
                </c:pt>
                <c:pt idx="5">
                  <c:v>20</c:v>
                </c:pt>
              </c:numCache>
            </c:numRef>
          </c:xVal>
          <c:yVal>
            <c:numRef>
              <c:f>'Material Modeler'!$AM$14:$AR$14</c:f>
              <c:numCache>
                <c:formatCode>0.0000</c:formatCode>
                <c:ptCount val="6"/>
                <c:pt idx="0">
                  <c:v>1.7845167652859959E-3</c:v>
                </c:pt>
                <c:pt idx="1">
                  <c:v>1.7845167652859959E-3</c:v>
                </c:pt>
                <c:pt idx="2">
                  <c:v>1.7845167652859959E-3</c:v>
                </c:pt>
                <c:pt idx="3">
                  <c:v>1.7845167652859959E-3</c:v>
                </c:pt>
                <c:pt idx="4">
                  <c:v>1.7845167652859959E-3</c:v>
                </c:pt>
                <c:pt idx="5">
                  <c:v>1.7845167652859959E-3</c:v>
                </c:pt>
              </c:numCache>
            </c:numRef>
          </c:yVal>
          <c:smooth val="1"/>
          <c:extLst>
            <c:ext xmlns:c16="http://schemas.microsoft.com/office/drawing/2014/chart" uri="{C3380CC4-5D6E-409C-BE32-E72D297353CC}">
              <c16:uniqueId val="{00000002-C37B-4423-860D-66EA48D8C0DF}"/>
            </c:ext>
          </c:extLst>
        </c:ser>
        <c:ser>
          <c:idx val="3"/>
          <c:order val="3"/>
          <c:tx>
            <c:strRef>
              <c:f>'Material Modeler'!$AL$18</c:f>
              <c:strCache>
                <c:ptCount val="1"/>
                <c:pt idx="0">
                  <c:v>90</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'Material Modeler'!$AM$2:$AR$2</c:f>
              <c:numCache>
                <c:formatCode>0.00</c:formatCode>
                <c:ptCount val="6"/>
                <c:pt idx="0">
                  <c:v>1</c:v>
                </c:pt>
                <c:pt idx="1">
                  <c:v>2</c:v>
                </c:pt>
                <c:pt idx="2">
                  <c:v>5</c:v>
                </c:pt>
                <c:pt idx="3">
                  <c:v>10</c:v>
                </c:pt>
                <c:pt idx="4">
                  <c:v>15</c:v>
                </c:pt>
                <c:pt idx="5">
                  <c:v>20</c:v>
                </c:pt>
              </c:numCache>
            </c:numRef>
          </c:xVal>
          <c:yVal>
            <c:numRef>
              <c:f>'Material Modeler'!$AM$19:$AR$19</c:f>
              <c:numCache>
                <c:formatCode>0.0000</c:formatCode>
                <c:ptCount val="6"/>
                <c:pt idx="0">
                  <c:v>2.2263971071663376E-3</c:v>
                </c:pt>
                <c:pt idx="1">
                  <c:v>2.2263971071663376E-3</c:v>
                </c:pt>
                <c:pt idx="2">
                  <c:v>2.2263971071663376E-3</c:v>
                </c:pt>
                <c:pt idx="3">
                  <c:v>2.2263971071663376E-3</c:v>
                </c:pt>
                <c:pt idx="4">
                  <c:v>2.2263971071663376E-3</c:v>
                </c:pt>
                <c:pt idx="5">
                  <c:v>2.2263971071663376E-3</c:v>
                </c:pt>
              </c:numCache>
            </c:numRef>
          </c:yVal>
          <c:smooth val="1"/>
          <c:extLst>
            <c:ext xmlns:c16="http://schemas.microsoft.com/office/drawing/2014/chart" uri="{C3380CC4-5D6E-409C-BE32-E72D297353CC}">
              <c16:uniqueId val="{00000003-C37B-4423-860D-66EA48D8C0DF}"/>
            </c:ext>
          </c:extLst>
        </c:ser>
        <c:dLbls>
          <c:showLegendKey val="0"/>
          <c:showVal val="0"/>
          <c:showCatName val="0"/>
          <c:showSerName val="0"/>
          <c:showPercent val="0"/>
          <c:showBubbleSize val="0"/>
        </c:dLbls>
        <c:axId val="1634985600"/>
        <c:axId val="1940049184"/>
      </c:scatterChart>
      <c:valAx>
        <c:axId val="1634985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049184"/>
        <c:crosses val="autoZero"/>
        <c:crossBetween val="midCat"/>
      </c:valAx>
      <c:valAx>
        <c:axId val="1940049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Df</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4985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xdr:col>
      <xdr:colOff>331471</xdr:colOff>
      <xdr:row>2</xdr:row>
      <xdr:rowOff>161059</xdr:rowOff>
    </xdr:to>
    <xdr:grpSp>
      <xdr:nvGrpSpPr>
        <xdr:cNvPr id="2" name="Group 1">
          <a:extLst>
            <a:ext uri="{FF2B5EF4-FFF2-40B4-BE49-F238E27FC236}">
              <a16:creationId xmlns:a16="http://schemas.microsoft.com/office/drawing/2014/main" id="{68901F04-F9CB-42C9-A4FE-BBABA3E7D404}"/>
            </a:ext>
          </a:extLst>
        </xdr:cNvPr>
        <xdr:cNvGrpSpPr/>
      </xdr:nvGrpSpPr>
      <xdr:grpSpPr>
        <a:xfrm>
          <a:off x="1" y="0"/>
          <a:ext cx="2209800" cy="524914"/>
          <a:chOff x="9467849" y="3581400"/>
          <a:chExt cx="2447926" cy="581026"/>
        </a:xfrm>
      </xdr:grpSpPr>
      <xdr:pic>
        <xdr:nvPicPr>
          <xdr:cNvPr id="3" name="Picture 2">
            <a:extLst>
              <a:ext uri="{FF2B5EF4-FFF2-40B4-BE49-F238E27FC236}">
                <a16:creationId xmlns:a16="http://schemas.microsoft.com/office/drawing/2014/main" id="{595A78A4-DD74-F34A-F69E-617327442C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26FD78D2-63AA-BBA3-11E8-2CE8D685027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104778</xdr:colOff>
      <xdr:row>0</xdr:row>
      <xdr:rowOff>1</xdr:rowOff>
    </xdr:from>
    <xdr:to>
      <xdr:col>3</xdr:col>
      <xdr:colOff>569809</xdr:colOff>
      <xdr:row>2</xdr:row>
      <xdr:rowOff>153867</xdr:rowOff>
    </xdr:to>
    <xdr:grpSp>
      <xdr:nvGrpSpPr>
        <xdr:cNvPr id="2" name="Group 1">
          <a:extLst>
            <a:ext uri="{FF2B5EF4-FFF2-40B4-BE49-F238E27FC236}">
              <a16:creationId xmlns:a16="http://schemas.microsoft.com/office/drawing/2014/main" id="{69921991-9291-4625-BCD0-A052A9D79AB7}"/>
            </a:ext>
          </a:extLst>
        </xdr:cNvPr>
        <xdr:cNvGrpSpPr/>
      </xdr:nvGrpSpPr>
      <xdr:grpSpPr>
        <a:xfrm>
          <a:off x="102873" y="1"/>
          <a:ext cx="2024554" cy="512454"/>
          <a:chOff x="9467849" y="3581400"/>
          <a:chExt cx="2447926" cy="581026"/>
        </a:xfrm>
      </xdr:grpSpPr>
      <xdr:pic>
        <xdr:nvPicPr>
          <xdr:cNvPr id="3" name="Picture 2">
            <a:extLst>
              <a:ext uri="{FF2B5EF4-FFF2-40B4-BE49-F238E27FC236}">
                <a16:creationId xmlns:a16="http://schemas.microsoft.com/office/drawing/2014/main" id="{7372D60F-AAB7-837C-CEDA-07A7F02057A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7576" b="22727"/>
          <a:stretch/>
        </xdr:blipFill>
        <xdr:spPr bwMode="auto">
          <a:xfrm>
            <a:off x="10010775" y="3705225"/>
            <a:ext cx="1905000" cy="3714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a:extLst>
              <a:ext uri="{FF2B5EF4-FFF2-40B4-BE49-F238E27FC236}">
                <a16:creationId xmlns:a16="http://schemas.microsoft.com/office/drawing/2014/main" id="{D3FA9557-F133-02FC-049F-8C5A9E95FD6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8568" t="28302" r="28428" b="40868"/>
          <a:stretch/>
        </xdr:blipFill>
        <xdr:spPr bwMode="auto">
          <a:xfrm>
            <a:off x="9467849" y="3581400"/>
            <a:ext cx="819150" cy="58102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77080</xdr:colOff>
      <xdr:row>10</xdr:row>
      <xdr:rowOff>39739</xdr:rowOff>
    </xdr:from>
    <xdr:to>
      <xdr:col>19</xdr:col>
      <xdr:colOff>457152</xdr:colOff>
      <xdr:row>14</xdr:row>
      <xdr:rowOff>131885</xdr:rowOff>
    </xdr:to>
    <xdr:grpSp>
      <xdr:nvGrpSpPr>
        <xdr:cNvPr id="27" name="Group 26">
          <a:extLst>
            <a:ext uri="{FF2B5EF4-FFF2-40B4-BE49-F238E27FC236}">
              <a16:creationId xmlns:a16="http://schemas.microsoft.com/office/drawing/2014/main" id="{E08D9742-5543-2127-068C-E84EDE76600A}"/>
            </a:ext>
          </a:extLst>
        </xdr:cNvPr>
        <xdr:cNvGrpSpPr/>
      </xdr:nvGrpSpPr>
      <xdr:grpSpPr>
        <a:xfrm>
          <a:off x="245168" y="2191268"/>
          <a:ext cx="12280719" cy="887764"/>
          <a:chOff x="248530" y="2211439"/>
          <a:chExt cx="12286322" cy="816046"/>
        </a:xfrm>
      </xdr:grpSpPr>
      <xdr:pic>
        <xdr:nvPicPr>
          <xdr:cNvPr id="18" name="Picture 17">
            <a:extLst>
              <a:ext uri="{FF2B5EF4-FFF2-40B4-BE49-F238E27FC236}">
                <a16:creationId xmlns:a16="http://schemas.microsoft.com/office/drawing/2014/main" id="{0D0FCC2C-8F16-59E6-909F-C7BA09A6F3B8}"/>
              </a:ext>
            </a:extLst>
          </xdr:cNvPr>
          <xdr:cNvPicPr>
            <a:picLocks noChangeAspect="1"/>
          </xdr:cNvPicPr>
        </xdr:nvPicPr>
        <xdr:blipFill>
          <a:blip xmlns:r="http://schemas.openxmlformats.org/officeDocument/2006/relationships" r:embed="rId2"/>
          <a:stretch>
            <a:fillRect/>
          </a:stretch>
        </xdr:blipFill>
        <xdr:spPr>
          <a:xfrm>
            <a:off x="360494" y="2294891"/>
            <a:ext cx="12156557" cy="602165"/>
          </a:xfrm>
          <a:prstGeom prst="rect">
            <a:avLst/>
          </a:prstGeom>
        </xdr:spPr>
      </xdr:pic>
      <xdr:grpSp>
        <xdr:nvGrpSpPr>
          <xdr:cNvPr id="9" name="Group 8">
            <a:extLst>
              <a:ext uri="{FF2B5EF4-FFF2-40B4-BE49-F238E27FC236}">
                <a16:creationId xmlns:a16="http://schemas.microsoft.com/office/drawing/2014/main" id="{33CD00F1-BFA0-5629-9150-D67CD60E9206}"/>
              </a:ext>
            </a:extLst>
          </xdr:cNvPr>
          <xdr:cNvGrpSpPr/>
        </xdr:nvGrpSpPr>
        <xdr:grpSpPr>
          <a:xfrm>
            <a:off x="248530" y="2220846"/>
            <a:ext cx="6592033" cy="806639"/>
            <a:chOff x="58616" y="1934306"/>
            <a:chExt cx="6645520" cy="794827"/>
          </a:xfrm>
        </xdr:grpSpPr>
        <xdr:sp macro="" textlink="">
          <xdr:nvSpPr>
            <xdr:cNvPr id="6" name="Rectangle: Rounded Corners 5">
              <a:extLst>
                <a:ext uri="{FF2B5EF4-FFF2-40B4-BE49-F238E27FC236}">
                  <a16:creationId xmlns:a16="http://schemas.microsoft.com/office/drawing/2014/main" id="{BAD30B5D-F14D-A768-8805-18124994BBE8}"/>
                </a:ext>
              </a:extLst>
            </xdr:cNvPr>
            <xdr:cNvSpPr/>
          </xdr:nvSpPr>
          <xdr:spPr>
            <a:xfrm>
              <a:off x="58616" y="1952479"/>
              <a:ext cx="1905000" cy="776654"/>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 name="Rectangle: Rounded Corners 6">
              <a:extLst>
                <a:ext uri="{FF2B5EF4-FFF2-40B4-BE49-F238E27FC236}">
                  <a16:creationId xmlns:a16="http://schemas.microsoft.com/office/drawing/2014/main" id="{161F61F4-0BE8-45CB-9D3A-38F86A9FF958}"/>
                </a:ext>
              </a:extLst>
            </xdr:cNvPr>
            <xdr:cNvSpPr/>
          </xdr:nvSpPr>
          <xdr:spPr>
            <a:xfrm>
              <a:off x="2210827" y="1952478"/>
              <a:ext cx="2137849" cy="651088"/>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8" name="Rectangle: Rounded Corners 7">
              <a:extLst>
                <a:ext uri="{FF2B5EF4-FFF2-40B4-BE49-F238E27FC236}">
                  <a16:creationId xmlns:a16="http://schemas.microsoft.com/office/drawing/2014/main" id="{F80D4BA4-AC74-46AE-A1CD-219D6DFC8E2D}"/>
                </a:ext>
              </a:extLst>
            </xdr:cNvPr>
            <xdr:cNvSpPr/>
          </xdr:nvSpPr>
          <xdr:spPr>
            <a:xfrm>
              <a:off x="4488169" y="1934306"/>
              <a:ext cx="2215967" cy="654339"/>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sp macro="" textlink="">
        <xdr:nvSpPr>
          <xdr:cNvPr id="13" name="Rectangle: Rounded Corners 12">
            <a:extLst>
              <a:ext uri="{FF2B5EF4-FFF2-40B4-BE49-F238E27FC236}">
                <a16:creationId xmlns:a16="http://schemas.microsoft.com/office/drawing/2014/main" id="{E67E9310-0047-4F80-BF43-5BBF38E4B84A}"/>
              </a:ext>
            </a:extLst>
          </xdr:cNvPr>
          <xdr:cNvSpPr/>
        </xdr:nvSpPr>
        <xdr:spPr>
          <a:xfrm>
            <a:off x="8477188" y="2211439"/>
            <a:ext cx="4057664" cy="654621"/>
          </a:xfrm>
          <a:prstGeom prst="roundRect">
            <a:avLst>
              <a:gd name="adj" fmla="val 8197"/>
            </a:avLst>
          </a:prstGeom>
          <a:noFill/>
          <a:ln w="19050">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editAs="oneCell">
    <xdr:from>
      <xdr:col>1</xdr:col>
      <xdr:colOff>191959</xdr:colOff>
      <xdr:row>20</xdr:row>
      <xdr:rowOff>75675</xdr:rowOff>
    </xdr:from>
    <xdr:to>
      <xdr:col>7</xdr:col>
      <xdr:colOff>0</xdr:colOff>
      <xdr:row>29</xdr:row>
      <xdr:rowOff>29190</xdr:rowOff>
    </xdr:to>
    <xdr:pic>
      <xdr:nvPicPr>
        <xdr:cNvPr id="14" name="Picture 13">
          <a:extLst>
            <a:ext uri="{FF2B5EF4-FFF2-40B4-BE49-F238E27FC236}">
              <a16:creationId xmlns:a16="http://schemas.microsoft.com/office/drawing/2014/main" id="{8C326F91-59B6-A0AB-CAF5-FE24148FF968}"/>
            </a:ext>
          </a:extLst>
        </xdr:cNvPr>
        <xdr:cNvPicPr>
          <a:picLocks noChangeAspect="1"/>
        </xdr:cNvPicPr>
      </xdr:nvPicPr>
      <xdr:blipFill>
        <a:blip xmlns:r="http://schemas.openxmlformats.org/officeDocument/2006/relationships" r:embed="rId3"/>
        <a:stretch>
          <a:fillRect/>
        </a:stretch>
      </xdr:blipFill>
      <xdr:spPr>
        <a:xfrm>
          <a:off x="363409" y="4133325"/>
          <a:ext cx="3979991" cy="1658490"/>
        </a:xfrm>
        <a:prstGeom prst="rect">
          <a:avLst/>
        </a:prstGeom>
      </xdr:spPr>
    </xdr:pic>
    <xdr:clientData/>
  </xdr:twoCellAnchor>
  <xdr:twoCellAnchor>
    <xdr:from>
      <xdr:col>1</xdr:col>
      <xdr:colOff>74295</xdr:colOff>
      <xdr:row>35</xdr:row>
      <xdr:rowOff>75984</xdr:rowOff>
    </xdr:from>
    <xdr:to>
      <xdr:col>9</xdr:col>
      <xdr:colOff>29320</xdr:colOff>
      <xdr:row>44</xdr:row>
      <xdr:rowOff>221610</xdr:rowOff>
    </xdr:to>
    <xdr:grpSp>
      <xdr:nvGrpSpPr>
        <xdr:cNvPr id="11" name="Group 10">
          <a:extLst>
            <a:ext uri="{FF2B5EF4-FFF2-40B4-BE49-F238E27FC236}">
              <a16:creationId xmlns:a16="http://schemas.microsoft.com/office/drawing/2014/main" id="{E3A80044-CDAE-5CE4-E889-86502E50EE39}"/>
            </a:ext>
          </a:extLst>
        </xdr:cNvPr>
        <xdr:cNvGrpSpPr/>
      </xdr:nvGrpSpPr>
      <xdr:grpSpPr>
        <a:xfrm>
          <a:off x="242383" y="6945190"/>
          <a:ext cx="5320738" cy="1914250"/>
          <a:chOff x="4646295" y="4057650"/>
          <a:chExt cx="5639833" cy="1792604"/>
        </a:xfrm>
      </xdr:grpSpPr>
      <xdr:pic>
        <xdr:nvPicPr>
          <xdr:cNvPr id="5" name="Picture 4">
            <a:extLst>
              <a:ext uri="{FF2B5EF4-FFF2-40B4-BE49-F238E27FC236}">
                <a16:creationId xmlns:a16="http://schemas.microsoft.com/office/drawing/2014/main" id="{5158CAF3-EE51-048F-027D-E75C1A98F784}"/>
              </a:ext>
            </a:extLst>
          </xdr:cNvPr>
          <xdr:cNvPicPr>
            <a:picLocks noChangeAspect="1"/>
          </xdr:cNvPicPr>
        </xdr:nvPicPr>
        <xdr:blipFill rotWithShape="1">
          <a:blip xmlns:r="http://schemas.openxmlformats.org/officeDocument/2006/relationships" r:embed="rId4"/>
          <a:srcRect l="51228"/>
          <a:stretch>
            <a:fillRect/>
          </a:stretch>
        </xdr:blipFill>
        <xdr:spPr>
          <a:xfrm>
            <a:off x="7437932" y="4057650"/>
            <a:ext cx="2848196" cy="1792604"/>
          </a:xfrm>
          <a:prstGeom prst="rect">
            <a:avLst/>
          </a:prstGeom>
        </xdr:spPr>
      </xdr:pic>
      <xdr:pic>
        <xdr:nvPicPr>
          <xdr:cNvPr id="10" name="Picture 9">
            <a:extLst>
              <a:ext uri="{FF2B5EF4-FFF2-40B4-BE49-F238E27FC236}">
                <a16:creationId xmlns:a16="http://schemas.microsoft.com/office/drawing/2014/main" id="{A3816967-176C-4B49-AA35-8633A71B567D}"/>
              </a:ext>
            </a:extLst>
          </xdr:cNvPr>
          <xdr:cNvPicPr>
            <a:picLocks noChangeAspect="1"/>
          </xdr:cNvPicPr>
        </xdr:nvPicPr>
        <xdr:blipFill rotWithShape="1">
          <a:blip xmlns:r="http://schemas.openxmlformats.org/officeDocument/2006/relationships" r:embed="rId4"/>
          <a:srcRect r="51732"/>
          <a:stretch>
            <a:fillRect/>
          </a:stretch>
        </xdr:blipFill>
        <xdr:spPr>
          <a:xfrm>
            <a:off x="4646295" y="4059554"/>
            <a:ext cx="2830830" cy="1790577"/>
          </a:xfrm>
          <a:prstGeom prst="rect">
            <a:avLst/>
          </a:prstGeom>
        </xdr:spPr>
      </xdr:pic>
    </xdr:grpSp>
    <xdr:clientData/>
  </xdr:twoCellAnchor>
  <xdr:twoCellAnchor>
    <xdr:from>
      <xdr:col>1</xdr:col>
      <xdr:colOff>85725</xdr:colOff>
      <xdr:row>47</xdr:row>
      <xdr:rowOff>114300</xdr:rowOff>
    </xdr:from>
    <xdr:to>
      <xdr:col>8</xdr:col>
      <xdr:colOff>665829</xdr:colOff>
      <xdr:row>57</xdr:row>
      <xdr:rowOff>9525</xdr:rowOff>
    </xdr:to>
    <xdr:grpSp>
      <xdr:nvGrpSpPr>
        <xdr:cNvPr id="20" name="Group 19">
          <a:extLst>
            <a:ext uri="{FF2B5EF4-FFF2-40B4-BE49-F238E27FC236}">
              <a16:creationId xmlns:a16="http://schemas.microsoft.com/office/drawing/2014/main" id="{7615853B-7429-93B4-882E-62F191873245}"/>
            </a:ext>
          </a:extLst>
        </xdr:cNvPr>
        <xdr:cNvGrpSpPr/>
      </xdr:nvGrpSpPr>
      <xdr:grpSpPr>
        <a:xfrm>
          <a:off x="251908" y="9370359"/>
          <a:ext cx="5254862" cy="1686261"/>
          <a:chOff x="4619625" y="6189345"/>
          <a:chExt cx="5621613" cy="1602143"/>
        </a:xfrm>
      </xdr:grpSpPr>
      <xdr:pic>
        <xdr:nvPicPr>
          <xdr:cNvPr id="12" name="Picture 11">
            <a:extLst>
              <a:ext uri="{FF2B5EF4-FFF2-40B4-BE49-F238E27FC236}">
                <a16:creationId xmlns:a16="http://schemas.microsoft.com/office/drawing/2014/main" id="{82E7BE53-A756-A59E-0BD8-E0732E9937B9}"/>
              </a:ext>
            </a:extLst>
          </xdr:cNvPr>
          <xdr:cNvPicPr>
            <a:picLocks noChangeAspect="1"/>
          </xdr:cNvPicPr>
        </xdr:nvPicPr>
        <xdr:blipFill>
          <a:blip xmlns:r="http://schemas.openxmlformats.org/officeDocument/2006/relationships" r:embed="rId5"/>
          <a:stretch>
            <a:fillRect/>
          </a:stretch>
        </xdr:blipFill>
        <xdr:spPr>
          <a:xfrm>
            <a:off x="4619625" y="6191250"/>
            <a:ext cx="2838450" cy="1600238"/>
          </a:xfrm>
          <a:prstGeom prst="rect">
            <a:avLst/>
          </a:prstGeom>
        </xdr:spPr>
      </xdr:pic>
      <xdr:pic>
        <xdr:nvPicPr>
          <xdr:cNvPr id="19" name="Picture 18">
            <a:extLst>
              <a:ext uri="{FF2B5EF4-FFF2-40B4-BE49-F238E27FC236}">
                <a16:creationId xmlns:a16="http://schemas.microsoft.com/office/drawing/2014/main" id="{95D682AF-72A7-320B-8639-820958B9B9CF}"/>
              </a:ext>
            </a:extLst>
          </xdr:cNvPr>
          <xdr:cNvPicPr>
            <a:picLocks noChangeAspect="1"/>
          </xdr:cNvPicPr>
        </xdr:nvPicPr>
        <xdr:blipFill>
          <a:blip xmlns:r="http://schemas.openxmlformats.org/officeDocument/2006/relationships" r:embed="rId6"/>
          <a:stretch>
            <a:fillRect/>
          </a:stretch>
        </xdr:blipFill>
        <xdr:spPr>
          <a:xfrm>
            <a:off x="7477125" y="6189345"/>
            <a:ext cx="2764113" cy="1602105"/>
          </a:xfrm>
          <a:prstGeom prst="rect">
            <a:avLst/>
          </a:prstGeom>
        </xdr:spPr>
      </xdr:pic>
    </xdr:grpSp>
    <xdr:clientData/>
  </xdr:twoCellAnchor>
  <xdr:twoCellAnchor editAs="oneCell">
    <xdr:from>
      <xdr:col>10</xdr:col>
      <xdr:colOff>19050</xdr:colOff>
      <xdr:row>17</xdr:row>
      <xdr:rowOff>38100</xdr:rowOff>
    </xdr:from>
    <xdr:to>
      <xdr:col>14</xdr:col>
      <xdr:colOff>581025</xdr:colOff>
      <xdr:row>33</xdr:row>
      <xdr:rowOff>114367</xdr:rowOff>
    </xdr:to>
    <xdr:pic>
      <xdr:nvPicPr>
        <xdr:cNvPr id="22" name="Picture 21">
          <a:extLst>
            <a:ext uri="{FF2B5EF4-FFF2-40B4-BE49-F238E27FC236}">
              <a16:creationId xmlns:a16="http://schemas.microsoft.com/office/drawing/2014/main" id="{D454A8AC-6B52-BCE0-CB3D-5A509CCA031A}"/>
            </a:ext>
          </a:extLst>
        </xdr:cNvPr>
        <xdr:cNvPicPr>
          <a:picLocks noChangeAspect="1"/>
        </xdr:cNvPicPr>
      </xdr:nvPicPr>
      <xdr:blipFill>
        <a:blip xmlns:r="http://schemas.openxmlformats.org/officeDocument/2006/relationships" r:embed="rId7"/>
        <a:stretch>
          <a:fillRect/>
        </a:stretch>
      </xdr:blipFill>
      <xdr:spPr>
        <a:xfrm>
          <a:off x="6257925" y="3476625"/>
          <a:ext cx="3343275" cy="3124267"/>
        </a:xfrm>
        <a:prstGeom prst="rect">
          <a:avLst/>
        </a:prstGeom>
      </xdr:spPr>
    </xdr:pic>
    <xdr:clientData/>
  </xdr:twoCellAnchor>
  <xdr:twoCellAnchor>
    <xdr:from>
      <xdr:col>10</xdr:col>
      <xdr:colOff>9522</xdr:colOff>
      <xdr:row>36</xdr:row>
      <xdr:rowOff>161015</xdr:rowOff>
    </xdr:from>
    <xdr:to>
      <xdr:col>20</xdr:col>
      <xdr:colOff>420053</xdr:colOff>
      <xdr:row>52</xdr:row>
      <xdr:rowOff>123824</xdr:rowOff>
    </xdr:to>
    <xdr:grpSp>
      <xdr:nvGrpSpPr>
        <xdr:cNvPr id="26" name="Group 25">
          <a:extLst>
            <a:ext uri="{FF2B5EF4-FFF2-40B4-BE49-F238E27FC236}">
              <a16:creationId xmlns:a16="http://schemas.microsoft.com/office/drawing/2014/main" id="{7EB6C4C5-7B1A-99C7-FE11-3B9B24177EE6}"/>
            </a:ext>
          </a:extLst>
        </xdr:cNvPr>
        <xdr:cNvGrpSpPr/>
      </xdr:nvGrpSpPr>
      <xdr:grpSpPr>
        <a:xfrm>
          <a:off x="6241898" y="7211420"/>
          <a:ext cx="6941655" cy="3066838"/>
          <a:chOff x="14220824" y="3763371"/>
          <a:chExt cx="6667960" cy="2974502"/>
        </a:xfrm>
      </xdr:grpSpPr>
      <xdr:pic>
        <xdr:nvPicPr>
          <xdr:cNvPr id="23" name="Picture 22">
            <a:extLst>
              <a:ext uri="{FF2B5EF4-FFF2-40B4-BE49-F238E27FC236}">
                <a16:creationId xmlns:a16="http://schemas.microsoft.com/office/drawing/2014/main" id="{1DDA3E98-5512-567A-4BEB-95D4F40FB368}"/>
              </a:ext>
            </a:extLst>
          </xdr:cNvPr>
          <xdr:cNvPicPr>
            <a:picLocks noChangeAspect="1"/>
          </xdr:cNvPicPr>
        </xdr:nvPicPr>
        <xdr:blipFill>
          <a:blip xmlns:r="http://schemas.openxmlformats.org/officeDocument/2006/relationships" r:embed="rId8"/>
          <a:stretch>
            <a:fillRect/>
          </a:stretch>
        </xdr:blipFill>
        <xdr:spPr>
          <a:xfrm>
            <a:off x="14220824" y="3763371"/>
            <a:ext cx="3246121" cy="997224"/>
          </a:xfrm>
          <a:prstGeom prst="rect">
            <a:avLst/>
          </a:prstGeom>
        </xdr:spPr>
      </xdr:pic>
      <xdr:pic>
        <xdr:nvPicPr>
          <xdr:cNvPr id="24" name="Picture 23">
            <a:extLst>
              <a:ext uri="{FF2B5EF4-FFF2-40B4-BE49-F238E27FC236}">
                <a16:creationId xmlns:a16="http://schemas.microsoft.com/office/drawing/2014/main" id="{25884CDD-6341-350D-8AEE-DB53778A7355}"/>
              </a:ext>
            </a:extLst>
          </xdr:cNvPr>
          <xdr:cNvPicPr>
            <a:picLocks noChangeAspect="1"/>
          </xdr:cNvPicPr>
        </xdr:nvPicPr>
        <xdr:blipFill>
          <a:blip xmlns:r="http://schemas.openxmlformats.org/officeDocument/2006/relationships" r:embed="rId9"/>
          <a:stretch>
            <a:fillRect/>
          </a:stretch>
        </xdr:blipFill>
        <xdr:spPr>
          <a:xfrm>
            <a:off x="14228512" y="4968846"/>
            <a:ext cx="3216641" cy="1753697"/>
          </a:xfrm>
          <a:prstGeom prst="rect">
            <a:avLst/>
          </a:prstGeom>
        </xdr:spPr>
      </xdr:pic>
      <xdr:pic>
        <xdr:nvPicPr>
          <xdr:cNvPr id="25" name="Picture 24">
            <a:extLst>
              <a:ext uri="{FF2B5EF4-FFF2-40B4-BE49-F238E27FC236}">
                <a16:creationId xmlns:a16="http://schemas.microsoft.com/office/drawing/2014/main" id="{0EAD3279-5C83-AF44-617C-DC20CB5184E7}"/>
              </a:ext>
            </a:extLst>
          </xdr:cNvPr>
          <xdr:cNvPicPr>
            <a:picLocks noChangeAspect="1"/>
          </xdr:cNvPicPr>
        </xdr:nvPicPr>
        <xdr:blipFill>
          <a:blip xmlns:r="http://schemas.openxmlformats.org/officeDocument/2006/relationships" r:embed="rId10"/>
          <a:stretch>
            <a:fillRect/>
          </a:stretch>
        </xdr:blipFill>
        <xdr:spPr>
          <a:xfrm>
            <a:off x="17474890" y="4975573"/>
            <a:ext cx="3413894" cy="1762300"/>
          </a:xfrm>
          <a:prstGeom prst="rect">
            <a:avLst/>
          </a:prstGeom>
        </xdr:spPr>
      </xdr:pic>
    </xdr:grpSp>
    <xdr:clientData/>
  </xdr:twoCellAnchor>
  <xdr:twoCellAnchor editAs="oneCell">
    <xdr:from>
      <xdr:col>21</xdr:col>
      <xdr:colOff>38100</xdr:colOff>
      <xdr:row>12</xdr:row>
      <xdr:rowOff>103715</xdr:rowOff>
    </xdr:from>
    <xdr:to>
      <xdr:col>29</xdr:col>
      <xdr:colOff>38811</xdr:colOff>
      <xdr:row>23</xdr:row>
      <xdr:rowOff>161171</xdr:rowOff>
    </xdr:to>
    <xdr:pic>
      <xdr:nvPicPr>
        <xdr:cNvPr id="28" name="Picture 27">
          <a:extLst>
            <a:ext uri="{FF2B5EF4-FFF2-40B4-BE49-F238E27FC236}">
              <a16:creationId xmlns:a16="http://schemas.microsoft.com/office/drawing/2014/main" id="{2E18B1F8-E3AD-7275-BB9D-C352E0616401}"/>
            </a:ext>
          </a:extLst>
        </xdr:cNvPr>
        <xdr:cNvPicPr>
          <a:picLocks noChangeAspect="1"/>
        </xdr:cNvPicPr>
      </xdr:nvPicPr>
      <xdr:blipFill>
        <a:blip xmlns:r="http://schemas.openxmlformats.org/officeDocument/2006/relationships" r:embed="rId11"/>
        <a:stretch>
          <a:fillRect/>
        </a:stretch>
      </xdr:blipFill>
      <xdr:spPr>
        <a:xfrm>
          <a:off x="13563600" y="2643715"/>
          <a:ext cx="5123044" cy="2182801"/>
        </a:xfrm>
        <a:prstGeom prst="rect">
          <a:avLst/>
        </a:prstGeom>
      </xdr:spPr>
    </xdr:pic>
    <xdr:clientData/>
  </xdr:twoCellAnchor>
  <xdr:twoCellAnchor>
    <xdr:from>
      <xdr:col>20</xdr:col>
      <xdr:colOff>609600</xdr:colOff>
      <xdr:row>23</xdr:row>
      <xdr:rowOff>217594</xdr:rowOff>
    </xdr:from>
    <xdr:to>
      <xdr:col>29</xdr:col>
      <xdr:colOff>95250</xdr:colOff>
      <xdr:row>31</xdr:row>
      <xdr:rowOff>6699</xdr:rowOff>
    </xdr:to>
    <xdr:grpSp>
      <xdr:nvGrpSpPr>
        <xdr:cNvPr id="40" name="Group 39">
          <a:extLst>
            <a:ext uri="{FF2B5EF4-FFF2-40B4-BE49-F238E27FC236}">
              <a16:creationId xmlns:a16="http://schemas.microsoft.com/office/drawing/2014/main" id="{D149D0E2-06B5-A96F-5E08-014DFBBDD81C}"/>
            </a:ext>
          </a:extLst>
        </xdr:cNvPr>
        <xdr:cNvGrpSpPr/>
      </xdr:nvGrpSpPr>
      <xdr:grpSpPr>
        <a:xfrm>
          <a:off x="13373100" y="4858734"/>
          <a:ext cx="5267885" cy="1301899"/>
          <a:chOff x="13436600" y="4667251"/>
          <a:chExt cx="5306483" cy="1296807"/>
        </a:xfrm>
      </xdr:grpSpPr>
      <xdr:pic>
        <xdr:nvPicPr>
          <xdr:cNvPr id="36" name="Picture 35">
            <a:extLst>
              <a:ext uri="{FF2B5EF4-FFF2-40B4-BE49-F238E27FC236}">
                <a16:creationId xmlns:a16="http://schemas.microsoft.com/office/drawing/2014/main" id="{D65BD778-321F-5ACB-D5B3-FF678FFC3A5E}"/>
              </a:ext>
            </a:extLst>
          </xdr:cNvPr>
          <xdr:cNvPicPr>
            <a:picLocks noChangeAspect="1"/>
          </xdr:cNvPicPr>
        </xdr:nvPicPr>
        <xdr:blipFill>
          <a:blip xmlns:r="http://schemas.openxmlformats.org/officeDocument/2006/relationships" r:embed="rId12"/>
          <a:stretch>
            <a:fillRect/>
          </a:stretch>
        </xdr:blipFill>
        <xdr:spPr>
          <a:xfrm>
            <a:off x="13436600" y="4667251"/>
            <a:ext cx="3609128" cy="1296807"/>
          </a:xfrm>
          <a:prstGeom prst="rect">
            <a:avLst/>
          </a:prstGeom>
        </xdr:spPr>
      </xdr:pic>
      <xdr:pic>
        <xdr:nvPicPr>
          <xdr:cNvPr id="39" name="Picture 38">
            <a:extLst>
              <a:ext uri="{FF2B5EF4-FFF2-40B4-BE49-F238E27FC236}">
                <a16:creationId xmlns:a16="http://schemas.microsoft.com/office/drawing/2014/main" id="{8D5976CD-CA28-2753-007A-2217E3E34DB5}"/>
              </a:ext>
            </a:extLst>
          </xdr:cNvPr>
          <xdr:cNvPicPr>
            <a:picLocks noChangeAspect="1"/>
          </xdr:cNvPicPr>
        </xdr:nvPicPr>
        <xdr:blipFill>
          <a:blip xmlns:r="http://schemas.openxmlformats.org/officeDocument/2006/relationships" r:embed="rId13"/>
          <a:stretch>
            <a:fillRect/>
          </a:stretch>
        </xdr:blipFill>
        <xdr:spPr>
          <a:xfrm>
            <a:off x="17104783" y="4667251"/>
            <a:ext cx="1638300" cy="1288680"/>
          </a:xfrm>
          <a:prstGeom prst="rect">
            <a:avLst/>
          </a:prstGeom>
        </xdr:spPr>
      </xdr:pic>
    </xdr:grpSp>
    <xdr:clientData/>
  </xdr:twoCellAnchor>
  <xdr:twoCellAnchor>
    <xdr:from>
      <xdr:col>20</xdr:col>
      <xdr:colOff>609101</xdr:colOff>
      <xdr:row>31</xdr:row>
      <xdr:rowOff>85472</xdr:rowOff>
    </xdr:from>
    <xdr:to>
      <xdr:col>29</xdr:col>
      <xdr:colOff>210646</xdr:colOff>
      <xdr:row>55</xdr:row>
      <xdr:rowOff>116205</xdr:rowOff>
    </xdr:to>
    <xdr:grpSp>
      <xdr:nvGrpSpPr>
        <xdr:cNvPr id="43" name="Group 42">
          <a:extLst>
            <a:ext uri="{FF2B5EF4-FFF2-40B4-BE49-F238E27FC236}">
              <a16:creationId xmlns:a16="http://schemas.microsoft.com/office/drawing/2014/main" id="{39E99DD7-E0A7-AE94-5C94-11C1A0E55A71}"/>
            </a:ext>
          </a:extLst>
        </xdr:cNvPr>
        <xdr:cNvGrpSpPr/>
      </xdr:nvGrpSpPr>
      <xdr:grpSpPr>
        <a:xfrm>
          <a:off x="13372601" y="6239406"/>
          <a:ext cx="5383780" cy="4563401"/>
          <a:chOff x="13389166" y="6264070"/>
          <a:chExt cx="5785124" cy="4954563"/>
        </a:xfrm>
      </xdr:grpSpPr>
      <xdr:pic>
        <xdr:nvPicPr>
          <xdr:cNvPr id="41" name="Picture 40">
            <a:extLst>
              <a:ext uri="{FF2B5EF4-FFF2-40B4-BE49-F238E27FC236}">
                <a16:creationId xmlns:a16="http://schemas.microsoft.com/office/drawing/2014/main" id="{B83A1417-FC4D-4361-C66A-5F779FD5B1CE}"/>
              </a:ext>
            </a:extLst>
          </xdr:cNvPr>
          <xdr:cNvPicPr>
            <a:picLocks noChangeAspect="1"/>
          </xdr:cNvPicPr>
        </xdr:nvPicPr>
        <xdr:blipFill rotWithShape="1">
          <a:blip xmlns:r="http://schemas.openxmlformats.org/officeDocument/2006/relationships" r:embed="rId14"/>
          <a:srcRect l="58432"/>
          <a:stretch>
            <a:fillRect/>
          </a:stretch>
        </xdr:blipFill>
        <xdr:spPr>
          <a:xfrm>
            <a:off x="15052851" y="6264070"/>
            <a:ext cx="4121439" cy="4954563"/>
          </a:xfrm>
          <a:prstGeom prst="rect">
            <a:avLst/>
          </a:prstGeom>
        </xdr:spPr>
      </xdr:pic>
      <xdr:pic>
        <xdr:nvPicPr>
          <xdr:cNvPr id="42" name="Picture 41">
            <a:extLst>
              <a:ext uri="{FF2B5EF4-FFF2-40B4-BE49-F238E27FC236}">
                <a16:creationId xmlns:a16="http://schemas.microsoft.com/office/drawing/2014/main" id="{161A1B74-7825-4EA1-8D6F-1C7DDAC88E21}"/>
              </a:ext>
            </a:extLst>
          </xdr:cNvPr>
          <xdr:cNvPicPr>
            <a:picLocks noChangeAspect="1"/>
          </xdr:cNvPicPr>
        </xdr:nvPicPr>
        <xdr:blipFill rotWithShape="1">
          <a:blip xmlns:r="http://schemas.openxmlformats.org/officeDocument/2006/relationships" r:embed="rId14"/>
          <a:srcRect l="285" r="83181"/>
          <a:stretch>
            <a:fillRect/>
          </a:stretch>
        </xdr:blipFill>
        <xdr:spPr>
          <a:xfrm>
            <a:off x="13389166" y="6266398"/>
            <a:ext cx="1643703" cy="494884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65331</xdr:colOff>
      <xdr:row>3</xdr:row>
      <xdr:rowOff>153073</xdr:rowOff>
    </xdr:from>
    <xdr:to>
      <xdr:col>16</xdr:col>
      <xdr:colOff>403412</xdr:colOff>
      <xdr:row>18</xdr:row>
      <xdr:rowOff>11206</xdr:rowOff>
    </xdr:to>
    <xdr:graphicFrame macro="">
      <xdr:nvGraphicFramePr>
        <xdr:cNvPr id="12" name="Chart 11">
          <a:extLst>
            <a:ext uri="{FF2B5EF4-FFF2-40B4-BE49-F238E27FC236}">
              <a16:creationId xmlns:a16="http://schemas.microsoft.com/office/drawing/2014/main" id="{1855BBC3-9471-4FAC-B264-2303F0E38407}"/>
            </a:ext>
            <a:ext uri="{147F2762-F138-4A5C-976F-8EAC2B608ADB}">
              <a16:predDERef xmlns:a16="http://schemas.microsoft.com/office/drawing/2014/main" pre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56029</xdr:colOff>
      <xdr:row>3</xdr:row>
      <xdr:rowOff>162596</xdr:rowOff>
    </xdr:from>
    <xdr:to>
      <xdr:col>25</xdr:col>
      <xdr:colOff>418428</xdr:colOff>
      <xdr:row>18</xdr:row>
      <xdr:rowOff>18600</xdr:rowOff>
    </xdr:to>
    <xdr:graphicFrame macro="">
      <xdr:nvGraphicFramePr>
        <xdr:cNvPr id="11" name="Chart 10">
          <a:extLst>
            <a:ext uri="{FF2B5EF4-FFF2-40B4-BE49-F238E27FC236}">
              <a16:creationId xmlns:a16="http://schemas.microsoft.com/office/drawing/2014/main" id="{E0B6695D-B406-411C-80FD-D37FBD400135}"/>
            </a:ext>
            <a:ext uri="{147F2762-F138-4A5C-976F-8EAC2B608ADB}">
              <a16:predDERef xmlns:a16="http://schemas.microsoft.com/office/drawing/2014/main" pre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29</xdr:row>
      <xdr:rowOff>101084</xdr:rowOff>
    </xdr:from>
    <xdr:to>
      <xdr:col>7</xdr:col>
      <xdr:colOff>435430</xdr:colOff>
      <xdr:row>43</xdr:row>
      <xdr:rowOff>91559</xdr:rowOff>
    </xdr:to>
    <xdr:graphicFrame macro="">
      <xdr:nvGraphicFramePr>
        <xdr:cNvPr id="2" name="Chart 1">
          <a:extLst>
            <a:ext uri="{FF2B5EF4-FFF2-40B4-BE49-F238E27FC236}">
              <a16:creationId xmlns:a16="http://schemas.microsoft.com/office/drawing/2014/main" id="{5AB1EF02-B0BD-44DF-BF88-E7C79141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66524</xdr:colOff>
      <xdr:row>29</xdr:row>
      <xdr:rowOff>104465</xdr:rowOff>
    </xdr:from>
    <xdr:to>
      <xdr:col>16</xdr:col>
      <xdr:colOff>393095</xdr:colOff>
      <xdr:row>43</xdr:row>
      <xdr:rowOff>89655</xdr:rowOff>
    </xdr:to>
    <xdr:graphicFrame macro="">
      <xdr:nvGraphicFramePr>
        <xdr:cNvPr id="3" name="Chart 2">
          <a:extLst>
            <a:ext uri="{FF2B5EF4-FFF2-40B4-BE49-F238E27FC236}">
              <a16:creationId xmlns:a16="http://schemas.microsoft.com/office/drawing/2014/main" id="{E8EEA715-F804-4583-B6A1-233BF19C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53524</xdr:colOff>
      <xdr:row>17</xdr:row>
      <xdr:rowOff>108845</xdr:rowOff>
    </xdr:from>
    <xdr:to>
      <xdr:col>34</xdr:col>
      <xdr:colOff>464760</xdr:colOff>
      <xdr:row>30</xdr:row>
      <xdr:rowOff>0</xdr:rowOff>
    </xdr:to>
    <xdr:graphicFrame macro="">
      <xdr:nvGraphicFramePr>
        <xdr:cNvPr id="5" name="Chart 4">
          <a:extLst>
            <a:ext uri="{FF2B5EF4-FFF2-40B4-BE49-F238E27FC236}">
              <a16:creationId xmlns:a16="http://schemas.microsoft.com/office/drawing/2014/main" id="{BC18ACB7-DA54-48CD-9DC1-225DDB2A69BA}"/>
            </a:ext>
            <a:ext uri="{147F2762-F138-4A5C-976F-8EAC2B608ADB}">
              <a16:predDERef xmlns:a16="http://schemas.microsoft.com/office/drawing/2014/main" pred="{7E788D66-528B-4AD5-A6E5-FA03A664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57642</xdr:colOff>
      <xdr:row>30</xdr:row>
      <xdr:rowOff>76077</xdr:rowOff>
    </xdr:from>
    <xdr:to>
      <xdr:col>50</xdr:col>
      <xdr:colOff>762000</xdr:colOff>
      <xdr:row>43</xdr:row>
      <xdr:rowOff>96762</xdr:rowOff>
    </xdr:to>
    <xdr:graphicFrame macro="">
      <xdr:nvGraphicFramePr>
        <xdr:cNvPr id="6" name="Chart 5">
          <a:extLst>
            <a:ext uri="{FF2B5EF4-FFF2-40B4-BE49-F238E27FC236}">
              <a16:creationId xmlns:a16="http://schemas.microsoft.com/office/drawing/2014/main" id="{6A2EFCCF-5F07-400F-876B-2BF2E4246EC8}"/>
            </a:ext>
            <a:ext uri="{147F2762-F138-4A5C-976F-8EAC2B608ADB}">
              <a16:predDERef xmlns:a16="http://schemas.microsoft.com/office/drawing/2014/main" pred="{BC18ACB7-DA54-48CD-9DC1-225DDB2A6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54429</xdr:colOff>
      <xdr:row>30</xdr:row>
      <xdr:rowOff>55437</xdr:rowOff>
    </xdr:from>
    <xdr:to>
      <xdr:col>35</xdr:col>
      <xdr:colOff>666</xdr:colOff>
      <xdr:row>43</xdr:row>
      <xdr:rowOff>72079</xdr:rowOff>
    </xdr:to>
    <xdr:graphicFrame macro="">
      <xdr:nvGraphicFramePr>
        <xdr:cNvPr id="7" name="Chart 6">
          <a:extLst>
            <a:ext uri="{FF2B5EF4-FFF2-40B4-BE49-F238E27FC236}">
              <a16:creationId xmlns:a16="http://schemas.microsoft.com/office/drawing/2014/main" id="{7250DA2D-06CB-45CA-BF83-A0F6DA3A148E}"/>
            </a:ext>
            <a:ext uri="{147F2762-F138-4A5C-976F-8EAC2B608ADB}">
              <a16:predDERef xmlns:a16="http://schemas.microsoft.com/office/drawing/2014/main" pred="{6A2EFCCF-5F07-400F-876B-2BF2E4246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29</xdr:row>
      <xdr:rowOff>91560</xdr:rowOff>
    </xdr:from>
    <xdr:to>
      <xdr:col>25</xdr:col>
      <xdr:colOff>411239</xdr:colOff>
      <xdr:row>43</xdr:row>
      <xdr:rowOff>82035</xdr:rowOff>
    </xdr:to>
    <xdr:graphicFrame macro="">
      <xdr:nvGraphicFramePr>
        <xdr:cNvPr id="8" name="Chart 7">
          <a:extLst>
            <a:ext uri="{FF2B5EF4-FFF2-40B4-BE49-F238E27FC236}">
              <a16:creationId xmlns:a16="http://schemas.microsoft.com/office/drawing/2014/main" id="{80951E7F-7E2E-4A78-A5B9-2B530B0D837C}"/>
            </a:ext>
            <a:ext uri="{147F2762-F138-4A5C-976F-8EAC2B608ADB}">
              <a16:predDERef xmlns:a16="http://schemas.microsoft.com/office/drawing/2014/main" pred="{7250DA2D-06CB-45CA-BF83-A0F6DA3A1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45</xdr:col>
      <xdr:colOff>57341</xdr:colOff>
      <xdr:row>14</xdr:row>
      <xdr:rowOff>101799</xdr:rowOff>
    </xdr:from>
    <xdr:to>
      <xdr:col>51</xdr:col>
      <xdr:colOff>0</xdr:colOff>
      <xdr:row>28</xdr:row>
      <xdr:rowOff>172065</xdr:rowOff>
    </xdr:to>
    <xdr:graphicFrame macro="">
      <xdr:nvGraphicFramePr>
        <xdr:cNvPr id="14" name="Chart 13">
          <a:extLst>
            <a:ext uri="{FF2B5EF4-FFF2-40B4-BE49-F238E27FC236}">
              <a16:creationId xmlns:a16="http://schemas.microsoft.com/office/drawing/2014/main" id="{A169F24A-9325-416A-83AE-FD2D7C8E2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56030</xdr:colOff>
      <xdr:row>0</xdr:row>
      <xdr:rowOff>0</xdr:rowOff>
    </xdr:from>
    <xdr:to>
      <xdr:col>51</xdr:col>
      <xdr:colOff>0</xdr:colOff>
      <xdr:row>14</xdr:row>
      <xdr:rowOff>39333</xdr:rowOff>
    </xdr:to>
    <xdr:graphicFrame macro="">
      <xdr:nvGraphicFramePr>
        <xdr:cNvPr id="10" name="Chart 9">
          <a:extLst>
            <a:ext uri="{FF2B5EF4-FFF2-40B4-BE49-F238E27FC236}">
              <a16:creationId xmlns:a16="http://schemas.microsoft.com/office/drawing/2014/main" id="{A6386E8B-A8FD-4574-9338-2EB0F856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53</xdr:col>
      <xdr:colOff>393093</xdr:colOff>
      <xdr:row>0</xdr:row>
      <xdr:rowOff>138545</xdr:rowOff>
    </xdr:from>
    <xdr:to>
      <xdr:col>67</xdr:col>
      <xdr:colOff>343442</xdr:colOff>
      <xdr:row>37</xdr:row>
      <xdr:rowOff>172408</xdr:rowOff>
    </xdr:to>
    <xdr:pic>
      <xdr:nvPicPr>
        <xdr:cNvPr id="12" name="Picture 11">
          <a:extLst>
            <a:ext uri="{FF2B5EF4-FFF2-40B4-BE49-F238E27FC236}">
              <a16:creationId xmlns:a16="http://schemas.microsoft.com/office/drawing/2014/main" id="{E1DD2AFD-33AD-4742-BB12-AB09A43CAC9D}"/>
            </a:ext>
          </a:extLst>
        </xdr:cNvPr>
        <xdr:cNvPicPr>
          <a:picLocks noChangeAspect="1"/>
        </xdr:cNvPicPr>
      </xdr:nvPicPr>
      <xdr:blipFill>
        <a:blip xmlns:r="http://schemas.openxmlformats.org/officeDocument/2006/relationships" r:embed="rId1"/>
        <a:stretch>
          <a:fillRect/>
        </a:stretch>
      </xdr:blipFill>
      <xdr:spPr>
        <a:xfrm>
          <a:off x="36813229" y="138545"/>
          <a:ext cx="8924978" cy="6670635"/>
        </a:xfrm>
        <a:prstGeom prst="rect">
          <a:avLst/>
        </a:prstGeom>
      </xdr:spPr>
    </xdr:pic>
    <xdr:clientData/>
  </xdr:twoCellAnchor>
  <xdr:twoCellAnchor editAs="oneCell">
    <xdr:from>
      <xdr:col>67</xdr:col>
      <xdr:colOff>439821</xdr:colOff>
      <xdr:row>0</xdr:row>
      <xdr:rowOff>138545</xdr:rowOff>
    </xdr:from>
    <xdr:to>
      <xdr:col>77</xdr:col>
      <xdr:colOff>180361</xdr:colOff>
      <xdr:row>27</xdr:row>
      <xdr:rowOff>153451</xdr:rowOff>
    </xdr:to>
    <xdr:pic>
      <xdr:nvPicPr>
        <xdr:cNvPr id="13" name="Picture 12">
          <a:extLst>
            <a:ext uri="{FF2B5EF4-FFF2-40B4-BE49-F238E27FC236}">
              <a16:creationId xmlns:a16="http://schemas.microsoft.com/office/drawing/2014/main" id="{FB00D648-0806-449D-9360-BB193138FBDE}"/>
            </a:ext>
          </a:extLst>
        </xdr:cNvPr>
        <xdr:cNvPicPr>
          <a:picLocks noChangeAspect="1"/>
        </xdr:cNvPicPr>
      </xdr:nvPicPr>
      <xdr:blipFill>
        <a:blip xmlns:r="http://schemas.openxmlformats.org/officeDocument/2006/relationships" r:embed="rId2"/>
        <a:stretch>
          <a:fillRect/>
        </a:stretch>
      </xdr:blipFill>
      <xdr:spPr>
        <a:xfrm>
          <a:off x="45830776" y="138545"/>
          <a:ext cx="6150172" cy="4912141"/>
        </a:xfrm>
        <a:prstGeom prst="rect">
          <a:avLst/>
        </a:prstGeom>
      </xdr:spPr>
    </xdr:pic>
    <xdr:clientData/>
  </xdr:twoCellAnchor>
  <xdr:twoCellAnchor>
    <xdr:from>
      <xdr:col>0</xdr:col>
      <xdr:colOff>0</xdr:colOff>
      <xdr:row>0</xdr:row>
      <xdr:rowOff>28876</xdr:rowOff>
    </xdr:from>
    <xdr:to>
      <xdr:col>4</xdr:col>
      <xdr:colOff>617326</xdr:colOff>
      <xdr:row>13</xdr:row>
      <xdr:rowOff>72258</xdr:rowOff>
    </xdr:to>
    <xdr:graphicFrame macro="">
      <xdr:nvGraphicFramePr>
        <xdr:cNvPr id="5" name="Chart 4">
          <a:extLst>
            <a:ext uri="{FF2B5EF4-FFF2-40B4-BE49-F238E27FC236}">
              <a16:creationId xmlns:a16="http://schemas.microsoft.com/office/drawing/2014/main" id="{D75FAD33-54BC-629E-19B2-266AF4FB2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695326</xdr:colOff>
      <xdr:row>0</xdr:row>
      <xdr:rowOff>0</xdr:rowOff>
    </xdr:from>
    <xdr:to>
      <xdr:col>22</xdr:col>
      <xdr:colOff>677119</xdr:colOff>
      <xdr:row>13</xdr:row>
      <xdr:rowOff>171450</xdr:rowOff>
    </xdr:to>
    <xdr:graphicFrame macro="">
      <xdr:nvGraphicFramePr>
        <xdr:cNvPr id="9" name="Chart 8">
          <a:extLst>
            <a:ext uri="{FF2B5EF4-FFF2-40B4-BE49-F238E27FC236}">
              <a16:creationId xmlns:a16="http://schemas.microsoft.com/office/drawing/2014/main" id="{0BED31A6-44D5-4D05-A16C-A4628E09A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457200</xdr:colOff>
      <xdr:row>0</xdr:row>
      <xdr:rowOff>0</xdr:rowOff>
    </xdr:from>
    <xdr:to>
      <xdr:col>18</xdr:col>
      <xdr:colOff>610515</xdr:colOff>
      <xdr:row>13</xdr:row>
      <xdr:rowOff>171450</xdr:rowOff>
    </xdr:to>
    <xdr:graphicFrame macro="">
      <xdr:nvGraphicFramePr>
        <xdr:cNvPr id="10" name="Chart 9">
          <a:extLst>
            <a:ext uri="{FF2B5EF4-FFF2-40B4-BE49-F238E27FC236}">
              <a16:creationId xmlns:a16="http://schemas.microsoft.com/office/drawing/2014/main" id="{2310E0EB-8EF9-42EA-B918-82701712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xdr:row>
      <xdr:rowOff>177026</xdr:rowOff>
    </xdr:from>
    <xdr:to>
      <xdr:col>4</xdr:col>
      <xdr:colOff>619414</xdr:colOff>
      <xdr:row>68</xdr:row>
      <xdr:rowOff>27336</xdr:rowOff>
    </xdr:to>
    <xdr:grpSp>
      <xdr:nvGrpSpPr>
        <xdr:cNvPr id="2" name="Group 1">
          <a:extLst>
            <a:ext uri="{FF2B5EF4-FFF2-40B4-BE49-F238E27FC236}">
              <a16:creationId xmlns:a16="http://schemas.microsoft.com/office/drawing/2014/main" id="{C467D65E-AC7C-0854-AA3E-CB591C1CE07D}"/>
            </a:ext>
          </a:extLst>
        </xdr:cNvPr>
        <xdr:cNvGrpSpPr/>
      </xdr:nvGrpSpPr>
      <xdr:grpSpPr>
        <a:xfrm>
          <a:off x="0" y="2852122"/>
          <a:ext cx="3189259" cy="9535807"/>
          <a:chOff x="0" y="2724964"/>
          <a:chExt cx="3191164" cy="9528187"/>
        </a:xfrm>
      </xdr:grpSpPr>
      <xdr:graphicFrame macro="">
        <xdr:nvGraphicFramePr>
          <xdr:cNvPr id="11" name="Chart 10">
            <a:extLst>
              <a:ext uri="{FF2B5EF4-FFF2-40B4-BE49-F238E27FC236}">
                <a16:creationId xmlns:a16="http://schemas.microsoft.com/office/drawing/2014/main" id="{F1B1ED3F-6E50-4C2D-8B93-042CCD17154A}"/>
              </a:ext>
            </a:extLst>
          </xdr:cNvPr>
          <xdr:cNvGraphicFramePr>
            <a:graphicFrameLocks/>
          </xdr:cNvGraphicFramePr>
        </xdr:nvGraphicFramePr>
        <xdr:xfrm>
          <a:off x="1" y="2724964"/>
          <a:ext cx="3191163" cy="234625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a:extLst>
              <a:ext uri="{FF2B5EF4-FFF2-40B4-BE49-F238E27FC236}">
                <a16:creationId xmlns:a16="http://schemas.microsoft.com/office/drawing/2014/main" id="{5C7519C2-AF56-4023-A84F-1846FA9A19AE}"/>
              </a:ext>
            </a:extLst>
          </xdr:cNvPr>
          <xdr:cNvGraphicFramePr>
            <a:graphicFrameLocks/>
          </xdr:cNvGraphicFramePr>
        </xdr:nvGraphicFramePr>
        <xdr:xfrm>
          <a:off x="0" y="7518054"/>
          <a:ext cx="3191163" cy="2338443"/>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8" name="Chart 17">
            <a:extLst>
              <a:ext uri="{FF2B5EF4-FFF2-40B4-BE49-F238E27FC236}">
                <a16:creationId xmlns:a16="http://schemas.microsoft.com/office/drawing/2014/main" id="{A4620672-06EC-46E5-9BAD-E8B3792479B2}"/>
              </a:ext>
            </a:extLst>
          </xdr:cNvPr>
          <xdr:cNvGraphicFramePr>
            <a:graphicFrameLocks/>
          </xdr:cNvGraphicFramePr>
        </xdr:nvGraphicFramePr>
        <xdr:xfrm>
          <a:off x="0" y="5117896"/>
          <a:ext cx="3191163" cy="234104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0" name="Chart 19">
            <a:extLst>
              <a:ext uri="{FF2B5EF4-FFF2-40B4-BE49-F238E27FC236}">
                <a16:creationId xmlns:a16="http://schemas.microsoft.com/office/drawing/2014/main" id="{D9BCEF9D-E4C0-4A04-84AC-4369202C8AC1}"/>
              </a:ext>
            </a:extLst>
          </xdr:cNvPr>
          <xdr:cNvGraphicFramePr>
            <a:graphicFrameLocks/>
          </xdr:cNvGraphicFramePr>
        </xdr:nvGraphicFramePr>
        <xdr:xfrm>
          <a:off x="0" y="9912599"/>
          <a:ext cx="3189258" cy="2340552"/>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23</xdr:col>
      <xdr:colOff>0</xdr:colOff>
      <xdr:row>0</xdr:row>
      <xdr:rowOff>0</xdr:rowOff>
    </xdr:from>
    <xdr:to>
      <xdr:col>32</xdr:col>
      <xdr:colOff>113360</xdr:colOff>
      <xdr:row>14</xdr:row>
      <xdr:rowOff>1681</xdr:rowOff>
    </xdr:to>
    <xdr:grpSp>
      <xdr:nvGrpSpPr>
        <xdr:cNvPr id="23" name="Group 22">
          <a:extLst>
            <a:ext uri="{FF2B5EF4-FFF2-40B4-BE49-F238E27FC236}">
              <a16:creationId xmlns:a16="http://schemas.microsoft.com/office/drawing/2014/main" id="{7044EDCE-6210-EF42-22E1-92AE3D8F818E}"/>
            </a:ext>
          </a:extLst>
        </xdr:cNvPr>
        <xdr:cNvGrpSpPr/>
      </xdr:nvGrpSpPr>
      <xdr:grpSpPr>
        <a:xfrm>
          <a:off x="17573625" y="0"/>
          <a:ext cx="7316641" cy="2680587"/>
          <a:chOff x="17483667" y="0"/>
          <a:chExt cx="7257110" cy="2700431"/>
        </a:xfrm>
      </xdr:grpSpPr>
      <xdr:graphicFrame macro="">
        <xdr:nvGraphicFramePr>
          <xdr:cNvPr id="19" name="Chart 18">
            <a:extLst>
              <a:ext uri="{FF2B5EF4-FFF2-40B4-BE49-F238E27FC236}">
                <a16:creationId xmlns:a16="http://schemas.microsoft.com/office/drawing/2014/main" id="{1A95885C-3209-4BEA-BC9A-4E04C13F7FC2}"/>
              </a:ext>
            </a:extLst>
          </xdr:cNvPr>
          <xdr:cNvGraphicFramePr>
            <a:graphicFrameLocks/>
          </xdr:cNvGraphicFramePr>
        </xdr:nvGraphicFramePr>
        <xdr:xfrm>
          <a:off x="17483667" y="0"/>
          <a:ext cx="3630837" cy="270043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2" name="Chart 21">
            <a:extLst>
              <a:ext uri="{FF2B5EF4-FFF2-40B4-BE49-F238E27FC236}">
                <a16:creationId xmlns:a16="http://schemas.microsoft.com/office/drawing/2014/main" id="{C8A8139B-036C-4E91-8DA7-F897F67EA22E}"/>
              </a:ext>
            </a:extLst>
          </xdr:cNvPr>
          <xdr:cNvGraphicFramePr>
            <a:graphicFrameLocks/>
          </xdr:cNvGraphicFramePr>
        </xdr:nvGraphicFramePr>
        <xdr:xfrm>
          <a:off x="21111845" y="0"/>
          <a:ext cx="3628932" cy="2698526"/>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person displayName="Ahmed Ibrahim" id="{685DAF9C-7E69-437C-B66A-60F972D4A0E6}" userId="Ahmed Ibrahim"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84210-69F5-4990-A2A5-193DCD03ECF3}" name="Table1" displayName="Table1" ref="A2:BG11" totalsRowShown="0" headerRowDxfId="63" dataDxfId="62">
  <autoFilter ref="A2:BG11" xr:uid="{0F284210-69F5-4990-A2A5-193DCD03ECF3}"/>
  <tableColumns count="59">
    <tableColumn id="2" xr3:uid="{22354CD9-A599-4389-A481-60CBCEA51200}" name="Material" dataDxfId="61"/>
    <tableColumn id="3" xr3:uid="{4EE2AFE1-D26A-4182-ACD2-0E8FCC04D4E4}" name="Tc_DK (1/°C)" dataDxfId="60"/>
    <tableColumn id="4" xr3:uid="{A8A14456-3934-43CF-AE73-757A8E52309C}" name="Tc_DF (1/°C)" dataDxfId="59"/>
    <tableColumn id="5" xr3:uid="{9EBA9770-8D34-4C72-94B1-3F8FA0C2B78A}" name="α_M (1/°C)" dataDxfId="58"/>
    <tableColumn id="6" xr3:uid="{75CF7D50-F8FE-4786-956F-1552247B5B96}" name="σo (S/m)" dataDxfId="57"/>
    <tableColumn id="8" xr3:uid="{F5E90E42-97A9-4386-899A-D8C1823BC830}" name="Δ (µm)" dataDxfId="56"/>
    <tableColumn id="7" xr3:uid="{A6224F84-6793-4357-A26B-BB02B60025FA}" name="To (°C)" dataDxfId="55"/>
    <tableColumn id="9" xr3:uid="{110EB71F-B441-40DC-9FD2-EF9E87F2DA79}" name="t_D (µm)" dataDxfId="54"/>
    <tableColumn id="10" xr3:uid="{0A5CB8CD-EACF-4ADA-96C6-46D06F0849C8}" name="t_M (µm)" dataDxfId="53"/>
    <tableColumn id="11" xr3:uid="{E1E79A1B-771E-4E24-8390-03CD1A06DB95}" name="W (µm)" dataDxfId="52"/>
    <tableColumn id="12" xr3:uid="{F8A59D81-6FDA-4A76-AA94-C431984D0E71}" name="S (µm)" dataDxfId="51"/>
    <tableColumn id="13" xr3:uid="{235CBBB0-0030-4A7C-B379-16DF1761BA4D}" name="f1 (GHz)" dataDxfId="50"/>
    <tableColumn id="14" xr3:uid="{0AB313A9-4B77-441C-8047-5677C7E047EF}" name="f2 (GHz)" dataDxfId="49"/>
    <tableColumn id="15" xr3:uid="{D71408FB-D46D-4C19-8BE9-0B1E06B82617}" name="f3 (GHz)" dataDxfId="48"/>
    <tableColumn id="16" xr3:uid="{C8F5BCE5-3303-4932-9823-8B930528244E}" name="f4 (GHz)" dataDxfId="47"/>
    <tableColumn id="17" xr3:uid="{618D3C24-9FB5-4013-A3F4-7AB0E8542984}" name="f5 (GHz)" dataDxfId="46"/>
    <tableColumn id="18" xr3:uid="{54F33D0C-C7E5-4CB7-800B-9457FC6D9B76}" name="f6 (GHz)" dataDxfId="45"/>
    <tableColumn id="19" xr3:uid="{F8928CDC-3ED2-4A44-81C7-4ABA1B3D05A2}" name="t1 (µm)" dataDxfId="44"/>
    <tableColumn id="20" xr3:uid="{2C30865F-A33F-4614-A966-03E9598CD118}" name="t2 (µm)" dataDxfId="43"/>
    <tableColumn id="21" xr3:uid="{7B0C3E7D-08BF-4B81-9525-C9618116F763}" name="t3 (µm)" dataDxfId="42"/>
    <tableColumn id="22" xr3:uid="{FA5AAD20-F946-49F3-8ADD-E48CC613CA00}" name="RC1 (%)" dataDxfId="41"/>
    <tableColumn id="23" xr3:uid="{AB23DE0A-6B38-4750-82C8-9CD91F104D1D}" name="RC2 (%)" dataDxfId="40"/>
    <tableColumn id="24" xr3:uid="{0B9EC151-014E-4052-B14D-20C3D915CBCE}" name="RC3 (%)" dataDxfId="39"/>
    <tableColumn id="25" xr3:uid="{F60C46C7-3220-42FD-9D85-EFCCEC8AFFAD}" name="DK11" dataDxfId="38"/>
    <tableColumn id="26" xr3:uid="{CE35D3D1-1D50-4D31-A5BE-215036B16DE0}" name="DK12" dataDxfId="37"/>
    <tableColumn id="27" xr3:uid="{0D01176C-B1F9-4DE9-AE89-4EC16699026C}" name="DK13" dataDxfId="36"/>
    <tableColumn id="28" xr3:uid="{2E808140-F9B6-4BEE-9F5C-FA6D02E38E1A}" name="DK14" dataDxfId="35"/>
    <tableColumn id="29" xr3:uid="{DC4D4247-4E1A-4A5A-B22D-83CF96F4F81B}" name="DK15" dataDxfId="34"/>
    <tableColumn id="30" xr3:uid="{9E566D91-0CAF-4A4E-AFBF-0FA74925B7AE}" name="DK16" dataDxfId="33"/>
    <tableColumn id="31" xr3:uid="{A7BA5060-69D8-486B-97CA-1AFFA52AE876}" name="DK21" dataDxfId="32"/>
    <tableColumn id="32" xr3:uid="{A49FF30E-1288-4006-9FF7-09DF4B056723}" name="DK22" dataDxfId="31"/>
    <tableColumn id="33" xr3:uid="{1CB9667B-C52E-4C3F-BCC1-4D3D631960F9}" name="DK23" dataDxfId="30"/>
    <tableColumn id="34" xr3:uid="{5F388564-E8E5-4081-BDAF-CAD9DF28106E}" name="DK24" dataDxfId="29"/>
    <tableColumn id="35" xr3:uid="{8712DC67-275B-4C66-9612-6959BBC5E568}" name="DK25" dataDxfId="28"/>
    <tableColumn id="36" xr3:uid="{A5869C4A-E072-4DE3-B7A0-6B8D8D20902F}" name="DK26" dataDxfId="27"/>
    <tableColumn id="37" xr3:uid="{58BEF11D-AAA6-4FA6-BA0C-C9EF695131F5}" name="DK31" dataDxfId="26"/>
    <tableColumn id="38" xr3:uid="{D37AF768-A55E-46D5-9988-300A5319FF70}" name="DK32" dataDxfId="25"/>
    <tableColumn id="39" xr3:uid="{168CA9EB-01C7-4CB1-877B-C3234D10C43B}" name="DK33" dataDxfId="24"/>
    <tableColumn id="40" xr3:uid="{B0FAF506-A593-4359-8325-3364CB964AD3}" name="DK34" dataDxfId="23"/>
    <tableColumn id="41" xr3:uid="{8FF8A027-0972-4379-9277-2FC88F6DC7E5}" name="DK35" dataDxfId="22"/>
    <tableColumn id="42" xr3:uid="{C5D56B35-4081-41EA-B5FD-7C9A8531588B}" name="DK36" dataDxfId="21"/>
    <tableColumn id="43" xr3:uid="{94669113-9DEA-4444-8E28-0432E8BB0D2C}" name="DF11" dataDxfId="20"/>
    <tableColumn id="44" xr3:uid="{928897D2-8FB5-4DB8-B3F1-10066655F991}" name="DF12" dataDxfId="19"/>
    <tableColumn id="45" xr3:uid="{C209FCF8-5359-41C7-8860-29479C213003}" name="DF13" dataDxfId="18"/>
    <tableColumn id="46" xr3:uid="{10C9B386-CA09-4EA9-852B-ABCCEE4FA1BE}" name="DF14" dataDxfId="17"/>
    <tableColumn id="47" xr3:uid="{2655C2AA-22AA-43AB-ADC2-2C675209F645}" name="DF15" dataDxfId="16"/>
    <tableColumn id="48" xr3:uid="{73E3D265-2559-4928-8379-496E28782838}" name="DF16" dataDxfId="15"/>
    <tableColumn id="49" xr3:uid="{989424CF-5C94-4EF9-B215-2944532900F0}" name="DF21" dataDxfId="14"/>
    <tableColumn id="50" xr3:uid="{A361CFEC-AC79-4874-8E43-515836683428}" name="DF22" dataDxfId="13"/>
    <tableColumn id="51" xr3:uid="{88D8603B-43C8-4196-88C6-72DDBDEFDED9}" name="DF23" dataDxfId="12"/>
    <tableColumn id="52" xr3:uid="{5453D9BE-BCB9-4882-B2D4-F5DDFBE9B410}" name="DF24" dataDxfId="11"/>
    <tableColumn id="53" xr3:uid="{B7A580A1-EBA9-4C8B-A5B6-8B544991CC97}" name="DF25" dataDxfId="10"/>
    <tableColumn id="54" xr3:uid="{31CD4ACE-51F6-4C8B-9AF9-E85177EBDDB4}" name="DF26" dataDxfId="9"/>
    <tableColumn id="55" xr3:uid="{3A96F978-8B36-4A52-8468-05CF4C8E47AC}" name="DF31" dataDxfId="8"/>
    <tableColumn id="56" xr3:uid="{4F7A0AD0-6241-4450-8D13-87A9A2B2005E}" name="DF32" dataDxfId="7"/>
    <tableColumn id="57" xr3:uid="{36B5FB3C-A774-4546-BE0C-4F7DA51A71C6}" name="DF33" dataDxfId="6"/>
    <tableColumn id="58" xr3:uid="{8C2E1341-E486-4C00-AEC2-36C5E450CE5C}" name="DF34" dataDxfId="5"/>
    <tableColumn id="59" xr3:uid="{C52FC261-27CE-4A36-97E3-A72A58A65E90}" name="DF35" dataDxfId="4"/>
    <tableColumn id="60" xr3:uid="{4B023531-BE31-49DD-99F8-70F4BA703D2E}" name="DF36"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12EBB-40C8-4DC9-BC1F-CF0DFA703275}" name="Table2" displayName="Table2" ref="BI2:BJ11" totalsRowShown="0" tableBorderDxfId="2">
  <autoFilter ref="BI2:BJ11" xr:uid="{11512EBB-40C8-4DC9-BC1F-CF0DFA703275}"/>
  <tableColumns count="2">
    <tableColumn id="1" xr3:uid="{4340093C-64CA-4075-AE45-01D3149344C5}" name="Copper Foil" dataDxfId="1"/>
    <tableColumn id="2" xr3:uid="{8D924397-5846-4DF8-A087-A9F1D690A7D0}" name="Δ (µm)"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2-06T10:10:08.81" personId="{685DAF9C-7E69-437C-B66A-60F972D4A0E6}" id="{DA3A8A89-34AB-4C90-8EF9-C1DB1D48FD32}">
    <text>TC_DK = [ (DK|T2 - DK|T1)/DK|25C ] / (T2-T1)</text>
  </threadedComment>
  <threadedComment ref="C2" dT="2024-12-06T10:10:38.31" personId="{685DAF9C-7E69-437C-B66A-60F972D4A0E6}" id="{8D22B870-DEEF-4577-8F62-C02DEDE49307}">
    <text>TC_DF = [ (DF|T2 - DF|T1)/DF|25C ] / (T2-T1)</text>
  </threadedComment>
  <threadedComment ref="D2" dT="2024-12-05T15:14:26.44" personId="{685DAF9C-7E69-437C-B66A-60F972D4A0E6}" id="{9BA8CB9F-027F-4019-870C-E19AB2615A09}">
    <text>Temperature coefficient of metal conductivity</text>
  </threadedComment>
  <threadedComment ref="E2" dT="2024-12-05T15:13:59.91" personId="{685DAF9C-7E69-437C-B66A-60F972D4A0E6}" id="{B9DA68C6-6F68-4427-A0DD-EC94F9ECA19D}">
    <text>Metal conductivity</text>
  </threadedComment>
  <threadedComment ref="F2" dT="2024-09-28T06:20:07.69" personId="{685DAF9C-7E69-437C-B66A-60F972D4A0E6}" id="{9D859DB6-2A73-437C-B08C-39F36360EBAF}">
    <text>Metal surface roughness
- Note: Multiply by 2 if both sides are treated
- Typical Manufacturer Data:
(STD)         5 &lt; Rz &lt; 7μm
(RTF)          3 &lt; Rz &lt; 5μm
(VLP)         2 &lt; Rz &lt; 3μm
(HVLP)      1 &lt; Rz &lt; 2μm
(HVLP2) 0.2 &lt; Rz &lt; 1μm 
- Roughness RMS = Rz *1.1/7.6</text>
  </threadedComment>
  <threadedComment ref="H2" dT="2024-12-05T15:13:02.78" personId="{685DAF9C-7E69-437C-B66A-60F972D4A0E6}" id="{AF6BB9F7-C89F-4C7E-BD6B-134C5FFAC4CC}">
    <text>Dielectric thickness between two layers. 
The total stripline thickness will be 2x Dielectric thickness + Metal thickness</text>
  </threadedComment>
  <threadedComment ref="I2" dT="2024-12-05T15:13:13.84" personId="{685DAF9C-7E69-437C-B66A-60F972D4A0E6}" id="{74C09A0D-20EC-45EA-859C-642CFD5C8385}">
    <text>Copper layer thickness</text>
  </threadedComment>
  <threadedComment ref="J2" dT="2024-12-05T15:13:31.26" personId="{685DAF9C-7E69-437C-B66A-60F972D4A0E6}" id="{B6F6F324-6FF3-452A-9D8D-0037EC90FC12}">
    <text>Stripline width</text>
  </threadedComment>
  <threadedComment ref="K2" dT="2024-12-05T15:13:42.82" personId="{685DAF9C-7E69-437C-B66A-60F972D4A0E6}" id="{96381BDA-6030-42D5-A33B-3467E9414F6A}">
    <text>Stripline spacing</text>
  </threadedComment>
  <threadedComment ref="BJ2" dT="2024-09-28T06:20:07.69" personId="{685DAF9C-7E69-437C-B66A-60F972D4A0E6}" id="{43FCD850-5AA7-4C28-850A-94AC8C23A507}">
    <text>Metal surface roughness
- Note: Multiply by 2 if both sides are treated
- Typical Manufacturer Data:
(STD)         5 &lt; Rz &lt; 7μm
(RTF)          3 &lt; Rz &lt; 5μm
(VLP)         2 &lt; Rz &lt; 3μm
(HVLP)      1 &lt; Rz &lt; 2μm
(HVLP2) 0.2 &lt; Rz &lt; 1μm 
- Roughness RMS = Rz *1.1/7.6</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2-05T15:13:02.78" personId="{685DAF9C-7E69-437C-B66A-60F972D4A0E6}" id="{E97AE688-3969-4F50-A487-14FACFE2A845}">
    <text>Dielectric thickness between two layers. 
The total stripline thickness will be 2x Dielectric thickness + Metal thickness</text>
  </threadedComment>
  <threadedComment ref="H1" dT="2024-12-05T15:13:59.91" personId="{685DAF9C-7E69-437C-B66A-60F972D4A0E6}" id="{CEBCA5BB-DA04-4CEF-8896-C9B55BB93219}">
    <text>Conductivity of Copper</text>
  </threadedComment>
  <threadedComment ref="M1" dT="2024-12-06T10:10:08.81" personId="{685DAF9C-7E69-437C-B66A-60F972D4A0E6}" id="{34B7EF02-D9A0-4C61-976B-2D605D567AA9}">
    <text>TC_DK = [ (DK|T2 - DK|T1)/DK|25C ] / (T2-T1)</text>
  </threadedComment>
  <threadedComment ref="C2" dT="2024-12-05T15:13:13.84" personId="{685DAF9C-7E69-437C-B66A-60F972D4A0E6}" id="{2DD58A31-3C5A-46E8-8683-54E646CEB351}">
    <text>Copper layer thickness</text>
  </threadedComment>
  <threadedComment ref="H2" dT="2024-12-05T15:14:39.76" personId="{685DAF9C-7E69-437C-B66A-60F972D4A0E6}" id="{C7B8FB46-955B-4EAA-AC94-EE48B10ADE49}">
    <text>Temperature</text>
  </threadedComment>
  <threadedComment ref="M2" dT="2024-12-06T10:10:38.31" personId="{685DAF9C-7E69-437C-B66A-60F972D4A0E6}" id="{279B2362-8AEC-4225-A348-43B8383E3CDC}">
    <text>TC_DF = [ (DF|T2 - DF|T1)/DF|25C ] / (T2-T1)</text>
  </threadedComment>
  <threadedComment ref="C3" dT="2024-12-05T15:13:31.26" personId="{685DAF9C-7E69-437C-B66A-60F972D4A0E6}" id="{00A80220-E9FD-4105-BA33-F474A3475211}">
    <text>Stripline width</text>
  </threadedComment>
  <threadedComment ref="H3" dT="2024-09-28T06:20:07.69" personId="{685DAF9C-7E69-437C-B66A-60F972D4A0E6}" id="{3DA56ABE-6FEF-4BF9-968C-02DB5C890AFE}">
    <text>Metal surface roughness
- Note: Multiply by 2 if both sides are treated
- Typical Manufacturer Data:
(STD)         5 &lt; Rz &lt; 7μm
(RTF)          3 &lt; Rz &lt; 5μm
(VLP)         2 &lt; Rz &lt; 3μm
(HVLP)      1 &lt; Rz &lt; 2μm
(HVLP2) 0.2 &lt; Rz &lt; 1μm 
- Roughness RMS = Rz *1.1/7.6</text>
  </threadedComment>
  <threadedComment ref="M3" dT="2024-12-05T15:14:26.44" personId="{685DAF9C-7E69-437C-B66A-60F972D4A0E6}" id="{1E493E4C-872F-4B42-8A9E-97358BD8C750}">
    <text>Temperature coefficient of metal conductivity</text>
  </threadedComment>
  <threadedComment ref="C4" dT="2024-12-05T15:13:42.82" personId="{685DAF9C-7E69-437C-B66A-60F972D4A0E6}" id="{52CE62EB-3E3C-4A84-8AEF-ACB354278495}">
    <text>Stripline spacing</text>
  </threadedComment>
  <threadedComment ref="AK5" dT="2024-10-03T21:19:16.88" personId="{685DAF9C-7E69-437C-B66A-60F972D4A0E6}" id="{48BE5FDE-F68A-49CD-80D0-197163CD3554}" done="1">
    <text>δs = sqrt(2/(σωµ))</text>
  </threadedComment>
  <threadedComment ref="AK6" dT="2024-10-03T21:19:31.59" personId="{685DAF9C-7E69-437C-B66A-60F972D4A0E6}" id="{8016D416-AA0D-479F-9E76-5229FEE740FF}" done="1">
    <text>R' = Rstrip + Rgnd = 1/(σ δs W) + 0.15/(σ δs W)</text>
  </threadedComment>
  <threadedComment ref="AK7" dT="2024-10-03T21:20:00.73" personId="{685DAF9C-7E69-437C-B66A-60F972D4A0E6}" id="{412F86C3-7516-4782-8066-3AF4F5B8D440}" done="1">
    <text>Zdiff=2*Zo*(1-.347*(EXP(-2.9*(S/H)))), where Zo=60/SQRT(Er)*LN(1.9*(2*H+T)/(0.8*W+T))</text>
  </threadedComment>
  <threadedComment ref="AK10" dT="2024-10-03T21:19:16.88" personId="{685DAF9C-7E69-437C-B66A-60F972D4A0E6}" id="{4D034C31-E8E2-47C9-A64B-5D536F7A5046}" done="1">
    <text>δs = sqrt(2/(σωµ))</text>
  </threadedComment>
  <threadedComment ref="AB11" dT="2024-10-03T21:19:16.88" personId="{685DAF9C-7E69-437C-B66A-60F972D4A0E6}" id="{505BE7C7-38A3-4EFD-8420-873135175151}" done="1">
    <text>δs = sqrt(2/(σωµ))</text>
  </threadedComment>
  <threadedComment ref="AK11" dT="2024-10-03T21:19:31.59" personId="{685DAF9C-7E69-437C-B66A-60F972D4A0E6}" id="{CF3C4527-BB21-41A6-A59A-EE46F4A9A486}" done="1">
    <text>R' = Rstrip + Rgnd = 1/(σ δs W) + 0.15/(σ δs W)</text>
  </threadedComment>
  <threadedComment ref="AB12" dT="2024-10-03T21:19:31.59" personId="{685DAF9C-7E69-437C-B66A-60F972D4A0E6}" id="{F034D817-1EC2-470C-98D9-0B3489AE4C85}" done="1">
    <text>R' = Rstrip + Rgnd = 1/(σ δs W) + 0.15/(σ δs W)1`</text>
  </threadedComment>
  <threadedComment ref="AK12" dT="2024-10-03T21:20:00.73" personId="{685DAF9C-7E69-437C-B66A-60F972D4A0E6}" id="{4DBFE2E7-77E8-4575-867C-A87F6987BFA4}" done="1">
    <text>Zdiff=2*Zo*(1-.347*(EXP(-2.9*(S/H)))), where Zo=60/SQRT(Er)*LN(1.9*(2*H+T)/(0.8*W+T))</text>
  </threadedComment>
  <threadedComment ref="AB13" dT="2024-10-03T21:20:00.73" personId="{685DAF9C-7E69-437C-B66A-60F972D4A0E6}" id="{33195EFF-F62B-4825-8D58-9832F1292A8C}" done="1">
    <text>Zdiff=2*Zo*(1-.347*(EXP(-2.9*(S/H)))), where Zo=60/SQRT(Er)*LN(1.9*(2*H+T)/(0.8*W+T))</text>
  </threadedComment>
  <threadedComment ref="AB14" dT="2024-10-03T21:14:12.65" personId="{685DAF9C-7E69-437C-B66A-60F972D4A0E6}" id="{D4093EF6-FA9A-4633-A1B4-754703A5FE08}" done="1">
    <text>α_Dielectric = 91.02 x sqrt(ɛr) x FGHz x DF</text>
  </threadedComment>
  <threadedComment ref="AB15" dT="2024-10-03T21:15:07.76" personId="{685DAF9C-7E69-437C-B66A-60F972D4A0E6}" id="{F678E52A-0452-4D97-A36F-6E533FDD2D29}" done="1">
    <text>α_SmoothCopper = 8.686 x R' / 2 Zo , where R' is TL resistance per unit length</text>
  </threadedComment>
  <threadedComment ref="AK15" dT="2024-10-03T21:19:16.88" personId="{685DAF9C-7E69-437C-B66A-60F972D4A0E6}" id="{E5573892-4454-44B8-9D55-F3B175BBE1B4}" done="1">
    <text>δs = sqrt(2/(σωµ))</text>
  </threadedComment>
  <threadedComment ref="AB16" dT="2024-10-03T21:15:26.41" personId="{685DAF9C-7E69-437C-B66A-60F972D4A0E6}" id="{737C9ECB-3F8B-44FC-8859-7983153941A3}" done="1">
    <text>α_RoughCopper = α_SmoothCopper * ( 1 + (2/π)* tan-1{1.4*(Δ/δs)^2}]</text>
  </threadedComment>
  <threadedComment ref="AK16" dT="2024-10-03T21:19:31.59" personId="{685DAF9C-7E69-437C-B66A-60F972D4A0E6}" id="{4DC5EA6A-5255-4BD6-A298-0FAE9172B0A3}" done="1">
    <text>R' = Rstrip + Rgnd = 1/(σ δs W) + 0.15/(σ δs W)</text>
  </threadedComment>
  <threadedComment ref="AB17" dT="2024-10-03T21:15:37.11" personId="{685DAF9C-7E69-437C-B66A-60F972D4A0E6}" id="{0352E7A0-5B3E-4D7B-8146-F2FEA717A90F}" done="1">
    <text>α_Total = α_Dielectric + α_RoughCopper</text>
  </threadedComment>
  <threadedComment ref="AK17" dT="2024-10-03T21:20:00.73" personId="{685DAF9C-7E69-437C-B66A-60F972D4A0E6}" id="{06BB6BC3-3D01-4E3C-9BFC-1404A62D247F}" done="1">
    <text>Zdiff=2*Zo*(1-.347*(EXP(-2.9*(S/H)))), where Zo=60/SQRT(Er)*LN(1.9*(2*H+T)/(0.8*W+T))</text>
  </threadedComment>
  <threadedComment ref="S20" dT="2025-08-03T22:09:57.04" personId="{685DAF9C-7E69-437C-B66A-60F972D4A0E6}" id="{7C03C94C-AC7E-435E-B504-80A9E86B7DFB}" done="1">
    <text>Non-physical values for calculations</text>
  </threadedComment>
  <threadedComment ref="AK20" dT="2024-10-03T21:19:16.88" personId="{685DAF9C-7E69-437C-B66A-60F972D4A0E6}" id="{5091EEAE-86CB-4E54-8EEE-E97C8E78C8BD}" done="1">
    <text>δs = sqrt(2/(σωµ))</text>
  </threadedComment>
  <threadedComment ref="S21" dT="2025-08-03T22:09:47.13" personId="{685DAF9C-7E69-437C-B66A-60F972D4A0E6}" id="{84FF5E3F-8692-48A8-85CB-1D86BBFD759D}" done="1">
    <text>Non-physical values for calculations</text>
  </threadedComment>
  <threadedComment ref="AK21" dT="2024-10-03T21:19:31.59" personId="{685DAF9C-7E69-437C-B66A-60F972D4A0E6}" id="{1B17BAF3-4CA2-4846-8C10-3A7A9F47307C}" done="1">
    <text>R' = Rstrip + Rgnd = 1/(σ δs W) + 0.15/(σ δs W)</text>
  </threadedComment>
  <threadedComment ref="AK22" dT="2024-10-03T21:20:00.73" personId="{685DAF9C-7E69-437C-B66A-60F972D4A0E6}" id="{7A12ABDE-7C38-484D-BE36-FAEB7C8EBB7A}" done="1">
    <text>Zdiff=2*Zo*(1-.347*(EXP(-2.9*(S/H)))), where Zo=60/SQRT(Er)*LN(1.9*(2*H+T)/(0.8*W+T))</text>
  </threadedComment>
</ThreadedComments>
</file>

<file path=xl/threadedComments/threadedComment3.xml><?xml version="1.0" encoding="utf-8"?>
<ThreadedComments xmlns="http://schemas.microsoft.com/office/spreadsheetml/2018/threadedcomments" xmlns:x="http://schemas.openxmlformats.org/spreadsheetml/2006/main">
  <threadedComment ref="I10" dT="2024-12-05T15:13:02.78" personId="{685DAF9C-7E69-437C-B66A-60F972D4A0E6}" id="{C8FE7440-0420-409F-9374-AD6A4D035A5B}">
    <text>Dielectric thickness between two layers. 
The total stripline thickness will be 2x Dielectric thickness + Metal thickness</text>
  </threadedComment>
  <threadedComment ref="I11" dT="2024-12-05T15:13:13.84" personId="{685DAF9C-7E69-437C-B66A-60F972D4A0E6}" id="{BDEFA282-4FC6-4C16-80DA-97FF687FE297}">
    <text>Copper layer thickness</text>
  </threadedComment>
  <threadedComment ref="I12" dT="2024-12-05T15:13:31.26" personId="{685DAF9C-7E69-437C-B66A-60F972D4A0E6}" id="{757D7229-ED0E-403C-9B91-EC8323DE9DF1}">
    <text>Stripline width</text>
  </threadedComment>
  <threadedComment ref="J12" dT="2025-08-05T13:53:05.35" personId="{685DAF9C-7E69-437C-B66A-60F972D4A0E6}" id="{9224D621-678C-4AEE-97EF-9F9D9FE9EBF0}">
    <text>Varying width against thickness results in highest w/b change (maximum impedance spread)</text>
  </threadedComment>
  <threadedComment ref="I13" dT="2024-12-05T15:13:42.82" personId="{685DAF9C-7E69-437C-B66A-60F972D4A0E6}" id="{59B884E1-980C-4BF0-8480-00E020DBB547}">
    <text>Stripline spacing</text>
  </threadedComment>
  <threadedComment ref="J13" dT="2025-08-05T13:52:19.68" personId="{685DAF9C-7E69-437C-B66A-60F972D4A0E6}" id="{42BFCF5A-A849-474F-9E69-D7E58858FB6E}">
    <text>Spacing varies opposite to the variation in width</text>
  </threadedComment>
  <threadedComment ref="G21" dT="2024-10-03T21:19:16.88" personId="{685DAF9C-7E69-437C-B66A-60F972D4A0E6}" id="{0D66DBD8-5FFD-46A3-AFFD-2363FA67FD74}" done="1">
    <text>Skin depth:
δs = sqrt(2/(σωµ))</text>
  </threadedComment>
  <threadedComment ref="Q21" dT="2024-10-03T21:19:16.88" personId="{685DAF9C-7E69-437C-B66A-60F972D4A0E6}" id="{F048686A-3552-4DBD-8CEE-923796B51BEA}" done="1">
    <text>Skin depth:
δs = sqrt(2/(σωµ))</text>
  </threadedComment>
  <threadedComment ref="AA21" dT="2024-10-03T21:19:16.88" personId="{685DAF9C-7E69-437C-B66A-60F972D4A0E6}" id="{48459580-64F6-48E9-ACDB-1F74D0F0C36E}" done="1">
    <text>Skin depth:
δs = sqrt(2/(σωµ))</text>
  </threadedComment>
  <threadedComment ref="AK21" dT="2024-10-03T21:19:16.88" personId="{685DAF9C-7E69-437C-B66A-60F972D4A0E6}" id="{9968988F-EAA6-4AC5-8560-C93E0DFB6B3E}" done="1">
    <text>Skin depth:
δs = sqrt(2/(σωµ))</text>
  </threadedComment>
  <threadedComment ref="AT21" dT="2024-10-03T21:19:16.88" personId="{685DAF9C-7E69-437C-B66A-60F972D4A0E6}" id="{00F413B5-2599-4780-9E1A-63DDBFCEA0D7}" done="1">
    <text>Skin depth:
δs = sqrt(2/(σωµ))</text>
  </threadedComment>
  <threadedComment ref="G22" dT="2024-10-03T21:19:31.59" personId="{685DAF9C-7E69-437C-B66A-60F972D4A0E6}" id="{8847C0B6-D618-463A-B9BB-8B6539361E1B}">
    <text>Smooth Modal Resistance
V. K. TRIPATHI, “Loss Calculations for Coupled Transmission-Line Structures”
When using a 2D Field Solver, Rsmooth can be calculated as follows:
Rsmooth = -α_SmoothMetal (Np/m) *(2*Zo)</text>
  </threadedComment>
  <threadedComment ref="Q22" dT="2024-10-03T21:19:31.59" personId="{685DAF9C-7E69-437C-B66A-60F972D4A0E6}" id="{554126D0-3C50-44E0-BFAC-43063A3CF2DC}">
    <text>Smooth Modal Resistance
V. K. TRIPATHI, “Loss Calculations for Coupled Transmission-Line Structures”
When using a 2D Field Solver, Rsmooth can be calculated as follows:
Rsmooth = -α_SmoothMetal (Np/m) *(2*Zo)</text>
  </threadedComment>
  <threadedComment ref="AA22" dT="2024-10-03T21:19:31.59" personId="{685DAF9C-7E69-437C-B66A-60F972D4A0E6}" id="{8AE41A95-7322-4F74-8020-CBE7DFF3938F}">
    <text>Smooth Modal Resistance
V. K. TRIPATHI, “Loss Calculations for Coupled Transmission-Line Structures”
When using a 2D Field Solver, Rsmooth can be calculated as follows:
Rsmooth = -α_SmoothMetal (Np/m) *(2*Zo)</text>
  </threadedComment>
  <threadedComment ref="AK22" dT="2024-10-03T21:19:31.59" personId="{685DAF9C-7E69-437C-B66A-60F972D4A0E6}" id="{FABA4C35-8EE2-4BCD-9425-8E0CA98AED06}">
    <text>Smooth Modal Resistance
V. K. TRIPATHI, “Loss Calculations for Coupled Transmission-Line Structures”
When using a 2D Field Solver, Rsmooth can be calculated as follows:
Rsmooth = -α_SmoothMetal (Np/m) *(2*Zo)</text>
  </threadedComment>
  <threadedComment ref="AT22" dT="2024-10-03T21:19:31.59" personId="{685DAF9C-7E69-437C-B66A-60F972D4A0E6}" id="{8873DCD8-07F7-46BA-A684-B0671D9DC4C1}">
    <text>Smooth Modal Resistance
V. K. TRIPATHI, “Loss Calculations for Coupled Transmission-Line Structures”
When using a 2D Field Solver, Rsmooth can be calculated as follows:
Rsmooth = -α_SmoothMetal (Np/m) *(2*Zo)</text>
  </threadedComment>
  <threadedComment ref="G23" dT="2024-10-03T21:19:31.59" personId="{685DAF9C-7E69-437C-B66A-60F972D4A0E6}" id="{6B99F527-006F-4B6E-ABBA-954D92B2EFFE}">
    <text xml:space="preserve">Smooth Modal Resistance
V. K. TRIPATHI, “Loss Calculations for Coupled Transmission-Line Structures”
When using a 2D Field Solver, Rsmooth can be calculated as follows:
Rsmooth = -α_SmoothMetal (Np/m) *(2*Zo)
</text>
  </threadedComment>
  <threadedComment ref="Q23" dT="2024-10-03T21:19:31.59" personId="{685DAF9C-7E69-437C-B66A-60F972D4A0E6}" id="{C339198E-8CEA-40B5-8D70-E31E03AE5A28}">
    <text xml:space="preserve">Smooth Modal Resistance
V. K. TRIPATHI, “Loss Calculations for Coupled Transmission-Line Structures”
When using a 2D Field Solver, Rsmooth can be calculated as follows:
Rsmooth = -α_SmoothMetal (Np/m) *(2*Zo)
</text>
  </threadedComment>
  <threadedComment ref="AA23" dT="2024-10-03T21:19:31.59" personId="{685DAF9C-7E69-437C-B66A-60F972D4A0E6}" id="{B36CD01E-5559-42FD-B777-6C8A50A56046}">
    <text xml:space="preserve">Smooth Modal Resistance
V. K. TRIPATHI, “Loss Calculations for Coupled Transmission-Line Structures”
When using a 2D Field Solver, Rsmooth can be calculated as follows:
Rsmooth = -α_SmoothMetal (Np/m) *(2*Zo)
</text>
  </threadedComment>
  <threadedComment ref="AK23" dT="2024-10-03T21:19:31.59" personId="{685DAF9C-7E69-437C-B66A-60F972D4A0E6}" id="{40BF8A96-EA06-4623-95C2-F1655F68CAB8}">
    <text xml:space="preserve">Smooth Modal Resistance
V. K. TRIPATHI, “Loss Calculations for Coupled Transmission-Line Structures”
When using a 2D Field Solver, Rsmooth can be calculated as follows:
Rsmooth = -α_SmoothMetal (Np/m) *(2*Zo)
</text>
  </threadedComment>
  <threadedComment ref="AT23" dT="2024-10-03T21:19:31.59" personId="{685DAF9C-7E69-437C-B66A-60F972D4A0E6}" id="{0213F5F4-5CB9-4696-981A-8BCD9A2CD407}">
    <text xml:space="preserve">Smooth Modal Resistance
V. K. TRIPATHI, “Loss Calculations for Coupled Transmission-Line Structures”
When using a 2D Field Solver, Rsmooth can be calculated as follows:
Rsmooth = -α_SmoothMetal (Np/m) *(2*Zo)
</text>
  </threadedComment>
  <threadedComment ref="G24" dT="2025-07-30T22:57:41.68" personId="{685DAF9C-7E69-437C-B66A-60F972D4A0E6}" id="{D8690BE7-EB61-42B6-B0FD-0154751C4168}">
    <text>S. B. COHN “Shielded Coupled Strip Transmission Line” formulae are the most accurate
Can be obtained directly from 2D Field Solvers</text>
  </threadedComment>
  <threadedComment ref="Q24" dT="2025-07-30T22:57:41.68" personId="{685DAF9C-7E69-437C-B66A-60F972D4A0E6}" id="{40FBB3EA-7E64-4A92-9C11-61A5BCC32D54}">
    <text>S. B. COHN “Shielded Coupled Strip Transmission Line” formulae are the most accurate
Can be obtained directly from 2D Field Solvers</text>
  </threadedComment>
  <threadedComment ref="AA24" dT="2025-07-30T22:57:41.68" personId="{685DAF9C-7E69-437C-B66A-60F972D4A0E6}" id="{94A40237-3424-4493-862A-FD3654843AB6}">
    <text>S. B. COHN “Shielded Coupled Strip Transmission Line” formulae are the most accurate
Can be obtained directly from 2D Field Solvers</text>
  </threadedComment>
  <threadedComment ref="AK24" dT="2025-07-30T22:57:41.68" personId="{685DAF9C-7E69-437C-B66A-60F972D4A0E6}" id="{3AC8A3A6-7F78-4EA8-AFA6-018837D176D9}">
    <text>S. B. COHN “Shielded Coupled Strip Transmission Line” formulae are the most accurate
Can be obtained directly from 2D Field Solvers</text>
  </threadedComment>
  <threadedComment ref="AT24" dT="2025-07-30T22:57:41.68" personId="{685DAF9C-7E69-437C-B66A-60F972D4A0E6}" id="{B93E279A-54A5-4501-8CEA-AF26D6AB5FC4}">
    <text>S. B. COHN “Shielded Coupled Strip Transmission Line” formulae are the most accurate
Can be obtained directly from 2D Field Solvers</text>
  </threadedComment>
  <threadedComment ref="G25" dT="2025-07-21T16:44:17.87" personId="{685DAF9C-7E69-437C-B66A-60F972D4A0E6}" id="{0F85E63F-9555-4BC5-A2A2-C172AADE47FC}">
    <text xml:space="preserve">S. B. COHN “Shielded Coupled Strip Transmission Line” formulae are the most accurate
Can be obtained directly from 2D Field Solvers
</text>
  </threadedComment>
  <threadedComment ref="Q25" dT="2025-07-21T16:44:17.87" personId="{685DAF9C-7E69-437C-B66A-60F972D4A0E6}" id="{2B997482-0A50-4D95-9A86-7DE8B1BD3B43}">
    <text xml:space="preserve">S. B. COHN “Shielded Coupled Strip Transmission Line” formulae are the most accurate
Can be obtained directly from 2D Field Solvers
</text>
  </threadedComment>
  <threadedComment ref="AA25" dT="2025-07-21T16:44:17.87" personId="{685DAF9C-7E69-437C-B66A-60F972D4A0E6}" id="{0FF218BF-7213-4CD8-9214-FE8495101345}">
    <text xml:space="preserve">S. B. COHN “Shielded Coupled Strip Transmission Line” formulae are the most accurate
Can be obtained directly from 2D Field Solvers
</text>
  </threadedComment>
  <threadedComment ref="AK25" dT="2025-07-21T16:44:17.87" personId="{685DAF9C-7E69-437C-B66A-60F972D4A0E6}" id="{4F4FEF6C-47E8-4FA0-A45D-C7D50C8CCE9C}">
    <text xml:space="preserve">S. B. COHN “Shielded Coupled Strip Transmission Line” formulae are the most accurate
Can be obtained directly from 2D Field Solvers
</text>
  </threadedComment>
  <threadedComment ref="AT25" dT="2025-07-21T16:44:17.87" personId="{685DAF9C-7E69-437C-B66A-60F972D4A0E6}" id="{38F41EA5-49BF-4277-A474-D1155689B7E1}">
    <text xml:space="preserve">S. B. COHN “Shielded Coupled Strip Transmission Line” formulae are the most accurate
Can be obtained directly from 2D Field Solvers
</text>
  </threadedComment>
  <threadedComment ref="G26" dT="2025-07-09T16:25:04.12" personId="{685DAF9C-7E69-437C-B66A-60F972D4A0E6}" id="{E26D55FB-8EDC-4BB9-89FB-CC7D287318E3}" done="1">
    <text>Differential Mode Impedance
Zdd = 2 * Zo_odd</text>
  </threadedComment>
  <threadedComment ref="Q26" dT="2025-07-09T16:25:04.12" personId="{685DAF9C-7E69-437C-B66A-60F972D4A0E6}" id="{AEAE8AB1-7F6E-4C90-AAB8-609060597342}" done="1">
    <text>Differential Mode Impedance
Zdd = 2 * Zo_odd</text>
  </threadedComment>
  <threadedComment ref="AA26" dT="2025-07-09T16:25:04.12" personId="{685DAF9C-7E69-437C-B66A-60F972D4A0E6}" id="{48A9307A-8502-4A32-829A-57FF999043FB}" done="1">
    <text>Differential Mode Impedance
Zdd = 2 * Zo_odd</text>
  </threadedComment>
  <threadedComment ref="AK26" dT="2025-07-09T16:25:04.12" personId="{685DAF9C-7E69-437C-B66A-60F972D4A0E6}" id="{DFE9F9DF-CD8F-4AC3-8724-1DFDADEE50D4}" done="1">
    <text>Differential Mode Impedance
Zdd = 2 * Zo_odd</text>
  </threadedComment>
  <threadedComment ref="AT26" dT="2025-07-09T16:25:04.12" personId="{685DAF9C-7E69-437C-B66A-60F972D4A0E6}" id="{9B902C00-06DA-4801-B185-044AC8920497}" done="1">
    <text>Differential Mode Impedance
Zdd = 2 * Zo_odd</text>
  </threadedComment>
  <threadedComment ref="G27" dT="2025-07-09T16:24:54.06" personId="{685DAF9C-7E69-437C-B66A-60F972D4A0E6}" id="{F4203015-7272-4D16-8417-724546D1909E}" done="1">
    <text>Common Mode Impedance
Zcc = Zo_even / 2</text>
  </threadedComment>
  <threadedComment ref="Q27" dT="2025-07-09T16:24:54.06" personId="{685DAF9C-7E69-437C-B66A-60F972D4A0E6}" id="{3C8B2DE5-1F43-4ECC-A697-35504898CE63}" done="1">
    <text>Common Mode Impedance
Zcc = Zo_even / 2</text>
  </threadedComment>
  <threadedComment ref="AA27" dT="2025-07-09T16:24:54.06" personId="{685DAF9C-7E69-437C-B66A-60F972D4A0E6}" id="{FE34E6EC-3ADF-4CA7-8FA1-49C0538021D1}" done="1">
    <text>Common Mode Impedance
Zcc = Zo_even / 2</text>
  </threadedComment>
  <threadedComment ref="AK27" dT="2025-07-09T16:24:54.06" personId="{685DAF9C-7E69-437C-B66A-60F972D4A0E6}" id="{BB1A52BC-B465-465C-808E-0DC0C00E84AF}" done="1">
    <text>Common Mode Impedance
Zcc = Zo_even / 2</text>
  </threadedComment>
  <threadedComment ref="AT27" dT="2025-07-09T16:24:54.06" personId="{685DAF9C-7E69-437C-B66A-60F972D4A0E6}" id="{29975825-FF7F-4608-92FF-E928D376A01B}" done="1">
    <text>Common Mode Impedance
Zcc = Zo_even / 2</text>
  </threadedComment>
  <threadedComment ref="G28" dT="2025-07-09T16:24:33.16" personId="{685DAF9C-7E69-437C-B66A-60F972D4A0E6}" id="{2F14EF28-41DD-4F4C-9F6E-369E8928C1BB}" done="1">
    <text>Single-ended impedance
Zs = (Zo_even + Zo_odd) / 2</text>
  </threadedComment>
  <threadedComment ref="Q28" dT="2025-07-09T16:24:33.16" personId="{685DAF9C-7E69-437C-B66A-60F972D4A0E6}" id="{2F20AEBF-2E46-4FB4-926A-1C5E6CBEF904}" done="1">
    <text>Single-ended impedance
Zs = (Zo_even + Zo_odd) / 2</text>
  </threadedComment>
  <threadedComment ref="AA28" dT="2025-07-09T16:24:33.16" personId="{685DAF9C-7E69-437C-B66A-60F972D4A0E6}" id="{DF2CE172-4BDF-47D4-B3E2-0CB30C9DEB4C}" done="1">
    <text>Single-ended impedance
Zs = (Zo_even + Zo_odd) / 2</text>
  </threadedComment>
  <threadedComment ref="AK28" dT="2025-07-09T16:24:33.16" personId="{685DAF9C-7E69-437C-B66A-60F972D4A0E6}" id="{176092A6-651B-47F7-BB47-05567A8B2D63}" done="1">
    <text>Single-ended impedance
Zs = (Zo_even + Zo_odd) / 2</text>
  </threadedComment>
  <threadedComment ref="AT28" dT="2025-07-09T16:24:33.16" personId="{685DAF9C-7E69-437C-B66A-60F972D4A0E6}" id="{626E5AF6-8AE9-4955-8932-B7A226381AE9}" done="1">
    <text>Single-ended impedance
Zs = (Zo_even + Zo_odd) / 2</text>
  </threadedComment>
  <threadedComment ref="G29" dT="2025-07-09T16:24:18.68" personId="{685DAF9C-7E69-437C-B66A-60F972D4A0E6}" id="{3CBA6190-B7EB-407D-A1DE-10293955C36A}" done="1">
    <text xml:space="preserve">Mutual Impedance
Zm = (Zo_even - Zo_odd) / 2
</text>
  </threadedComment>
  <threadedComment ref="Q29" dT="2025-07-09T16:24:18.68" personId="{685DAF9C-7E69-437C-B66A-60F972D4A0E6}" id="{464AE493-47FC-4463-8AB1-95EAA83E06B3}" done="1">
    <text xml:space="preserve">Mutual Impedance
Zm = (Zo_even - Zo_odd) / 2
</text>
  </threadedComment>
  <threadedComment ref="AA29" dT="2025-07-09T16:24:18.68" personId="{685DAF9C-7E69-437C-B66A-60F972D4A0E6}" id="{79CBC396-7E68-421D-912C-056D068D7A75}" done="1">
    <text xml:space="preserve">Mutual Impedance
Zm = (Zo_even - Zo_odd) / 2
</text>
  </threadedComment>
  <threadedComment ref="AK29" dT="2025-07-09T16:24:18.68" personId="{685DAF9C-7E69-437C-B66A-60F972D4A0E6}" id="{0C4AEFAA-FA28-4893-9B67-2CEEC3C4E937}" done="1">
    <text xml:space="preserve">Mutual Impedance
Zm = (Zo_even - Zo_odd) / 2
</text>
  </threadedComment>
  <threadedComment ref="AT29" dT="2025-07-09T16:24:18.68" personId="{685DAF9C-7E69-437C-B66A-60F972D4A0E6}" id="{B78D0F44-245F-44F4-9F06-64397D8C26A4}" done="1">
    <text xml:space="preserve">Mutual Impedance
Zm = (Zo_even - Zo_odd) / 2
</text>
  </threadedComment>
  <threadedComment ref="G30" dT="2025-07-09T16:23:58.74" personId="{685DAF9C-7E69-437C-B66A-60F972D4A0E6}" id="{A0B8D971-433E-4E6C-82AA-9D49C132BA45}" done="1">
    <text>Coupling coefficient
K = Zm / Zs</text>
  </threadedComment>
  <threadedComment ref="Q30" dT="2025-07-09T16:23:58.74" personId="{685DAF9C-7E69-437C-B66A-60F972D4A0E6}" id="{6AFDC6DB-623B-4AB4-A499-0D96371253C9}" done="1">
    <text>Coupling coefficient
K = Zm / Zs</text>
  </threadedComment>
  <threadedComment ref="AA30" dT="2025-07-09T16:23:58.74" personId="{685DAF9C-7E69-437C-B66A-60F972D4A0E6}" id="{E8F0D38F-164E-4E10-9777-27FD52570812}" done="1">
    <text>Coupling coefficient
K = Zm / Zs</text>
  </threadedComment>
  <threadedComment ref="AK30" dT="2025-07-09T16:23:58.74" personId="{685DAF9C-7E69-437C-B66A-60F972D4A0E6}" id="{BCB203CA-73FA-400D-86C4-C2EF47DCB398}" done="1">
    <text>Coupling coefficient
K = Zm / Zs</text>
  </threadedComment>
  <threadedComment ref="AT30" dT="2025-07-09T16:23:58.74" personId="{685DAF9C-7E69-437C-B66A-60F972D4A0E6}" id="{DF8D244B-DD61-4378-BB82-372C7117A0F8}" done="1">
    <text>Coupling coefficient
K = Zm / Zs</text>
  </threadedComment>
  <threadedComment ref="G31" dT="2025-07-09T17:00:49.73" personId="{685DAF9C-7E69-437C-B66A-60F972D4A0E6}" id="{2AE73630-B459-49BB-AF50-3EE2CAC0AA13}" done="1">
    <text>Near end xtalk
NEXT = =(Zo_even - Zo_odd) / (2 * (Zo_even + Zo_odd))</text>
  </threadedComment>
  <threadedComment ref="Q31" dT="2025-07-09T17:00:49.73" personId="{685DAF9C-7E69-437C-B66A-60F972D4A0E6}" id="{A2AFAEB3-2DC8-47C8-8832-2556491B34BE}" done="1">
    <text>Near end xtalk
NEXT = =(Zo_even - Zo_odd) / (2 * (Zo_even + Zo_odd))</text>
  </threadedComment>
  <threadedComment ref="AA31" dT="2025-07-09T17:00:49.73" personId="{685DAF9C-7E69-437C-B66A-60F972D4A0E6}" id="{0002AC27-DBF8-454D-B07E-F963FE2CCCC8}" done="1">
    <text>Near end xtalk
NEXT = =(Zo_even - Zo_odd) / (2 * (Zo_even + Zo_odd))</text>
  </threadedComment>
  <threadedComment ref="AK31" dT="2025-07-09T17:00:49.73" personId="{685DAF9C-7E69-437C-B66A-60F972D4A0E6}" id="{F4853D75-1C56-48C1-8234-F2FAE59FB0BF}" done="1">
    <text>Near end xtalk
NEXT = =(Zo_even - Zo_odd) / (2 * (Zo_even + Zo_odd))</text>
  </threadedComment>
  <threadedComment ref="AT31" dT="2025-07-09T17:00:49.73" personId="{685DAF9C-7E69-437C-B66A-60F972D4A0E6}" id="{468CB707-FD57-4DAF-BD0A-D13BF1D275C7}" done="1">
    <text>Near end xtalk
NEXT = =(Zo_even - Zo_odd) / (2 * (Zo_even + Zo_odd))</text>
  </threadedComment>
  <threadedComment ref="G32" dT="2025-07-21T23:19:42.04" personId="{685DAF9C-7E69-437C-B66A-60F972D4A0E6}" id="{E8262ECB-A2A2-471C-AE26-1E58990591BA}" done="1">
    <text>Vp = 1 / sqrt (Dk_avg)</text>
  </threadedComment>
  <threadedComment ref="Q32" dT="2025-07-21T23:19:42.04" personId="{685DAF9C-7E69-437C-B66A-60F972D4A0E6}" id="{1DA27AFB-89CA-4AFB-841F-465314394044}" done="1">
    <text>Vp = 1 / sqrt (Dk_avg)</text>
  </threadedComment>
  <threadedComment ref="AA32" dT="2025-07-21T23:19:42.04" personId="{685DAF9C-7E69-437C-B66A-60F972D4A0E6}" id="{EF92BE7B-0DD2-485F-B83D-23547C5CFE28}" done="1">
    <text>Vp = 1 / sqrt (Dk_avg)</text>
  </threadedComment>
  <threadedComment ref="AK32" dT="2025-07-21T23:19:42.04" personId="{685DAF9C-7E69-437C-B66A-60F972D4A0E6}" id="{1DBF8A4D-B3EE-4A8A-B37A-559660079114}" done="1">
    <text>Vp = 1 / sqrt (Dk_avg)</text>
  </threadedComment>
  <threadedComment ref="AT32" dT="2025-07-21T23:19:42.04" personId="{685DAF9C-7E69-437C-B66A-60F972D4A0E6}" id="{91E08C86-2A90-44C3-8D33-870127EC988F}" done="1">
    <text>Vp = 1 / sqrt (Dk_avg)</text>
  </threadedComment>
  <threadedComment ref="G34" dT="2024-10-03T21:14:12.65" personId="{685DAF9C-7E69-437C-B66A-60F972D4A0E6}" id="{7C89AF06-A7B1-4E39-ACDF-4DBF2E5A3F3A}" done="1">
    <text>α_Dielectric = 91.02 x sqrt(ɛr) x FGHz x DF</text>
  </threadedComment>
  <threadedComment ref="Q34" dT="2024-10-03T21:14:12.65" personId="{685DAF9C-7E69-437C-B66A-60F972D4A0E6}" id="{CE451F0C-7631-4D5D-9607-18FD13C2EED6}" done="1">
    <text>α_Dielectric = 91.02 x sqrt(ɛr) x FGHz x DF</text>
  </threadedComment>
  <threadedComment ref="AA34" dT="2024-10-03T21:14:12.65" personId="{685DAF9C-7E69-437C-B66A-60F972D4A0E6}" id="{FDC31151-7DE0-48AD-BDBF-4F4FE9B6C7D8}" done="1">
    <text>α_Dielectric = 91.02 x sqrt(ɛr) x FGHz x DF</text>
  </threadedComment>
  <threadedComment ref="AK34" dT="2024-10-03T21:14:12.65" personId="{685DAF9C-7E69-437C-B66A-60F972D4A0E6}" id="{3B37DB34-4AB3-491E-9F29-8AACC0DBCFDD}" done="1">
    <text>α_Dielectric = 91.02 x sqrt(ɛr) x FGHz x DF</text>
  </threadedComment>
  <threadedComment ref="AT34" dT="2024-10-03T21:14:12.65" personId="{685DAF9C-7E69-437C-B66A-60F972D4A0E6}" id="{326ACA88-6FB8-4379-B61E-3081A68E7E04}" done="1">
    <text>α_Dielectric = 91.02 x sqrt(ɛr) x FGHz x DF</text>
  </threadedComment>
  <threadedComment ref="G35" dT="2024-10-03T21:15:07.76" personId="{685DAF9C-7E69-437C-B66A-60F972D4A0E6}" id="{5C310CF5-5A72-4D0F-8B67-1687BA8F5205}" done="1">
    <text>α_SmoothCopper = 8.686 x R' / 2 Zo , where R' is TL resistance per unit length</text>
  </threadedComment>
  <threadedComment ref="Q35" dT="2024-10-03T21:15:07.76" personId="{685DAF9C-7E69-437C-B66A-60F972D4A0E6}" id="{C84A9F51-778B-49ED-BD5A-93B5385E46CF}" done="1">
    <text>α_SmoothCopper = 8.686 x R' / 2 Zo , where R' is TL resistance per unit length</text>
  </threadedComment>
  <threadedComment ref="AA35" dT="2024-10-03T21:15:07.76" personId="{685DAF9C-7E69-437C-B66A-60F972D4A0E6}" id="{91A6A19B-3EF5-44A3-AB4C-2AEC168ED026}" done="1">
    <text>α_SmoothCopper = 8.686 x R' / 2 Zo , where R' is TL resistance per unit length</text>
  </threadedComment>
  <threadedComment ref="AK35" dT="2024-10-03T21:15:07.76" personId="{685DAF9C-7E69-437C-B66A-60F972D4A0E6}" id="{BA46BAF0-6D63-42E4-B64F-195EB7C51928}" done="1">
    <text>α_SmoothCopper = 8.686 x R' / 2 Zo , where R' is TL resistance per unit length</text>
  </threadedComment>
  <threadedComment ref="AT35" dT="2024-10-03T21:15:07.76" personId="{685DAF9C-7E69-437C-B66A-60F972D4A0E6}" id="{3727A097-024F-4764-B025-AA48237D25CA}" done="1">
    <text>α_SmoothCopper = 8.686 x R' / 2 Zo , where R' is TL resistance per unit length</text>
  </threadedComment>
  <threadedComment ref="G36" dT="2024-10-03T21:15:07.76" personId="{685DAF9C-7E69-437C-B66A-60F972D4A0E6}" id="{A73BB402-7BC6-431A-B42B-E3AD8751124A}" done="1">
    <text>α_SmoothCopper = 8.686 x R' / 2 Zo , where R' is TL resistance per unit length</text>
  </threadedComment>
  <threadedComment ref="Q36" dT="2024-10-03T21:15:07.76" personId="{685DAF9C-7E69-437C-B66A-60F972D4A0E6}" id="{C780A178-2B93-4ED4-8205-74C8B29F6F9F}" done="1">
    <text>α_SmoothCopper = 8.686 x R' / 2 Zo , where R' is TL resistance per unit length</text>
  </threadedComment>
  <threadedComment ref="AA36" dT="2024-10-03T21:15:07.76" personId="{685DAF9C-7E69-437C-B66A-60F972D4A0E6}" id="{E28FF6D4-5161-4D05-B2A5-BA4801D69742}" done="1">
    <text>α_SmoothCopper = 8.686 x R' / 2 Zo , where R' is TL resistance per unit length</text>
  </threadedComment>
  <threadedComment ref="AK36" dT="2024-10-03T21:15:07.76" personId="{685DAF9C-7E69-437C-B66A-60F972D4A0E6}" id="{4EB7CBC7-514A-484F-9DBD-736E9F5ED607}" done="1">
    <text>α_SmoothCopper = 8.686 x R' / 2 Zo , where R' is TL resistance per unit length</text>
  </threadedComment>
  <threadedComment ref="AT36" dT="2024-10-03T21:15:07.76" personId="{685DAF9C-7E69-437C-B66A-60F972D4A0E6}" id="{E9240158-8E81-4E65-8DCB-DDBB39B87A64}" done="1">
    <text>α_SmoothCopper = 8.686 x R' / 2 Zo , where R' is TL resistance per unit length</text>
  </threadedComment>
  <threadedComment ref="G37" dT="2024-10-03T21:15:26.41" personId="{685DAF9C-7E69-437C-B66A-60F972D4A0E6}" id="{36A087D8-24F4-48BC-B043-0949104B9CA9}" done="1">
    <text>α_RoughCopper = α_SmoothCopper * ( 1 + (2/π)* tan-1{1.4*(Δ/δs)^2}]</text>
  </threadedComment>
  <threadedComment ref="Q37" dT="2024-10-03T21:15:26.41" personId="{685DAF9C-7E69-437C-B66A-60F972D4A0E6}" id="{120CF7F6-287B-40CD-B3EA-43EEF290AAC0}" done="1">
    <text>α_RoughCopper = α_SmoothCopper * ( 1 + (2/π)* tan-1{1.4*(Δ/δs)^2}]</text>
  </threadedComment>
  <threadedComment ref="AA37" dT="2024-10-03T21:15:26.41" personId="{685DAF9C-7E69-437C-B66A-60F972D4A0E6}" id="{952DFFD5-1BFF-4B7C-ABCE-ECF1A356D982}" done="1">
    <text>α_RoughCopper = α_SmoothCopper * ( 1 + (2/π)* tan-1{1.4*(Δ/δs)^2}]</text>
  </threadedComment>
  <threadedComment ref="AK37" dT="2024-10-03T21:15:26.41" personId="{685DAF9C-7E69-437C-B66A-60F972D4A0E6}" id="{FDA96B15-6C91-4FB7-9BAE-72E0C11DD66D}" done="1">
    <text>α_RoughCopper = α_SmoothCopper * ( 1 + (2/π)* tan-1{1.4*(Δ/δs)^2}]</text>
  </threadedComment>
  <threadedComment ref="AT37" dT="2024-10-03T21:15:26.41" personId="{685DAF9C-7E69-437C-B66A-60F972D4A0E6}" id="{65DFD6BC-3E24-4850-A8A3-BD74BD9C1A00}" done="1">
    <text>α_RoughCopper = α_SmoothCopper * ( 1 + (2/π)* tan-1{1.4*(Δ/δs)^2}]</text>
  </threadedComment>
  <threadedComment ref="G38" dT="2024-10-03T21:15:26.41" personId="{685DAF9C-7E69-437C-B66A-60F972D4A0E6}" id="{1BFA3AB4-CC3C-4184-A1F3-B68A5CF4B03C}" done="1">
    <text>α_RoughCopper = α_SmoothCopper * ( 1 + (2/π)* tan-1{1.4*(Δ/δs)^2}]</text>
  </threadedComment>
  <threadedComment ref="Q38" dT="2024-10-03T21:15:26.41" personId="{685DAF9C-7E69-437C-B66A-60F972D4A0E6}" id="{6325841D-8858-45C4-A322-F22B3C4207A9}" done="1">
    <text>α_RoughCopper = α_SmoothCopper * ( 1 + (2/π)* tan-1{1.4*(Δ/δs)^2}]</text>
  </threadedComment>
  <threadedComment ref="AA38" dT="2024-10-03T21:15:26.41" personId="{685DAF9C-7E69-437C-B66A-60F972D4A0E6}" id="{FCDA78A3-D3B2-4295-92DE-E52687E8673C}" done="1">
    <text>α_RoughCopper = α_SmoothCopper * ( 1 + (2/π)* tan-1{1.4*(Δ/δs)^2}]</text>
  </threadedComment>
  <threadedComment ref="AK38" dT="2024-10-03T21:15:26.41" personId="{685DAF9C-7E69-437C-B66A-60F972D4A0E6}" id="{4305407D-02CB-4157-9F98-C8C30E7CCFB1}" done="1">
    <text>α_RoughCopper = α_SmoothCopper * ( 1 + (2/π)* tan-1{1.4*(Δ/δs)^2}]</text>
  </threadedComment>
  <threadedComment ref="AT38" dT="2024-10-03T21:15:26.41" personId="{685DAF9C-7E69-437C-B66A-60F972D4A0E6}" id="{988A90FF-959B-4DED-BA90-BB0BA399FC5D}" done="1">
    <text>α_RoughCopper = α_SmoothCopper * ( 1 + (2/π)* tan-1{1.4*(Δ/δs)^2}]</text>
  </threadedComment>
  <threadedComment ref="G39" dT="2024-10-03T21:15:37.11" personId="{685DAF9C-7E69-437C-B66A-60F972D4A0E6}" id="{4EC33614-5A5D-4C2A-B75E-3632354F74AA}" done="1">
    <text>α_Total = α_Dielectric + α_RoughCopper</text>
  </threadedComment>
  <threadedComment ref="Q39" dT="2024-10-03T21:15:37.11" personId="{685DAF9C-7E69-437C-B66A-60F972D4A0E6}" id="{4F852D08-6F22-498B-8C0E-6D001D8859A6}" done="1">
    <text>α_Total = α_Dielectric + α_RoughCopper</text>
  </threadedComment>
  <threadedComment ref="AA39" dT="2024-10-03T21:15:37.11" personId="{685DAF9C-7E69-437C-B66A-60F972D4A0E6}" id="{EF39C9A8-D6CF-4870-B826-9551F5D535D0}" done="1">
    <text>α_Total = α_Dielectric + α_RoughCopper</text>
  </threadedComment>
  <threadedComment ref="AK39" dT="2024-10-03T21:15:37.11" personId="{685DAF9C-7E69-437C-B66A-60F972D4A0E6}" id="{16833830-06DD-4D7D-A031-F5893C9A7C7D}" done="1">
    <text>α_Total = α_Dielectric + α_RoughCopper</text>
  </threadedComment>
  <threadedComment ref="AT39" dT="2024-10-03T21:15:37.11" personId="{685DAF9C-7E69-437C-B66A-60F972D4A0E6}" id="{71880B28-0674-4A0C-83D3-73FC94FCBB3E}" done="1">
    <text>α_Total = α_Dielectric + α_RoughCopper</text>
  </threadedComment>
  <threadedComment ref="G40" dT="2024-10-03T21:15:37.11" personId="{685DAF9C-7E69-437C-B66A-60F972D4A0E6}" id="{B46B3D10-1B45-4DB5-B69C-34432F6335C0}" done="1">
    <text>α_Total = α_Dielectric + α_RoughCopper</text>
  </threadedComment>
  <threadedComment ref="Q40" dT="2024-10-03T21:15:37.11" personId="{685DAF9C-7E69-437C-B66A-60F972D4A0E6}" id="{7BCF1874-8B8A-48D2-AF92-B44612EE362D}" done="1">
    <text>α_Total = α_Dielectric + α_RoughCopper</text>
  </threadedComment>
  <threadedComment ref="AA40" dT="2024-10-03T21:15:37.11" personId="{685DAF9C-7E69-437C-B66A-60F972D4A0E6}" id="{E87AEB0E-E331-43F0-88BD-4DB3C79D9338}" done="1">
    <text>α_Total = α_Dielectric + α_RoughCopper</text>
  </threadedComment>
  <threadedComment ref="AK40" dT="2024-10-03T21:15:37.11" personId="{685DAF9C-7E69-437C-B66A-60F972D4A0E6}" id="{266C48C0-EFF2-4483-A370-B416CE39D99C}" done="1">
    <text>α_Total = α_Dielectric + α_RoughCopper</text>
  </threadedComment>
  <threadedComment ref="AT40" dT="2024-10-03T21:15:37.11" personId="{685DAF9C-7E69-437C-B66A-60F972D4A0E6}" id="{2FE623BB-4691-44DF-991D-0CA83CCAD223}" done="1">
    <text>α_Total = α_Dielectric + α_RoughCopper</text>
  </threadedComment>
  <threadedComment ref="G41" dT="2025-07-17T15:30:07.39" personId="{685DAF9C-7E69-437C-B66A-60F972D4A0E6}" id="{5B79CA8A-BABA-4E29-9AE7-7533A546A9AF}" done="1">
    <text>β_even/odd = ω / (Vp)</text>
  </threadedComment>
  <threadedComment ref="Q41" dT="2025-07-17T15:30:07.39" personId="{685DAF9C-7E69-437C-B66A-60F972D4A0E6}" id="{AF6EE1F3-3011-492C-9298-E7F3CD415AED}" done="1">
    <text>β_even/odd = ω / (Vp)</text>
  </threadedComment>
  <threadedComment ref="AA41" dT="2025-07-17T15:30:07.39" personId="{685DAF9C-7E69-437C-B66A-60F972D4A0E6}" id="{CA076A4F-A555-4C9B-8F10-00C267F0B134}" done="1">
    <text>β_even/odd = ω / (Vp)</text>
  </threadedComment>
  <threadedComment ref="AK41" dT="2025-07-17T15:30:07.39" personId="{685DAF9C-7E69-437C-B66A-60F972D4A0E6}" id="{FECE98CD-411A-41D0-96F8-F2C026DC45C3}" done="1">
    <text>β_even/odd = ω / (Vp)</text>
  </threadedComment>
  <threadedComment ref="AT41" dT="2025-07-17T15:30:07.39" personId="{685DAF9C-7E69-437C-B66A-60F972D4A0E6}" id="{3BFBEEA0-D72C-4E78-AF27-0BB9740237C3}" done="1">
    <text>β_even/odd = ω / (Vp)</text>
  </threadedComment>
  <threadedComment ref="G42" dT="2025-08-02T23:35:27.77" personId="{685DAF9C-7E69-437C-B66A-60F972D4A0E6}" id="{1E470473-20E2-4583-A0E4-B6557E078161}" done="1">
    <text>Even mode propagation constant:
γ_even + α_Total_even + j β</text>
  </threadedComment>
  <threadedComment ref="Q42" dT="2025-08-02T23:35:27.77" personId="{685DAF9C-7E69-437C-B66A-60F972D4A0E6}" id="{0EB280C8-258F-4B10-9B64-A0DFE0980463}" done="1">
    <text>Even mode propagation constant:
γ_even + α_Total_even + j β</text>
  </threadedComment>
  <threadedComment ref="AA42" dT="2025-08-02T23:35:27.77" personId="{685DAF9C-7E69-437C-B66A-60F972D4A0E6}" id="{A8DF8764-27B5-46C3-8B43-3BF1AAE40FEB}" done="1">
    <text>Even mode propagation constant:
γ_even + α_Total_even + j β</text>
  </threadedComment>
  <threadedComment ref="AK42" dT="2025-08-02T23:35:27.77" personId="{685DAF9C-7E69-437C-B66A-60F972D4A0E6}" id="{62C5F55C-D897-4CA8-BCC7-14A2AD6CC56C}" done="1">
    <text>Even mode propagation constant:
γ_even + α_Total_even + j β</text>
  </threadedComment>
  <threadedComment ref="AT42" dT="2025-08-02T23:35:27.77" personId="{685DAF9C-7E69-437C-B66A-60F972D4A0E6}" id="{AD5C7DB1-53C5-4060-BACA-6E66EA0B7409}" done="1">
    <text>Even mode propagation constant:
γ_even + α_Total_even + j β</text>
  </threadedComment>
  <threadedComment ref="G43" dT="2025-08-02T23:35:53.98" personId="{685DAF9C-7E69-437C-B66A-60F972D4A0E6}" id="{F4894BB2-A01B-448C-B0AD-0B61E2E169CE}" done="1">
    <text xml:space="preserve">Odd  mode propagation constant:
γ_odd + α_Total_odd + j β
</text>
  </threadedComment>
  <threadedComment ref="Q43" dT="2025-08-02T23:35:53.98" personId="{685DAF9C-7E69-437C-B66A-60F972D4A0E6}" id="{710FED22-A9B6-4312-92A1-1BC2F2884858}" done="1">
    <text xml:space="preserve">Odd  mode propagation constant:
γ_odd + α_Total_odd + j β
</text>
  </threadedComment>
  <threadedComment ref="AA43" dT="2025-08-02T23:35:53.98" personId="{685DAF9C-7E69-437C-B66A-60F972D4A0E6}" id="{672C5396-E669-4757-8C4F-B894C936C1EE}" done="1">
    <text xml:space="preserve">Odd  mode propagation constant:
γ_odd + α_Total_odd + j β
</text>
  </threadedComment>
  <threadedComment ref="AK43" dT="2025-08-02T23:35:53.98" personId="{685DAF9C-7E69-437C-B66A-60F972D4A0E6}" id="{3F30F503-B842-4E19-A9A5-F709A5DAF013}" done="1">
    <text xml:space="preserve">Odd  mode propagation constant:
γ_odd + α_Total_odd + j β
</text>
  </threadedComment>
  <threadedComment ref="AT43" dT="2025-08-02T23:35:53.98" personId="{685DAF9C-7E69-437C-B66A-60F972D4A0E6}" id="{8C55A61E-F3AE-4FAE-8BAA-DF0147B561CD}" done="1">
    <text xml:space="preserve">Odd  mode propagation constant:
γ_odd + α_Total_odd + j β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597B-8214-402C-B9CC-78D649251E6E}">
  <sheetPr codeName="Sheet1"/>
  <dimension ref="A1:L36"/>
  <sheetViews>
    <sheetView zoomScaleNormal="100" workbookViewId="0">
      <selection sqref="A1:L3"/>
    </sheetView>
  </sheetViews>
  <sheetFormatPr defaultColWidth="8.83984375" defaultRowHeight="14.4" x14ac:dyDescent="0.55000000000000004"/>
  <cols>
    <col min="1" max="1" width="15.578125" style="3" customWidth="1"/>
    <col min="2" max="2" width="10.41796875" style="3" customWidth="1"/>
    <col min="3" max="11" width="8.83984375" style="3"/>
    <col min="12" max="12" width="17.83984375" style="3" bestFit="1" customWidth="1"/>
    <col min="13" max="16384" width="8.83984375" style="3"/>
  </cols>
  <sheetData>
    <row r="1" spans="1:12" x14ac:dyDescent="0.55000000000000004">
      <c r="A1" s="209" t="s">
        <v>0</v>
      </c>
      <c r="B1" s="210"/>
      <c r="C1" s="210"/>
      <c r="D1" s="210"/>
      <c r="E1" s="210"/>
      <c r="F1" s="210"/>
      <c r="G1" s="210"/>
      <c r="H1" s="210"/>
      <c r="I1" s="210"/>
      <c r="J1" s="210"/>
      <c r="K1" s="210"/>
      <c r="L1" s="211"/>
    </row>
    <row r="2" spans="1:12" x14ac:dyDescent="0.55000000000000004">
      <c r="A2" s="212"/>
      <c r="B2" s="213"/>
      <c r="C2" s="213"/>
      <c r="D2" s="213"/>
      <c r="E2" s="213"/>
      <c r="F2" s="213"/>
      <c r="G2" s="213"/>
      <c r="H2" s="213"/>
      <c r="I2" s="213"/>
      <c r="J2" s="213"/>
      <c r="K2" s="213"/>
      <c r="L2" s="214"/>
    </row>
    <row r="3" spans="1:12" x14ac:dyDescent="0.55000000000000004">
      <c r="A3" s="212"/>
      <c r="B3" s="213"/>
      <c r="C3" s="213"/>
      <c r="D3" s="213"/>
      <c r="E3" s="213"/>
      <c r="F3" s="213"/>
      <c r="G3" s="213"/>
      <c r="H3" s="213"/>
      <c r="I3" s="213"/>
      <c r="J3" s="213"/>
      <c r="K3" s="213"/>
      <c r="L3" s="214"/>
    </row>
    <row r="4" spans="1:12" x14ac:dyDescent="0.55000000000000004">
      <c r="A4" s="215"/>
      <c r="B4" s="216"/>
      <c r="C4" s="216"/>
      <c r="D4" s="216"/>
      <c r="E4" s="216"/>
      <c r="F4" s="216"/>
      <c r="G4" s="216"/>
      <c r="H4" s="216"/>
      <c r="I4" s="216"/>
      <c r="J4" s="216"/>
      <c r="K4" s="216"/>
      <c r="L4" s="217"/>
    </row>
    <row r="5" spans="1:12" ht="17.7" x14ac:dyDescent="0.6">
      <c r="A5" s="218" t="s">
        <v>1</v>
      </c>
      <c r="B5" s="218"/>
      <c r="C5" s="218"/>
      <c r="D5" s="218"/>
      <c r="E5" s="218"/>
      <c r="F5" s="218"/>
      <c r="G5" s="218"/>
      <c r="H5" s="218"/>
      <c r="I5" s="218"/>
      <c r="J5" s="218"/>
      <c r="K5" s="218"/>
      <c r="L5" s="219"/>
    </row>
    <row r="6" spans="1:12" ht="17.7" x14ac:dyDescent="0.6">
      <c r="A6" s="218" t="s">
        <v>2</v>
      </c>
      <c r="B6" s="218"/>
      <c r="C6" s="4" t="str">
        <f>A30</f>
        <v>1.2.0</v>
      </c>
      <c r="D6" s="5"/>
      <c r="E6" s="5"/>
      <c r="F6" s="5"/>
      <c r="G6" s="5"/>
      <c r="H6" s="5"/>
      <c r="I6" s="5"/>
      <c r="J6" s="5"/>
      <c r="K6" s="6"/>
      <c r="L6" s="7"/>
    </row>
    <row r="7" spans="1:12" ht="17.7" x14ac:dyDescent="0.6">
      <c r="A7" s="218" t="s">
        <v>3</v>
      </c>
      <c r="B7" s="218"/>
      <c r="C7" s="4" t="s">
        <v>4</v>
      </c>
      <c r="D7" s="5"/>
      <c r="E7" s="5"/>
      <c r="F7" s="5"/>
      <c r="G7" s="5"/>
      <c r="H7" s="5"/>
      <c r="I7" s="5"/>
      <c r="J7" s="8"/>
      <c r="K7" s="8"/>
      <c r="L7" s="7"/>
    </row>
    <row r="8" spans="1:12" x14ac:dyDescent="0.55000000000000004">
      <c r="A8" s="9"/>
      <c r="B8" s="10"/>
      <c r="C8" s="10"/>
      <c r="D8" s="10"/>
      <c r="E8" s="10"/>
      <c r="F8" s="10"/>
      <c r="G8" s="10"/>
      <c r="H8" s="10"/>
      <c r="I8" s="10"/>
      <c r="J8" s="10"/>
      <c r="K8" s="10"/>
      <c r="L8" s="11"/>
    </row>
    <row r="9" spans="1:12" ht="20.399999999999999" x14ac:dyDescent="0.75">
      <c r="A9" s="203" t="s">
        <v>5</v>
      </c>
      <c r="B9" s="204"/>
      <c r="C9" s="204"/>
      <c r="D9" s="204"/>
      <c r="E9" s="204"/>
      <c r="F9" s="204"/>
      <c r="G9" s="204"/>
      <c r="H9" s="204"/>
      <c r="I9" s="204"/>
      <c r="J9" s="204"/>
      <c r="K9" s="204"/>
      <c r="L9" s="205"/>
    </row>
    <row r="10" spans="1:12" x14ac:dyDescent="0.55000000000000004">
      <c r="A10" s="9" t="s">
        <v>6</v>
      </c>
      <c r="B10" s="10"/>
      <c r="C10" s="10"/>
      <c r="D10" s="10"/>
      <c r="E10" s="10"/>
      <c r="F10" s="10"/>
      <c r="G10" s="10"/>
      <c r="H10" s="10"/>
      <c r="I10" s="10"/>
      <c r="J10" s="10"/>
      <c r="K10" s="10"/>
      <c r="L10" s="11"/>
    </row>
    <row r="11" spans="1:12" x14ac:dyDescent="0.55000000000000004">
      <c r="A11" s="9"/>
      <c r="B11" s="10"/>
      <c r="C11" s="10"/>
      <c r="D11" s="10"/>
      <c r="E11" s="10"/>
      <c r="F11" s="10"/>
      <c r="G11" s="10"/>
      <c r="H11" s="10"/>
      <c r="I11" s="10"/>
      <c r="J11" s="10"/>
      <c r="K11" s="10"/>
      <c r="L11" s="11"/>
    </row>
    <row r="12" spans="1:12" x14ac:dyDescent="0.55000000000000004">
      <c r="A12" s="200" t="s">
        <v>7</v>
      </c>
      <c r="B12" s="201"/>
      <c r="C12" s="201"/>
      <c r="D12" s="201"/>
      <c r="E12" s="201"/>
      <c r="F12" s="201"/>
      <c r="G12" s="201"/>
      <c r="H12" s="201"/>
      <c r="I12" s="201"/>
      <c r="J12" s="201"/>
      <c r="K12" s="201"/>
      <c r="L12" s="202"/>
    </row>
    <row r="13" spans="1:12" x14ac:dyDescent="0.55000000000000004">
      <c r="A13" s="200"/>
      <c r="B13" s="201"/>
      <c r="C13" s="201"/>
      <c r="D13" s="201"/>
      <c r="E13" s="201"/>
      <c r="F13" s="201"/>
      <c r="G13" s="201"/>
      <c r="H13" s="201"/>
      <c r="I13" s="201"/>
      <c r="J13" s="201"/>
      <c r="K13" s="201"/>
      <c r="L13" s="202"/>
    </row>
    <row r="14" spans="1:12" x14ac:dyDescent="0.55000000000000004">
      <c r="A14" s="200"/>
      <c r="B14" s="201"/>
      <c r="C14" s="201"/>
      <c r="D14" s="201"/>
      <c r="E14" s="201"/>
      <c r="F14" s="201"/>
      <c r="G14" s="201"/>
      <c r="H14" s="201"/>
      <c r="I14" s="201"/>
      <c r="J14" s="201"/>
      <c r="K14" s="201"/>
      <c r="L14" s="202"/>
    </row>
    <row r="15" spans="1:12" x14ac:dyDescent="0.55000000000000004">
      <c r="A15" s="200"/>
      <c r="B15" s="201"/>
      <c r="C15" s="201"/>
      <c r="D15" s="201"/>
      <c r="E15" s="201"/>
      <c r="F15" s="201"/>
      <c r="G15" s="201"/>
      <c r="H15" s="201"/>
      <c r="I15" s="201"/>
      <c r="J15" s="201"/>
      <c r="K15" s="201"/>
      <c r="L15" s="202"/>
    </row>
    <row r="16" spans="1:12" x14ac:dyDescent="0.55000000000000004">
      <c r="A16" s="200"/>
      <c r="B16" s="201"/>
      <c r="C16" s="201"/>
      <c r="D16" s="201"/>
      <c r="E16" s="201"/>
      <c r="F16" s="201"/>
      <c r="G16" s="201"/>
      <c r="H16" s="201"/>
      <c r="I16" s="201"/>
      <c r="J16" s="201"/>
      <c r="K16" s="201"/>
      <c r="L16" s="202"/>
    </row>
    <row r="17" spans="1:12" x14ac:dyDescent="0.55000000000000004">
      <c r="A17" s="200"/>
      <c r="B17" s="201"/>
      <c r="C17" s="201"/>
      <c r="D17" s="201"/>
      <c r="E17" s="201"/>
      <c r="F17" s="201"/>
      <c r="G17" s="201"/>
      <c r="H17" s="201"/>
      <c r="I17" s="201"/>
      <c r="J17" s="201"/>
      <c r="K17" s="201"/>
      <c r="L17" s="202"/>
    </row>
    <row r="18" spans="1:12" ht="20.399999999999999" x14ac:dyDescent="0.75">
      <c r="A18" s="203" t="s">
        <v>8</v>
      </c>
      <c r="B18" s="204"/>
      <c r="C18" s="204"/>
      <c r="D18" s="204"/>
      <c r="E18" s="204"/>
      <c r="F18" s="204"/>
      <c r="G18" s="204"/>
      <c r="H18" s="204"/>
      <c r="I18" s="204"/>
      <c r="J18" s="204"/>
      <c r="K18" s="204"/>
      <c r="L18" s="205"/>
    </row>
    <row r="19" spans="1:12" x14ac:dyDescent="0.55000000000000004">
      <c r="A19" s="206" t="s">
        <v>9</v>
      </c>
      <c r="B19" s="207"/>
      <c r="C19" s="207"/>
      <c r="D19" s="207"/>
      <c r="E19" s="207"/>
      <c r="F19" s="207"/>
      <c r="G19" s="207"/>
      <c r="H19" s="207"/>
      <c r="I19" s="207"/>
      <c r="J19" s="207"/>
      <c r="K19" s="207"/>
      <c r="L19" s="208"/>
    </row>
    <row r="20" spans="1:12" x14ac:dyDescent="0.55000000000000004">
      <c r="A20" s="206" t="s">
        <v>10</v>
      </c>
      <c r="B20" s="207"/>
      <c r="C20" s="207"/>
      <c r="D20" s="207"/>
      <c r="E20" s="207"/>
      <c r="F20" s="207"/>
      <c r="G20" s="207"/>
      <c r="H20" s="207"/>
      <c r="I20" s="207"/>
      <c r="J20" s="207"/>
      <c r="K20" s="207"/>
      <c r="L20" s="208"/>
    </row>
    <row r="21" spans="1:12" x14ac:dyDescent="0.55000000000000004">
      <c r="A21" s="9"/>
      <c r="B21" s="10"/>
      <c r="C21" s="10"/>
      <c r="D21" s="10"/>
      <c r="E21" s="10"/>
      <c r="F21" s="10"/>
      <c r="G21" s="10"/>
      <c r="H21" s="10"/>
      <c r="I21" s="10"/>
      <c r="J21" s="10"/>
      <c r="K21" s="10"/>
      <c r="L21" s="11"/>
    </row>
    <row r="22" spans="1:12" ht="20.399999999999999" x14ac:dyDescent="0.75">
      <c r="A22" s="203" t="s">
        <v>11</v>
      </c>
      <c r="B22" s="204"/>
      <c r="C22" s="204"/>
      <c r="D22" s="204"/>
      <c r="E22" s="204"/>
      <c r="F22" s="204"/>
      <c r="G22" s="204"/>
      <c r="H22" s="204"/>
      <c r="I22" s="204"/>
      <c r="J22" s="204"/>
      <c r="K22" s="204"/>
      <c r="L22" s="205"/>
    </row>
    <row r="23" spans="1:12" x14ac:dyDescent="0.55000000000000004">
      <c r="A23" s="200" t="s">
        <v>12</v>
      </c>
      <c r="B23" s="201"/>
      <c r="C23" s="201"/>
      <c r="D23" s="201"/>
      <c r="E23" s="201"/>
      <c r="F23" s="201"/>
      <c r="G23" s="201"/>
      <c r="H23" s="201"/>
      <c r="I23" s="201"/>
      <c r="J23" s="201"/>
      <c r="K23" s="201"/>
      <c r="L23" s="202"/>
    </row>
    <row r="24" spans="1:12" x14ac:dyDescent="0.55000000000000004">
      <c r="A24" s="200"/>
      <c r="B24" s="201"/>
      <c r="C24" s="201"/>
      <c r="D24" s="201"/>
      <c r="E24" s="201"/>
      <c r="F24" s="201"/>
      <c r="G24" s="201"/>
      <c r="H24" s="201"/>
      <c r="I24" s="201"/>
      <c r="J24" s="201"/>
      <c r="K24" s="201"/>
      <c r="L24" s="202"/>
    </row>
    <row r="25" spans="1:12" x14ac:dyDescent="0.55000000000000004">
      <c r="A25" s="200"/>
      <c r="B25" s="201"/>
      <c r="C25" s="201"/>
      <c r="D25" s="201"/>
      <c r="E25" s="201"/>
      <c r="F25" s="201"/>
      <c r="G25" s="201"/>
      <c r="H25" s="201"/>
      <c r="I25" s="201"/>
      <c r="J25" s="201"/>
      <c r="K25" s="201"/>
      <c r="L25" s="202"/>
    </row>
    <row r="26" spans="1:12" x14ac:dyDescent="0.55000000000000004">
      <c r="A26" s="200"/>
      <c r="B26" s="201"/>
      <c r="C26" s="201"/>
      <c r="D26" s="201"/>
      <c r="E26" s="201"/>
      <c r="F26" s="201"/>
      <c r="G26" s="201"/>
      <c r="H26" s="201"/>
      <c r="I26" s="201"/>
      <c r="J26" s="201"/>
      <c r="K26" s="201"/>
      <c r="L26" s="202"/>
    </row>
    <row r="27" spans="1:12" x14ac:dyDescent="0.55000000000000004">
      <c r="A27" s="12"/>
      <c r="B27" s="13"/>
      <c r="C27" s="14"/>
      <c r="D27" s="14"/>
      <c r="E27" s="14"/>
      <c r="F27" s="14"/>
      <c r="G27" s="14"/>
      <c r="H27" s="14"/>
      <c r="I27" s="14"/>
      <c r="J27" s="14"/>
      <c r="K27" s="14"/>
      <c r="L27" s="15"/>
    </row>
    <row r="28" spans="1:12" x14ac:dyDescent="0.55000000000000004">
      <c r="A28" s="16" t="s">
        <v>13</v>
      </c>
      <c r="B28" s="17"/>
      <c r="C28" s="14"/>
      <c r="D28" s="14"/>
      <c r="E28" s="14"/>
      <c r="F28" s="14"/>
      <c r="G28" s="14"/>
      <c r="H28" s="14"/>
      <c r="I28" s="14"/>
      <c r="J28" s="14"/>
      <c r="K28" s="14"/>
      <c r="L28" s="18"/>
    </row>
    <row r="29" spans="1:12" x14ac:dyDescent="0.55000000000000004">
      <c r="A29" s="19" t="s">
        <v>14</v>
      </c>
      <c r="B29" s="199" t="s">
        <v>15</v>
      </c>
      <c r="C29" s="199"/>
      <c r="D29" s="199"/>
      <c r="E29" s="199"/>
      <c r="F29" s="199"/>
      <c r="G29" s="199"/>
      <c r="H29" s="199"/>
      <c r="I29" s="199"/>
      <c r="J29" s="199"/>
      <c r="K29" s="199"/>
      <c r="L29" s="20"/>
    </row>
    <row r="30" spans="1:12" x14ac:dyDescent="0.55000000000000004">
      <c r="A30" s="16" t="s">
        <v>16</v>
      </c>
      <c r="B30" s="13" t="s">
        <v>219</v>
      </c>
      <c r="C30" s="13"/>
      <c r="D30" s="13"/>
      <c r="E30" s="13"/>
      <c r="F30" s="13"/>
      <c r="G30" s="13"/>
      <c r="H30" s="13"/>
      <c r="I30" s="13"/>
      <c r="J30" s="13"/>
      <c r="K30" s="13"/>
      <c r="L30" s="18"/>
    </row>
    <row r="31" spans="1:12" x14ac:dyDescent="0.55000000000000004">
      <c r="A31" s="16" t="s">
        <v>17</v>
      </c>
      <c r="B31" s="13" t="s">
        <v>18</v>
      </c>
      <c r="C31" s="13"/>
      <c r="D31" s="13"/>
      <c r="E31" s="13"/>
      <c r="F31" s="13"/>
      <c r="G31" s="13"/>
      <c r="H31" s="13"/>
      <c r="I31" s="13"/>
      <c r="J31" s="13"/>
      <c r="K31" s="13"/>
      <c r="L31" s="18"/>
    </row>
    <row r="32" spans="1:12" x14ac:dyDescent="0.55000000000000004">
      <c r="A32" s="16" t="s">
        <v>19</v>
      </c>
      <c r="B32" s="13" t="s">
        <v>20</v>
      </c>
      <c r="C32" s="13"/>
      <c r="D32" s="13"/>
      <c r="E32" s="13"/>
      <c r="F32" s="13"/>
      <c r="G32" s="13"/>
      <c r="H32" s="13"/>
      <c r="I32" s="13"/>
      <c r="J32" s="13"/>
      <c r="K32" s="13"/>
      <c r="L32" s="18"/>
    </row>
    <row r="33" spans="1:12" x14ac:dyDescent="0.55000000000000004">
      <c r="A33" s="16" t="s">
        <v>21</v>
      </c>
      <c r="B33" s="13" t="s">
        <v>22</v>
      </c>
      <c r="C33" s="13"/>
      <c r="D33" s="14"/>
      <c r="E33" s="14"/>
      <c r="F33" s="14"/>
      <c r="G33" s="14"/>
      <c r="H33" s="14"/>
      <c r="I33" s="14"/>
      <c r="J33" s="14"/>
      <c r="K33" s="14"/>
      <c r="L33" s="18"/>
    </row>
    <row r="34" spans="1:12" x14ac:dyDescent="0.55000000000000004">
      <c r="A34" s="16" t="s">
        <v>23</v>
      </c>
      <c r="B34" s="13" t="s">
        <v>24</v>
      </c>
      <c r="C34" s="13"/>
      <c r="D34" s="14"/>
      <c r="E34" s="14"/>
      <c r="F34" s="14"/>
      <c r="G34" s="14"/>
      <c r="H34" s="14"/>
      <c r="I34" s="14"/>
      <c r="J34" s="14"/>
      <c r="K34" s="14"/>
      <c r="L34" s="18"/>
    </row>
    <row r="35" spans="1:12" x14ac:dyDescent="0.55000000000000004">
      <c r="A35" s="16" t="s">
        <v>25</v>
      </c>
      <c r="B35" s="13" t="s">
        <v>26</v>
      </c>
      <c r="C35" s="13"/>
      <c r="D35" s="14"/>
      <c r="E35" s="14"/>
      <c r="F35" s="14"/>
      <c r="G35" s="14"/>
      <c r="H35" s="14"/>
      <c r="I35" s="14"/>
      <c r="J35" s="14"/>
      <c r="K35" s="14"/>
      <c r="L35" s="18"/>
    </row>
    <row r="36" spans="1:12" ht="14.7" thickBot="1" x14ac:dyDescent="0.6">
      <c r="A36" s="21"/>
      <c r="B36" s="22"/>
      <c r="C36" s="23"/>
      <c r="D36" s="23"/>
      <c r="E36" s="23"/>
      <c r="F36" s="23"/>
      <c r="G36" s="23"/>
      <c r="H36" s="23"/>
      <c r="I36" s="23"/>
      <c r="J36" s="23"/>
      <c r="K36" s="23"/>
      <c r="L36" s="24"/>
    </row>
  </sheetData>
  <mergeCells count="13">
    <mergeCell ref="A9:L9"/>
    <mergeCell ref="A1:L3"/>
    <mergeCell ref="A4:L4"/>
    <mergeCell ref="A5:L5"/>
    <mergeCell ref="A6:B6"/>
    <mergeCell ref="A7:B7"/>
    <mergeCell ref="B29:K29"/>
    <mergeCell ref="A12:L17"/>
    <mergeCell ref="A18:L18"/>
    <mergeCell ref="A19:L19"/>
    <mergeCell ref="A20:L20"/>
    <mergeCell ref="A22:L22"/>
    <mergeCell ref="A23:L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56F-AD53-4147-BF1E-023AB387B268}">
  <sheetPr codeName="Sheet2"/>
  <dimension ref="A1:AD62"/>
  <sheetViews>
    <sheetView zoomScale="85" zoomScaleNormal="85" workbookViewId="0">
      <selection activeCell="T28" sqref="T28"/>
    </sheetView>
  </sheetViews>
  <sheetFormatPr defaultColWidth="8.83984375" defaultRowHeight="14.4" x14ac:dyDescent="0.55000000000000004"/>
  <cols>
    <col min="1" max="1" width="2.3671875" style="3" customWidth="1"/>
    <col min="2" max="7" width="9.578125" style="3" customWidth="1"/>
    <col min="8" max="8" width="7" style="3" customWidth="1"/>
    <col min="9" max="16" width="9.578125" style="3" customWidth="1"/>
    <col min="17" max="17" width="3.83984375" style="3" customWidth="1"/>
    <col min="18" max="22" width="9.578125" style="3" customWidth="1"/>
    <col min="23" max="23" width="3.15625" style="3" customWidth="1"/>
    <col min="24" max="29" width="9.578125" style="3" customWidth="1"/>
    <col min="30" max="30" width="3.7890625" style="3" customWidth="1"/>
    <col min="31" max="16384" width="8.83984375" style="3"/>
  </cols>
  <sheetData>
    <row r="1" spans="1:30" x14ac:dyDescent="0.55000000000000004">
      <c r="A1" s="308"/>
      <c r="B1" s="309" t="s">
        <v>0</v>
      </c>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1"/>
    </row>
    <row r="2" spans="1:30" x14ac:dyDescent="0.55000000000000004">
      <c r="A2" s="305"/>
      <c r="B2" s="266"/>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14"/>
    </row>
    <row r="3" spans="1:30" x14ac:dyDescent="0.55000000000000004">
      <c r="A3" s="305"/>
      <c r="B3" s="266"/>
      <c r="C3" s="267"/>
      <c r="D3" s="267"/>
      <c r="E3" s="267"/>
      <c r="F3" s="267"/>
      <c r="G3" s="267"/>
      <c r="H3" s="267"/>
      <c r="I3" s="267"/>
      <c r="J3" s="267"/>
      <c r="K3" s="267"/>
      <c r="L3" s="267"/>
      <c r="M3" s="267"/>
      <c r="N3" s="267"/>
      <c r="O3" s="267"/>
      <c r="P3" s="267"/>
      <c r="Q3" s="267"/>
      <c r="R3" s="267"/>
      <c r="S3" s="267"/>
      <c r="T3" s="267"/>
      <c r="U3" s="267"/>
      <c r="V3" s="267"/>
      <c r="W3" s="267"/>
      <c r="X3" s="267"/>
      <c r="Y3" s="267"/>
      <c r="Z3" s="267"/>
      <c r="AA3" s="267"/>
      <c r="AB3" s="267"/>
      <c r="AC3" s="267"/>
      <c r="AD3" s="214"/>
    </row>
    <row r="4" spans="1:30" x14ac:dyDescent="0.55000000000000004">
      <c r="A4" s="268"/>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17"/>
    </row>
    <row r="5" spans="1:30" ht="17.7" x14ac:dyDescent="0.6">
      <c r="A5" s="305"/>
      <c r="B5" s="270" t="s">
        <v>27</v>
      </c>
      <c r="C5" s="264"/>
      <c r="D5" s="264"/>
      <c r="E5" s="264"/>
      <c r="F5" s="264"/>
      <c r="G5" s="264"/>
      <c r="H5" s="264"/>
      <c r="I5" s="264"/>
      <c r="J5" s="264"/>
      <c r="K5" s="264"/>
      <c r="L5" s="264"/>
      <c r="M5" s="264"/>
      <c r="N5" s="264"/>
      <c r="O5" s="264"/>
      <c r="P5" s="264"/>
      <c r="Q5" s="264"/>
      <c r="R5" s="264"/>
      <c r="S5" s="264"/>
      <c r="T5" s="264"/>
      <c r="U5" s="264"/>
      <c r="V5" s="264"/>
      <c r="W5" s="264"/>
      <c r="X5" s="264"/>
      <c r="Y5" s="264"/>
      <c r="Z5" s="264"/>
      <c r="AA5" s="264"/>
      <c r="AB5" s="264"/>
      <c r="AC5" s="264"/>
      <c r="AD5" s="219"/>
    </row>
    <row r="6" spans="1:30" ht="17.7" x14ac:dyDescent="0.6">
      <c r="A6" s="305"/>
      <c r="B6" s="270"/>
      <c r="C6" s="264"/>
      <c r="D6" s="271"/>
      <c r="E6" s="272"/>
      <c r="F6" s="272"/>
      <c r="G6" s="272"/>
      <c r="H6" s="272"/>
      <c r="I6" s="272"/>
      <c r="J6" s="272"/>
      <c r="K6" s="272"/>
      <c r="L6" s="6"/>
      <c r="M6" s="6"/>
      <c r="N6" s="6"/>
      <c r="O6" s="6"/>
      <c r="P6" s="6"/>
      <c r="Q6" s="6"/>
      <c r="R6" s="6"/>
      <c r="S6" s="6"/>
      <c r="T6" s="6"/>
      <c r="U6" s="6"/>
      <c r="V6" s="6"/>
      <c r="W6" s="6"/>
      <c r="X6" s="6"/>
      <c r="Y6" s="6"/>
      <c r="Z6" s="6"/>
      <c r="AA6" s="6"/>
      <c r="AB6" s="6"/>
      <c r="AC6" s="6"/>
      <c r="AD6" s="7"/>
    </row>
    <row r="7" spans="1:30" x14ac:dyDescent="0.55000000000000004">
      <c r="A7" s="305"/>
      <c r="B7" s="273" t="s">
        <v>28</v>
      </c>
      <c r="C7" s="274" t="s">
        <v>29</v>
      </c>
      <c r="D7" s="274"/>
      <c r="E7" s="274"/>
      <c r="F7" s="274"/>
      <c r="G7" s="274"/>
      <c r="H7" s="274"/>
      <c r="I7" s="275"/>
      <c r="J7" s="276"/>
      <c r="K7" s="276"/>
      <c r="L7" s="276"/>
      <c r="M7" s="276"/>
      <c r="N7" s="276"/>
      <c r="O7" s="276"/>
      <c r="P7" s="276"/>
      <c r="Q7" s="276"/>
      <c r="R7" s="276"/>
      <c r="S7" s="276"/>
      <c r="T7" s="276"/>
      <c r="U7" s="276"/>
      <c r="V7" s="276"/>
      <c r="W7" s="276"/>
      <c r="X7" s="276"/>
      <c r="Y7" s="276"/>
      <c r="Z7" s="276"/>
      <c r="AA7" s="276"/>
      <c r="AB7" s="276"/>
      <c r="AC7" s="276"/>
      <c r="AD7" s="7"/>
    </row>
    <row r="8" spans="1:30" ht="17.7" x14ac:dyDescent="0.6">
      <c r="A8" s="305"/>
      <c r="B8" s="277"/>
      <c r="C8" s="265"/>
      <c r="D8" s="271"/>
      <c r="E8" s="272"/>
      <c r="F8" s="272"/>
      <c r="G8" s="272"/>
      <c r="H8" s="278"/>
      <c r="I8" s="272"/>
      <c r="J8" s="272"/>
      <c r="K8" s="272"/>
      <c r="L8" s="6"/>
      <c r="M8" s="6"/>
      <c r="N8" s="6"/>
      <c r="O8" s="6"/>
      <c r="P8" s="6"/>
      <c r="Q8" s="6"/>
      <c r="R8" s="6"/>
      <c r="S8" s="6"/>
      <c r="T8" s="6"/>
      <c r="U8" s="6"/>
      <c r="V8" s="6"/>
      <c r="W8" s="6"/>
      <c r="X8" s="6"/>
      <c r="Y8" s="6"/>
      <c r="Z8" s="6"/>
      <c r="AA8" s="6"/>
      <c r="AB8" s="6"/>
      <c r="AC8" s="6"/>
      <c r="AD8" s="7"/>
    </row>
    <row r="9" spans="1:30" ht="31.5" customHeight="1" x14ac:dyDescent="0.55000000000000004">
      <c r="A9" s="305"/>
      <c r="B9" s="279" t="s">
        <v>30</v>
      </c>
      <c r="C9" s="280"/>
      <c r="D9" s="280"/>
      <c r="E9" s="280"/>
      <c r="F9" s="280"/>
      <c r="G9" s="280"/>
      <c r="H9" s="280"/>
      <c r="I9" s="280"/>
      <c r="J9" s="280"/>
      <c r="K9" s="280"/>
      <c r="L9" s="280"/>
      <c r="M9" s="280"/>
      <c r="N9" s="280"/>
      <c r="O9" s="280"/>
      <c r="P9" s="280"/>
      <c r="Q9" s="281"/>
      <c r="R9" s="282"/>
      <c r="S9" s="282"/>
      <c r="T9" s="282"/>
      <c r="U9" s="282"/>
      <c r="V9" s="280" t="s">
        <v>225</v>
      </c>
      <c r="W9" s="280"/>
      <c r="X9" s="280"/>
      <c r="Y9" s="280"/>
      <c r="Z9" s="280"/>
      <c r="AA9" s="280"/>
      <c r="AB9" s="280"/>
      <c r="AC9" s="280"/>
      <c r="AD9" s="30"/>
    </row>
    <row r="10" spans="1:30" x14ac:dyDescent="0.55000000000000004">
      <c r="A10" s="305"/>
      <c r="B10" s="283" t="s">
        <v>31</v>
      </c>
      <c r="C10" s="284"/>
      <c r="D10" s="284"/>
      <c r="E10" s="284" t="s">
        <v>32</v>
      </c>
      <c r="F10" s="284"/>
      <c r="G10" s="284"/>
      <c r="H10" s="284" t="s">
        <v>33</v>
      </c>
      <c r="I10" s="284"/>
      <c r="J10" s="284"/>
      <c r="K10" s="284"/>
      <c r="L10" s="285"/>
      <c r="M10" s="285"/>
      <c r="N10" s="284" t="s">
        <v>34</v>
      </c>
      <c r="O10" s="284"/>
      <c r="P10" s="284"/>
      <c r="Q10" s="284"/>
      <c r="R10" s="284" t="s">
        <v>35</v>
      </c>
      <c r="S10" s="284"/>
      <c r="T10" s="284"/>
      <c r="U10" s="284"/>
      <c r="V10" s="280"/>
      <c r="W10" s="280"/>
      <c r="X10" s="280"/>
      <c r="Y10" s="280"/>
      <c r="Z10" s="280"/>
      <c r="AA10" s="280"/>
      <c r="AB10" s="280"/>
      <c r="AC10" s="280"/>
      <c r="AD10" s="30"/>
    </row>
    <row r="11" spans="1:30" x14ac:dyDescent="0.55000000000000004">
      <c r="A11" s="305"/>
      <c r="B11" s="286"/>
      <c r="C11" s="285"/>
      <c r="D11" s="285"/>
      <c r="E11" s="285"/>
      <c r="F11" s="281"/>
      <c r="G11" s="281"/>
      <c r="H11" s="281"/>
      <c r="I11" s="281"/>
      <c r="J11" s="287"/>
      <c r="K11" s="287"/>
      <c r="L11" s="287"/>
      <c r="M11" s="287"/>
      <c r="N11" s="285"/>
      <c r="O11" s="285"/>
      <c r="P11" s="285"/>
      <c r="Q11" s="282"/>
      <c r="R11" s="282"/>
      <c r="S11" s="282"/>
      <c r="T11" s="282"/>
      <c r="U11" s="282"/>
      <c r="V11" s="280"/>
      <c r="W11" s="280"/>
      <c r="X11" s="280"/>
      <c r="Y11" s="280"/>
      <c r="Z11" s="280"/>
      <c r="AA11" s="280"/>
      <c r="AB11" s="280"/>
      <c r="AC11" s="280"/>
      <c r="AD11" s="30"/>
    </row>
    <row r="12" spans="1:30" x14ac:dyDescent="0.55000000000000004">
      <c r="A12" s="305"/>
      <c r="B12" s="288"/>
      <c r="C12" s="287"/>
      <c r="D12" s="287"/>
      <c r="E12" s="287"/>
      <c r="F12" s="281"/>
      <c r="G12" s="281"/>
      <c r="H12" s="281"/>
      <c r="I12" s="281"/>
      <c r="J12" s="287"/>
      <c r="K12" s="287"/>
      <c r="L12" s="287"/>
      <c r="M12" s="287"/>
      <c r="N12" s="285"/>
      <c r="O12" s="285"/>
      <c r="P12" s="285"/>
      <c r="Q12" s="282"/>
      <c r="R12" s="282"/>
      <c r="S12" s="282"/>
      <c r="T12" s="282"/>
      <c r="U12" s="282"/>
      <c r="V12" s="280"/>
      <c r="W12" s="280"/>
      <c r="X12" s="280"/>
      <c r="Y12" s="280"/>
      <c r="Z12" s="280"/>
      <c r="AA12" s="280"/>
      <c r="AB12" s="280"/>
      <c r="AC12" s="280"/>
      <c r="AD12" s="29"/>
    </row>
    <row r="13" spans="1:30" ht="20.399999999999999" x14ac:dyDescent="0.75">
      <c r="A13" s="305"/>
      <c r="B13" s="289"/>
      <c r="C13" s="290"/>
      <c r="D13" s="290"/>
      <c r="E13" s="290"/>
      <c r="F13" s="290"/>
      <c r="G13" s="290"/>
      <c r="H13" s="290"/>
      <c r="I13" s="290"/>
      <c r="J13" s="290"/>
      <c r="K13" s="290"/>
      <c r="L13" s="290"/>
      <c r="M13" s="290"/>
      <c r="N13" s="290"/>
      <c r="O13" s="290"/>
      <c r="P13" s="290"/>
      <c r="Q13" s="290"/>
      <c r="R13" s="290"/>
      <c r="S13" s="290"/>
      <c r="T13" s="290"/>
      <c r="U13" s="290"/>
      <c r="W13" s="293"/>
      <c r="AD13" s="11"/>
    </row>
    <row r="14" spans="1:30" x14ac:dyDescent="0.55000000000000004">
      <c r="A14" s="305"/>
      <c r="B14" s="291"/>
      <c r="C14" s="292"/>
      <c r="D14" s="292"/>
      <c r="E14" s="292"/>
      <c r="F14" s="292"/>
      <c r="G14" s="292"/>
      <c r="H14" s="292"/>
      <c r="I14" s="292"/>
      <c r="J14" s="292"/>
      <c r="K14" s="292"/>
      <c r="L14" s="292"/>
      <c r="M14" s="292"/>
      <c r="N14" s="292"/>
      <c r="O14" s="292"/>
      <c r="P14" s="292"/>
      <c r="Q14" s="292"/>
      <c r="R14" s="292"/>
      <c r="S14" s="292"/>
      <c r="T14" s="292"/>
      <c r="U14" s="292"/>
      <c r="W14" s="290"/>
      <c r="AD14" s="25"/>
    </row>
    <row r="15" spans="1:30" x14ac:dyDescent="0.55000000000000004">
      <c r="A15" s="305"/>
      <c r="B15" s="291"/>
      <c r="C15" s="292"/>
      <c r="D15" s="292"/>
      <c r="E15" s="292"/>
      <c r="F15" s="292"/>
      <c r="G15" s="292"/>
      <c r="H15" s="292"/>
      <c r="I15" s="292"/>
      <c r="J15" s="292"/>
      <c r="K15" s="292"/>
      <c r="L15" s="292"/>
      <c r="M15" s="292"/>
      <c r="N15" s="292"/>
      <c r="O15" s="292"/>
      <c r="P15" s="292"/>
      <c r="Q15" s="292"/>
      <c r="R15" s="292"/>
      <c r="S15" s="292"/>
      <c r="T15" s="292"/>
      <c r="U15" s="292"/>
      <c r="W15" s="290"/>
      <c r="AD15" s="25"/>
    </row>
    <row r="16" spans="1:30" ht="14.4" customHeight="1" x14ac:dyDescent="0.55000000000000004">
      <c r="A16" s="305"/>
      <c r="C16" s="282"/>
      <c r="D16" s="282"/>
      <c r="E16" s="282"/>
      <c r="F16" s="282"/>
      <c r="G16" s="282"/>
      <c r="H16" s="282"/>
      <c r="I16" s="281"/>
      <c r="J16" s="281"/>
      <c r="K16" s="280" t="s">
        <v>223</v>
      </c>
      <c r="L16" s="280"/>
      <c r="M16" s="280"/>
      <c r="N16" s="280"/>
      <c r="O16" s="280"/>
      <c r="P16" s="280"/>
      <c r="Q16" s="280"/>
      <c r="R16" s="280"/>
      <c r="S16" s="280"/>
      <c r="T16" s="280"/>
      <c r="W16" s="290"/>
      <c r="AD16" s="30"/>
    </row>
    <row r="17" spans="1:30" ht="14.4" customHeight="1" x14ac:dyDescent="0.75">
      <c r="A17" s="305"/>
      <c r="B17" s="279" t="s">
        <v>36</v>
      </c>
      <c r="C17" s="280"/>
      <c r="D17" s="280"/>
      <c r="E17" s="280"/>
      <c r="F17" s="280"/>
      <c r="G17" s="280"/>
      <c r="H17" s="280"/>
      <c r="I17" s="280"/>
      <c r="J17" s="281"/>
      <c r="K17" s="280"/>
      <c r="L17" s="280"/>
      <c r="M17" s="280"/>
      <c r="N17" s="280"/>
      <c r="O17" s="280"/>
      <c r="P17" s="280"/>
      <c r="Q17" s="280"/>
      <c r="R17" s="280"/>
      <c r="S17" s="280"/>
      <c r="T17" s="280"/>
      <c r="W17" s="293"/>
      <c r="AD17" s="30"/>
    </row>
    <row r="18" spans="1:30" x14ac:dyDescent="0.55000000000000004">
      <c r="A18" s="305"/>
      <c r="B18" s="279"/>
      <c r="C18" s="280"/>
      <c r="D18" s="280"/>
      <c r="E18" s="280"/>
      <c r="F18" s="280"/>
      <c r="G18" s="280"/>
      <c r="H18" s="280"/>
      <c r="I18" s="280"/>
      <c r="J18" s="281"/>
      <c r="K18" s="282"/>
      <c r="L18" s="282"/>
      <c r="M18" s="282"/>
      <c r="N18" s="282"/>
      <c r="O18" s="282"/>
      <c r="P18" s="282"/>
      <c r="Q18" s="282"/>
      <c r="R18" s="282"/>
      <c r="W18" s="292"/>
      <c r="AD18" s="30"/>
    </row>
    <row r="19" spans="1:30" x14ac:dyDescent="0.55000000000000004">
      <c r="A19" s="305"/>
      <c r="B19" s="279"/>
      <c r="C19" s="280"/>
      <c r="D19" s="280"/>
      <c r="E19" s="280"/>
      <c r="F19" s="280"/>
      <c r="G19" s="280"/>
      <c r="H19" s="280"/>
      <c r="I19" s="280"/>
      <c r="J19" s="281"/>
      <c r="K19" s="292"/>
      <c r="L19" s="292"/>
      <c r="M19" s="292"/>
      <c r="N19" s="292"/>
      <c r="O19" s="292"/>
      <c r="P19" s="281"/>
      <c r="Q19" s="292"/>
      <c r="W19" s="292"/>
      <c r="AD19" s="25"/>
    </row>
    <row r="20" spans="1:30" ht="20.399999999999999" x14ac:dyDescent="0.75">
      <c r="A20" s="305"/>
      <c r="B20" s="279"/>
      <c r="C20" s="280"/>
      <c r="D20" s="280"/>
      <c r="E20" s="280"/>
      <c r="F20" s="280"/>
      <c r="G20" s="280"/>
      <c r="H20" s="280"/>
      <c r="I20" s="280"/>
      <c r="J20" s="281"/>
      <c r="K20" s="293"/>
      <c r="L20" s="293"/>
      <c r="M20" s="293"/>
      <c r="N20" s="293"/>
      <c r="O20" s="293"/>
      <c r="P20" s="281"/>
      <c r="Q20" s="293"/>
      <c r="W20" s="292"/>
      <c r="AD20" s="26"/>
    </row>
    <row r="21" spans="1:30" x14ac:dyDescent="0.55000000000000004">
      <c r="A21" s="305"/>
      <c r="B21" s="312"/>
      <c r="C21" s="282"/>
      <c r="D21" s="282"/>
      <c r="E21" s="282"/>
      <c r="F21" s="282"/>
      <c r="G21" s="282"/>
      <c r="H21" s="290"/>
      <c r="I21" s="281"/>
      <c r="J21" s="281"/>
      <c r="K21" s="290"/>
      <c r="L21" s="290"/>
      <c r="M21" s="290"/>
      <c r="N21" s="290"/>
      <c r="O21" s="290"/>
      <c r="P21" s="281"/>
      <c r="Q21" s="290"/>
      <c r="W21" s="292"/>
      <c r="AD21" s="11"/>
    </row>
    <row r="22" spans="1:30" x14ac:dyDescent="0.55000000000000004">
      <c r="A22" s="305"/>
      <c r="B22" s="289"/>
      <c r="C22" s="290"/>
      <c r="D22" s="290"/>
      <c r="E22" s="290"/>
      <c r="F22" s="290"/>
      <c r="G22" s="290"/>
      <c r="H22" s="290"/>
      <c r="I22" s="281"/>
      <c r="J22" s="281"/>
      <c r="K22" s="290"/>
      <c r="L22" s="290"/>
      <c r="M22" s="290"/>
      <c r="N22" s="290"/>
      <c r="O22" s="290"/>
      <c r="P22" s="281"/>
      <c r="Q22" s="290"/>
      <c r="W22" s="296"/>
      <c r="AD22" s="11"/>
    </row>
    <row r="23" spans="1:30" x14ac:dyDescent="0.55000000000000004">
      <c r="A23" s="305"/>
      <c r="B23" s="289"/>
      <c r="C23" s="290"/>
      <c r="D23" s="290"/>
      <c r="E23" s="290"/>
      <c r="F23" s="290"/>
      <c r="G23" s="290"/>
      <c r="H23" s="290"/>
      <c r="I23" s="281"/>
      <c r="J23" s="281"/>
      <c r="K23" s="290"/>
      <c r="L23" s="290"/>
      <c r="M23" s="290"/>
      <c r="N23" s="290"/>
      <c r="O23" s="290"/>
      <c r="P23" s="281"/>
      <c r="Q23" s="290"/>
      <c r="W23" s="296"/>
      <c r="AD23" s="11"/>
    </row>
    <row r="24" spans="1:30" ht="20.399999999999999" x14ac:dyDescent="0.75">
      <c r="A24" s="305"/>
      <c r="B24" s="294"/>
      <c r="C24" s="293"/>
      <c r="D24" s="293"/>
      <c r="E24" s="293"/>
      <c r="F24" s="293"/>
      <c r="G24" s="293"/>
      <c r="H24" s="293"/>
      <c r="I24" s="281"/>
      <c r="J24" s="281"/>
      <c r="K24" s="293"/>
      <c r="L24" s="293"/>
      <c r="M24" s="293"/>
      <c r="N24" s="293"/>
      <c r="O24" s="293"/>
      <c r="P24" s="281"/>
      <c r="Q24" s="293"/>
      <c r="W24" s="296"/>
      <c r="AD24" s="26"/>
    </row>
    <row r="25" spans="1:30" x14ac:dyDescent="0.55000000000000004">
      <c r="A25" s="305"/>
      <c r="B25" s="291"/>
      <c r="C25" s="292"/>
      <c r="D25" s="292"/>
      <c r="E25" s="292"/>
      <c r="F25" s="292"/>
      <c r="G25" s="292"/>
      <c r="H25" s="292"/>
      <c r="I25" s="281"/>
      <c r="J25" s="281"/>
      <c r="K25" s="292"/>
      <c r="L25" s="292"/>
      <c r="M25" s="292"/>
      <c r="N25" s="292"/>
      <c r="O25" s="292"/>
      <c r="P25" s="281"/>
      <c r="Q25" s="292"/>
      <c r="W25" s="296"/>
      <c r="AD25" s="25"/>
    </row>
    <row r="26" spans="1:30" x14ac:dyDescent="0.55000000000000004">
      <c r="A26" s="305"/>
      <c r="B26" s="291"/>
      <c r="C26" s="292"/>
      <c r="D26" s="292"/>
      <c r="E26" s="292"/>
      <c r="F26" s="292"/>
      <c r="G26" s="292"/>
      <c r="H26" s="292"/>
      <c r="I26" s="281"/>
      <c r="J26" s="281"/>
      <c r="K26" s="292"/>
      <c r="L26" s="292"/>
      <c r="M26" s="292"/>
      <c r="N26" s="292"/>
      <c r="O26" s="292"/>
      <c r="P26" s="281"/>
      <c r="Q26" s="292"/>
      <c r="W26" s="296"/>
      <c r="AD26" s="25"/>
    </row>
    <row r="27" spans="1:30" x14ac:dyDescent="0.55000000000000004">
      <c r="A27" s="305"/>
      <c r="B27" s="295"/>
      <c r="C27" s="281"/>
      <c r="D27" s="281"/>
      <c r="E27" s="281"/>
      <c r="F27" s="292"/>
      <c r="G27" s="292"/>
      <c r="H27" s="292"/>
      <c r="I27" s="281"/>
      <c r="J27" s="281"/>
      <c r="K27" s="292"/>
      <c r="L27" s="292"/>
      <c r="M27" s="292"/>
      <c r="N27" s="292"/>
      <c r="O27" s="292"/>
      <c r="P27" s="281"/>
      <c r="Q27" s="292"/>
      <c r="W27" s="296"/>
      <c r="AD27" s="25"/>
    </row>
    <row r="28" spans="1:30" x14ac:dyDescent="0.55000000000000004">
      <c r="A28" s="305"/>
      <c r="B28" s="286"/>
      <c r="C28" s="285"/>
      <c r="D28" s="285"/>
      <c r="E28" s="285"/>
      <c r="F28" s="292"/>
      <c r="G28" s="292"/>
      <c r="H28" s="292"/>
      <c r="I28" s="281"/>
      <c r="J28" s="281"/>
      <c r="K28" s="292"/>
      <c r="L28" s="292"/>
      <c r="M28" s="292"/>
      <c r="N28" s="292"/>
      <c r="O28" s="292"/>
      <c r="P28" s="281"/>
      <c r="Q28" s="292"/>
      <c r="W28" s="296"/>
      <c r="AD28" s="25"/>
    </row>
    <row r="29" spans="1:30" x14ac:dyDescent="0.55000000000000004">
      <c r="A29" s="305"/>
      <c r="B29" s="286"/>
      <c r="C29" s="285"/>
      <c r="D29" s="285"/>
      <c r="E29" s="285"/>
      <c r="F29" s="296"/>
      <c r="G29" s="296"/>
      <c r="H29" s="296"/>
      <c r="I29" s="281"/>
      <c r="J29" s="281"/>
      <c r="K29" s="296"/>
      <c r="L29" s="296"/>
      <c r="M29" s="296"/>
      <c r="N29" s="296"/>
      <c r="O29" s="296"/>
      <c r="P29" s="281"/>
      <c r="Q29" s="296"/>
      <c r="V29" s="296"/>
      <c r="W29" s="296"/>
      <c r="X29" s="296"/>
      <c r="Y29" s="296"/>
      <c r="Z29" s="296"/>
      <c r="AA29" s="296"/>
      <c r="AB29" s="296"/>
      <c r="AC29" s="296"/>
      <c r="AD29" s="15"/>
    </row>
    <row r="30" spans="1:30" ht="14.4" customHeight="1" x14ac:dyDescent="0.55000000000000004">
      <c r="A30" s="305"/>
      <c r="B30" s="288"/>
      <c r="C30" s="287"/>
      <c r="D30" s="287"/>
      <c r="E30" s="287"/>
      <c r="F30" s="296"/>
      <c r="G30" s="296"/>
      <c r="H30" s="296"/>
      <c r="I30" s="281"/>
      <c r="J30" s="281"/>
      <c r="K30" s="296"/>
      <c r="L30" s="296"/>
      <c r="M30" s="296"/>
      <c r="N30" s="296"/>
      <c r="O30" s="296"/>
      <c r="P30" s="281"/>
      <c r="Q30" s="296"/>
      <c r="AD30" s="15"/>
    </row>
    <row r="31" spans="1:30" x14ac:dyDescent="0.55000000000000004">
      <c r="A31" s="305"/>
      <c r="B31" s="279" t="s">
        <v>222</v>
      </c>
      <c r="C31" s="280"/>
      <c r="D31" s="280"/>
      <c r="E31" s="280"/>
      <c r="F31" s="280"/>
      <c r="G31" s="280"/>
      <c r="H31" s="280"/>
      <c r="I31" s="280"/>
      <c r="J31" s="281"/>
      <c r="K31" s="296"/>
      <c r="L31" s="296"/>
      <c r="M31" s="296"/>
      <c r="N31" s="296"/>
      <c r="O31" s="296"/>
      <c r="P31" s="281"/>
      <c r="Q31" s="296"/>
      <c r="AD31" s="15"/>
    </row>
    <row r="32" spans="1:30" x14ac:dyDescent="0.55000000000000004">
      <c r="A32" s="305"/>
      <c r="B32" s="279"/>
      <c r="C32" s="280"/>
      <c r="D32" s="280"/>
      <c r="E32" s="280"/>
      <c r="F32" s="280"/>
      <c r="G32" s="280"/>
      <c r="H32" s="280"/>
      <c r="I32" s="280"/>
      <c r="J32" s="281"/>
      <c r="K32" s="296"/>
      <c r="L32" s="296"/>
      <c r="M32" s="296"/>
      <c r="N32" s="296"/>
      <c r="O32" s="296"/>
      <c r="P32" s="281"/>
      <c r="Q32" s="296"/>
      <c r="AD32" s="15"/>
    </row>
    <row r="33" spans="1:30" x14ac:dyDescent="0.55000000000000004">
      <c r="A33" s="305"/>
      <c r="B33" s="279"/>
      <c r="C33" s="280"/>
      <c r="D33" s="280"/>
      <c r="E33" s="280"/>
      <c r="F33" s="280"/>
      <c r="G33" s="280"/>
      <c r="H33" s="280"/>
      <c r="I33" s="280"/>
      <c r="J33" s="281"/>
      <c r="K33" s="296"/>
      <c r="L33" s="296"/>
      <c r="M33" s="296"/>
      <c r="N33" s="296"/>
      <c r="O33" s="296"/>
      <c r="P33" s="281"/>
      <c r="Q33" s="296"/>
      <c r="V33" s="296"/>
      <c r="W33" s="296"/>
      <c r="X33" s="296"/>
      <c r="Y33" s="296"/>
      <c r="Z33" s="296"/>
      <c r="AA33" s="296"/>
      <c r="AB33" s="296"/>
      <c r="AC33" s="296"/>
      <c r="AD33" s="15"/>
    </row>
    <row r="34" spans="1:30" x14ac:dyDescent="0.55000000000000004">
      <c r="A34" s="305"/>
      <c r="B34" s="279"/>
      <c r="C34" s="280"/>
      <c r="D34" s="280"/>
      <c r="E34" s="280"/>
      <c r="F34" s="280"/>
      <c r="G34" s="280"/>
      <c r="H34" s="280"/>
      <c r="I34" s="280"/>
      <c r="J34" s="281"/>
      <c r="K34" s="296"/>
      <c r="L34" s="296"/>
      <c r="M34" s="296"/>
      <c r="N34" s="296"/>
      <c r="O34" s="296"/>
      <c r="P34" s="281"/>
      <c r="Q34" s="296"/>
      <c r="V34" s="296"/>
      <c r="W34" s="296"/>
      <c r="X34" s="296"/>
      <c r="Y34" s="296"/>
      <c r="Z34" s="296"/>
      <c r="AA34" s="296"/>
      <c r="AB34" s="296"/>
      <c r="AC34" s="296"/>
      <c r="AD34" s="15"/>
    </row>
    <row r="35" spans="1:30" ht="14.4" customHeight="1" x14ac:dyDescent="0.55000000000000004">
      <c r="A35" s="305"/>
      <c r="B35" s="279"/>
      <c r="C35" s="280"/>
      <c r="D35" s="280"/>
      <c r="E35" s="280"/>
      <c r="F35" s="280"/>
      <c r="G35" s="280"/>
      <c r="H35" s="280"/>
      <c r="I35" s="280"/>
      <c r="J35" s="281"/>
      <c r="K35" s="280" t="s">
        <v>224</v>
      </c>
      <c r="L35" s="280"/>
      <c r="M35" s="280"/>
      <c r="N35" s="280"/>
      <c r="O35" s="280"/>
      <c r="P35" s="280"/>
      <c r="Q35" s="280"/>
      <c r="R35" s="280"/>
      <c r="S35" s="280"/>
      <c r="T35" s="280"/>
      <c r="V35" s="296"/>
      <c r="W35" s="296"/>
      <c r="X35" s="296"/>
      <c r="Y35" s="296"/>
      <c r="Z35" s="296"/>
      <c r="AA35" s="296"/>
      <c r="AB35" s="296"/>
      <c r="AC35" s="296"/>
      <c r="AD35" s="15"/>
    </row>
    <row r="36" spans="1:30" x14ac:dyDescent="0.55000000000000004">
      <c r="A36" s="305"/>
      <c r="B36" s="289"/>
      <c r="C36" s="290"/>
      <c r="D36" s="290"/>
      <c r="E36" s="290"/>
      <c r="F36" s="290"/>
      <c r="G36" s="290"/>
      <c r="H36" s="290"/>
      <c r="I36" s="290"/>
      <c r="J36" s="281"/>
      <c r="K36" s="280"/>
      <c r="L36" s="280"/>
      <c r="M36" s="280"/>
      <c r="N36" s="280"/>
      <c r="O36" s="280"/>
      <c r="P36" s="280"/>
      <c r="Q36" s="280"/>
      <c r="R36" s="280"/>
      <c r="S36" s="280"/>
      <c r="T36" s="280"/>
      <c r="U36" s="296"/>
      <c r="V36" s="296"/>
      <c r="W36" s="296"/>
      <c r="X36" s="296"/>
      <c r="Y36" s="296"/>
      <c r="Z36" s="296"/>
      <c r="AA36" s="296"/>
      <c r="AB36" s="296"/>
      <c r="AC36" s="296"/>
      <c r="AD36" s="15"/>
    </row>
    <row r="37" spans="1:30" x14ac:dyDescent="0.55000000000000004">
      <c r="A37" s="305"/>
      <c r="B37" s="289"/>
      <c r="C37" s="290"/>
      <c r="D37" s="290"/>
      <c r="E37" s="290"/>
      <c r="F37" s="290"/>
      <c r="G37" s="290"/>
      <c r="H37" s="290"/>
      <c r="I37" s="290"/>
      <c r="J37" s="281"/>
      <c r="K37" s="280"/>
      <c r="L37" s="280"/>
      <c r="M37" s="280"/>
      <c r="N37" s="280"/>
      <c r="O37" s="280"/>
      <c r="P37" s="280"/>
      <c r="Q37" s="280"/>
      <c r="R37" s="280"/>
      <c r="S37" s="280"/>
      <c r="T37" s="280"/>
      <c r="V37" s="296"/>
      <c r="W37" s="296"/>
      <c r="X37" s="296"/>
      <c r="Y37" s="296"/>
      <c r="Z37" s="296"/>
      <c r="AA37" s="296"/>
      <c r="AB37" s="296"/>
      <c r="AC37" s="296"/>
      <c r="AD37" s="15"/>
    </row>
    <row r="38" spans="1:30" x14ac:dyDescent="0.55000000000000004">
      <c r="A38" s="305"/>
      <c r="B38" s="289"/>
      <c r="C38" s="290"/>
      <c r="D38" s="290"/>
      <c r="E38" s="290"/>
      <c r="F38" s="290"/>
      <c r="G38" s="290"/>
      <c r="H38" s="290"/>
      <c r="I38" s="290"/>
      <c r="J38" s="281"/>
      <c r="T38" s="296"/>
      <c r="V38" s="281"/>
      <c r="W38" s="281"/>
      <c r="X38" s="281"/>
      <c r="Y38" s="281"/>
      <c r="Z38" s="281"/>
      <c r="AA38" s="281"/>
      <c r="AB38" s="296"/>
      <c r="AC38" s="296"/>
      <c r="AD38" s="15"/>
    </row>
    <row r="39" spans="1:30" ht="20.399999999999999" x14ac:dyDescent="0.75">
      <c r="A39" s="305"/>
      <c r="B39" s="294"/>
      <c r="C39" s="293"/>
      <c r="D39" s="293"/>
      <c r="E39" s="293"/>
      <c r="F39" s="293"/>
      <c r="G39" s="293"/>
      <c r="H39" s="293"/>
      <c r="I39" s="293"/>
      <c r="J39" s="281"/>
      <c r="T39" s="296"/>
      <c r="V39" s="281"/>
      <c r="W39" s="281"/>
      <c r="X39" s="281"/>
      <c r="Y39" s="281"/>
      <c r="Z39" s="281"/>
      <c r="AA39" s="281"/>
      <c r="AB39" s="296"/>
      <c r="AC39" s="296"/>
      <c r="AD39" s="15"/>
    </row>
    <row r="40" spans="1:30" x14ac:dyDescent="0.55000000000000004">
      <c r="A40" s="305"/>
      <c r="B40" s="291"/>
      <c r="C40" s="292"/>
      <c r="D40" s="292"/>
      <c r="E40" s="292"/>
      <c r="F40" s="292"/>
      <c r="G40" s="292"/>
      <c r="H40" s="292"/>
      <c r="I40" s="292"/>
      <c r="J40" s="281"/>
      <c r="K40" s="292"/>
      <c r="L40" s="292"/>
      <c r="M40" s="292"/>
      <c r="N40" s="292"/>
      <c r="O40" s="292"/>
      <c r="P40" s="292"/>
      <c r="Q40" s="292"/>
      <c r="R40" s="292"/>
      <c r="S40" s="292"/>
      <c r="T40" s="296"/>
      <c r="U40" s="296"/>
      <c r="V40" s="281"/>
      <c r="W40" s="281"/>
      <c r="X40" s="281"/>
      <c r="Y40" s="281"/>
      <c r="Z40" s="281"/>
      <c r="AA40" s="281"/>
      <c r="AB40" s="296"/>
      <c r="AC40" s="296"/>
      <c r="AD40" s="15"/>
    </row>
    <row r="41" spans="1:30" ht="20.399999999999999" x14ac:dyDescent="0.75">
      <c r="A41" s="305"/>
      <c r="B41" s="291"/>
      <c r="C41" s="292"/>
      <c r="D41" s="292"/>
      <c r="E41" s="292"/>
      <c r="F41" s="292"/>
      <c r="G41" s="292"/>
      <c r="H41" s="292"/>
      <c r="I41" s="292"/>
      <c r="J41" s="281"/>
      <c r="K41" s="293"/>
      <c r="L41" s="293"/>
      <c r="M41" s="293"/>
      <c r="N41" s="293"/>
      <c r="O41" s="293"/>
      <c r="P41" s="293"/>
      <c r="Q41" s="293"/>
      <c r="R41" s="293"/>
      <c r="S41" s="293"/>
      <c r="T41" s="296"/>
      <c r="U41" s="296"/>
      <c r="V41" s="281"/>
      <c r="W41" s="281"/>
      <c r="X41" s="281"/>
      <c r="Y41" s="281"/>
      <c r="Z41" s="281"/>
      <c r="AA41" s="281"/>
      <c r="AB41" s="296"/>
      <c r="AC41" s="296"/>
      <c r="AD41" s="15"/>
    </row>
    <row r="42" spans="1:30" x14ac:dyDescent="0.55000000000000004">
      <c r="A42" s="305"/>
      <c r="B42" s="291"/>
      <c r="C42" s="292"/>
      <c r="D42" s="292"/>
      <c r="E42" s="292"/>
      <c r="F42" s="292"/>
      <c r="G42" s="292"/>
      <c r="H42" s="292"/>
      <c r="I42" s="292"/>
      <c r="J42" s="281"/>
      <c r="K42" s="290"/>
      <c r="L42" s="290"/>
      <c r="M42" s="290"/>
      <c r="N42" s="290"/>
      <c r="O42" s="290"/>
      <c r="P42" s="290"/>
      <c r="Q42" s="290"/>
      <c r="R42" s="290"/>
      <c r="S42" s="290"/>
      <c r="T42" s="296"/>
      <c r="U42" s="296"/>
      <c r="V42" s="281"/>
      <c r="W42" s="281"/>
      <c r="X42" s="281"/>
      <c r="Y42" s="281"/>
      <c r="Z42" s="281"/>
      <c r="AA42" s="281"/>
      <c r="AB42" s="296"/>
      <c r="AC42" s="296"/>
      <c r="AD42" s="15"/>
    </row>
    <row r="43" spans="1:30" x14ac:dyDescent="0.55000000000000004">
      <c r="A43" s="305"/>
      <c r="B43" s="291"/>
      <c r="C43" s="292"/>
      <c r="D43" s="292"/>
      <c r="E43" s="292"/>
      <c r="F43" s="292"/>
      <c r="G43" s="292"/>
      <c r="H43" s="292"/>
      <c r="I43" s="292"/>
      <c r="J43" s="296"/>
      <c r="K43" s="290"/>
      <c r="L43" s="290"/>
      <c r="M43" s="290"/>
      <c r="N43" s="290"/>
      <c r="O43" s="290"/>
      <c r="P43" s="290"/>
      <c r="Q43" s="290"/>
      <c r="R43" s="290"/>
      <c r="S43" s="290"/>
      <c r="T43" s="296"/>
      <c r="U43" s="296"/>
      <c r="V43" s="281"/>
      <c r="W43" s="281"/>
      <c r="X43" s="281"/>
      <c r="Y43" s="281"/>
      <c r="Z43" s="281"/>
      <c r="AA43" s="281"/>
      <c r="AB43" s="296"/>
      <c r="AC43" s="296"/>
      <c r="AD43" s="15"/>
    </row>
    <row r="44" spans="1:30" x14ac:dyDescent="0.55000000000000004">
      <c r="A44" s="305"/>
      <c r="B44" s="298"/>
      <c r="C44" s="296"/>
      <c r="D44" s="296"/>
      <c r="E44" s="296"/>
      <c r="F44" s="296"/>
      <c r="G44" s="296"/>
      <c r="H44" s="296"/>
      <c r="I44" s="296"/>
      <c r="J44" s="296"/>
      <c r="K44" s="290"/>
      <c r="L44" s="290"/>
      <c r="M44" s="290"/>
      <c r="N44" s="290"/>
      <c r="O44" s="290"/>
      <c r="P44" s="290"/>
      <c r="Q44" s="290"/>
      <c r="R44" s="290"/>
      <c r="S44" s="290"/>
      <c r="T44" s="296"/>
      <c r="U44" s="296"/>
      <c r="V44" s="281"/>
      <c r="W44" s="281"/>
      <c r="X44" s="281"/>
      <c r="Y44" s="281"/>
      <c r="Z44" s="281"/>
      <c r="AA44" s="281"/>
      <c r="AB44" s="296"/>
      <c r="AC44" s="296"/>
      <c r="AD44" s="15"/>
    </row>
    <row r="45" spans="1:30" ht="20.399999999999999" x14ac:dyDescent="0.75">
      <c r="A45" s="305"/>
      <c r="B45" s="288"/>
      <c r="C45" s="287"/>
      <c r="D45" s="287"/>
      <c r="E45" s="287"/>
      <c r="F45" s="296"/>
      <c r="G45" s="296"/>
      <c r="H45" s="296"/>
      <c r="I45" s="281"/>
      <c r="J45" s="281"/>
      <c r="K45" s="293"/>
      <c r="L45" s="293"/>
      <c r="M45" s="293"/>
      <c r="N45" s="293"/>
      <c r="O45" s="293"/>
      <c r="P45" s="293"/>
      <c r="Q45" s="293"/>
      <c r="R45" s="293"/>
      <c r="S45" s="293"/>
      <c r="T45" s="281"/>
      <c r="U45" s="281"/>
      <c r="V45" s="281"/>
      <c r="W45" s="281"/>
      <c r="X45" s="281"/>
      <c r="Y45" s="281"/>
      <c r="Z45" s="281"/>
      <c r="AA45" s="281"/>
      <c r="AB45" s="296"/>
      <c r="AC45" s="296"/>
      <c r="AD45" s="15"/>
    </row>
    <row r="46" spans="1:30" x14ac:dyDescent="0.55000000000000004">
      <c r="A46" s="305"/>
      <c r="B46" s="299" t="s">
        <v>221</v>
      </c>
      <c r="C46" s="300"/>
      <c r="D46" s="300"/>
      <c r="E46" s="300"/>
      <c r="F46" s="300"/>
      <c r="G46" s="300"/>
      <c r="H46" s="300"/>
      <c r="I46" s="300"/>
      <c r="J46" s="281"/>
      <c r="K46" s="292"/>
      <c r="L46" s="292"/>
      <c r="M46" s="292"/>
      <c r="N46" s="292"/>
      <c r="O46" s="292"/>
      <c r="P46" s="292"/>
      <c r="Q46" s="292"/>
      <c r="R46" s="292"/>
      <c r="S46" s="292"/>
      <c r="T46" s="281"/>
      <c r="U46" s="281"/>
      <c r="V46" s="281"/>
      <c r="W46" s="281"/>
      <c r="X46" s="281"/>
      <c r="Y46" s="281"/>
      <c r="Z46" s="281"/>
      <c r="AA46" s="281"/>
      <c r="AB46" s="296"/>
      <c r="AC46" s="296"/>
      <c r="AD46" s="15"/>
    </row>
    <row r="47" spans="1:30" x14ac:dyDescent="0.55000000000000004">
      <c r="A47" s="305"/>
      <c r="B47" s="299"/>
      <c r="C47" s="300"/>
      <c r="D47" s="300"/>
      <c r="E47" s="300"/>
      <c r="F47" s="300"/>
      <c r="G47" s="300"/>
      <c r="H47" s="300"/>
      <c r="I47" s="300"/>
      <c r="J47" s="281"/>
      <c r="K47" s="292"/>
      <c r="L47" s="292"/>
      <c r="M47" s="292"/>
      <c r="N47" s="292"/>
      <c r="O47" s="292"/>
      <c r="P47" s="292"/>
      <c r="Q47" s="292"/>
      <c r="R47" s="292"/>
      <c r="S47" s="292"/>
      <c r="T47" s="281"/>
      <c r="U47" s="281"/>
      <c r="V47" s="281"/>
      <c r="W47" s="281"/>
      <c r="X47" s="281"/>
      <c r="Y47" s="281"/>
      <c r="Z47" s="281"/>
      <c r="AA47" s="281"/>
      <c r="AB47" s="296"/>
      <c r="AC47" s="296"/>
      <c r="AD47" s="15"/>
    </row>
    <row r="48" spans="1:30" x14ac:dyDescent="0.55000000000000004">
      <c r="A48" s="305"/>
      <c r="B48" s="298"/>
      <c r="C48" s="296"/>
      <c r="D48" s="296"/>
      <c r="E48" s="296"/>
      <c r="F48" s="296"/>
      <c r="G48" s="296"/>
      <c r="H48" s="296"/>
      <c r="I48" s="296"/>
      <c r="J48" s="281"/>
      <c r="K48" s="292"/>
      <c r="L48" s="292"/>
      <c r="M48" s="292"/>
      <c r="N48" s="292"/>
      <c r="O48" s="292"/>
      <c r="P48" s="292"/>
      <c r="Q48" s="292"/>
      <c r="R48" s="292"/>
      <c r="S48" s="292"/>
      <c r="T48" s="281"/>
      <c r="U48" s="281"/>
      <c r="V48" s="281"/>
      <c r="W48" s="281"/>
      <c r="X48" s="281"/>
      <c r="Y48" s="281"/>
      <c r="Z48" s="281"/>
      <c r="AA48" s="281"/>
      <c r="AB48" s="296"/>
      <c r="AC48" s="296"/>
      <c r="AD48" s="15"/>
    </row>
    <row r="49" spans="1:30" x14ac:dyDescent="0.55000000000000004">
      <c r="A49" s="305"/>
      <c r="B49" s="298"/>
      <c r="C49" s="296"/>
      <c r="D49" s="296"/>
      <c r="E49" s="296"/>
      <c r="F49" s="296"/>
      <c r="G49" s="296"/>
      <c r="H49" s="296"/>
      <c r="I49" s="296"/>
      <c r="J49" s="281"/>
      <c r="K49" s="292"/>
      <c r="L49" s="292"/>
      <c r="M49" s="292"/>
      <c r="N49" s="292"/>
      <c r="O49" s="292"/>
      <c r="P49" s="292"/>
      <c r="Q49" s="292"/>
      <c r="R49" s="292"/>
      <c r="S49" s="292"/>
      <c r="T49" s="281"/>
      <c r="U49" s="281"/>
      <c r="V49" s="281"/>
      <c r="W49" s="281"/>
      <c r="X49" s="281"/>
      <c r="Y49" s="281"/>
      <c r="Z49" s="281"/>
      <c r="AA49" s="281"/>
      <c r="AB49" s="296"/>
      <c r="AC49" s="296"/>
      <c r="AD49" s="15"/>
    </row>
    <row r="50" spans="1:30" x14ac:dyDescent="0.55000000000000004">
      <c r="A50" s="305"/>
      <c r="B50" s="298"/>
      <c r="C50" s="296"/>
      <c r="D50" s="296"/>
      <c r="E50" s="296"/>
      <c r="F50" s="296"/>
      <c r="G50" s="296"/>
      <c r="H50" s="296"/>
      <c r="I50" s="296"/>
      <c r="J50" s="281"/>
      <c r="K50" s="296"/>
      <c r="L50" s="296"/>
      <c r="M50" s="296"/>
      <c r="N50" s="296"/>
      <c r="O50" s="296"/>
      <c r="P50" s="296"/>
      <c r="Q50" s="296"/>
      <c r="R50" s="296"/>
      <c r="S50" s="296"/>
      <c r="T50" s="281"/>
      <c r="U50" s="281"/>
      <c r="AD50" s="15"/>
    </row>
    <row r="51" spans="1:30" x14ac:dyDescent="0.55000000000000004">
      <c r="A51" s="305"/>
      <c r="B51" s="298"/>
      <c r="C51" s="296"/>
      <c r="D51" s="296"/>
      <c r="E51" s="296"/>
      <c r="F51" s="296"/>
      <c r="G51" s="296"/>
      <c r="H51" s="296"/>
      <c r="I51" s="296"/>
      <c r="J51" s="281"/>
      <c r="K51" s="296"/>
      <c r="L51" s="296"/>
      <c r="M51" s="296"/>
      <c r="N51" s="296"/>
      <c r="O51" s="296"/>
      <c r="P51" s="296"/>
      <c r="Q51" s="296"/>
      <c r="R51" s="296"/>
      <c r="S51" s="296"/>
      <c r="T51" s="281"/>
      <c r="U51" s="281"/>
      <c r="AD51" s="15"/>
    </row>
    <row r="52" spans="1:30" x14ac:dyDescent="0.55000000000000004">
      <c r="A52" s="305"/>
      <c r="B52" s="298"/>
      <c r="C52" s="296"/>
      <c r="D52" s="296"/>
      <c r="E52" s="296"/>
      <c r="F52" s="296"/>
      <c r="G52" s="296"/>
      <c r="H52" s="296"/>
      <c r="I52" s="296"/>
      <c r="J52" s="281"/>
      <c r="K52" s="296"/>
      <c r="L52" s="296"/>
      <c r="M52" s="296"/>
      <c r="N52" s="296"/>
      <c r="O52" s="296"/>
      <c r="P52" s="296"/>
      <c r="Q52" s="296"/>
      <c r="R52" s="296"/>
      <c r="S52" s="296"/>
      <c r="T52" s="281"/>
      <c r="U52" s="281"/>
      <c r="AD52" s="15"/>
    </row>
    <row r="53" spans="1:30" x14ac:dyDescent="0.55000000000000004">
      <c r="A53" s="305"/>
      <c r="B53" s="298"/>
      <c r="C53" s="296"/>
      <c r="D53" s="296"/>
      <c r="E53" s="296"/>
      <c r="F53" s="296"/>
      <c r="G53" s="296"/>
      <c r="H53" s="296"/>
      <c r="I53" s="296"/>
      <c r="J53" s="281"/>
      <c r="K53" s="296"/>
      <c r="L53" s="296"/>
      <c r="M53" s="296"/>
      <c r="N53" s="296"/>
      <c r="O53" s="296"/>
      <c r="P53" s="296"/>
      <c r="Q53" s="296"/>
      <c r="R53" s="296"/>
      <c r="S53" s="296"/>
      <c r="T53" s="281"/>
      <c r="U53" s="281"/>
      <c r="AD53" s="15"/>
    </row>
    <row r="54" spans="1:30" x14ac:dyDescent="0.55000000000000004">
      <c r="A54" s="305"/>
      <c r="B54" s="298"/>
      <c r="C54" s="296"/>
      <c r="D54" s="296"/>
      <c r="E54" s="296"/>
      <c r="F54" s="296"/>
      <c r="G54" s="296"/>
      <c r="H54" s="296"/>
      <c r="I54" s="296"/>
      <c r="J54" s="281"/>
      <c r="K54" s="296"/>
      <c r="L54" s="296"/>
      <c r="M54" s="296"/>
      <c r="N54" s="296"/>
      <c r="O54" s="296"/>
      <c r="P54" s="296"/>
      <c r="Q54" s="296"/>
      <c r="R54" s="296"/>
      <c r="S54" s="296"/>
      <c r="T54" s="281"/>
      <c r="U54" s="281"/>
      <c r="AD54" s="15"/>
    </row>
    <row r="55" spans="1:30" x14ac:dyDescent="0.55000000000000004">
      <c r="A55" s="305"/>
      <c r="B55" s="298"/>
      <c r="C55" s="296"/>
      <c r="D55" s="296"/>
      <c r="E55" s="296"/>
      <c r="F55" s="296"/>
      <c r="G55" s="296"/>
      <c r="H55" s="296"/>
      <c r="I55" s="296"/>
      <c r="J55" s="281"/>
      <c r="K55" s="296"/>
      <c r="L55" s="296"/>
      <c r="M55" s="296"/>
      <c r="N55" s="296"/>
      <c r="O55" s="296"/>
      <c r="P55" s="296"/>
      <c r="Q55" s="296"/>
      <c r="R55" s="296"/>
      <c r="S55" s="296"/>
      <c r="T55" s="281"/>
      <c r="U55" s="281"/>
      <c r="AD55" s="15"/>
    </row>
    <row r="56" spans="1:30" x14ac:dyDescent="0.55000000000000004">
      <c r="A56" s="305"/>
      <c r="B56" s="298"/>
      <c r="C56" s="296"/>
      <c r="D56" s="296"/>
      <c r="E56" s="296"/>
      <c r="F56" s="296"/>
      <c r="G56" s="296"/>
      <c r="H56" s="296"/>
      <c r="I56" s="296"/>
      <c r="J56" s="281"/>
      <c r="K56" s="296"/>
      <c r="L56" s="296"/>
      <c r="M56" s="296"/>
      <c r="N56" s="296"/>
      <c r="O56" s="296"/>
      <c r="P56" s="296"/>
      <c r="Q56" s="296"/>
      <c r="R56" s="296"/>
      <c r="S56" s="296"/>
      <c r="T56" s="281"/>
      <c r="U56" s="281"/>
      <c r="AD56" s="15"/>
    </row>
    <row r="57" spans="1:30" x14ac:dyDescent="0.55000000000000004">
      <c r="A57" s="305"/>
      <c r="B57" s="298"/>
      <c r="C57" s="296"/>
      <c r="D57" s="296"/>
      <c r="E57" s="296"/>
      <c r="F57" s="296"/>
      <c r="G57" s="296"/>
      <c r="H57" s="296"/>
      <c r="I57" s="296"/>
      <c r="J57" s="296"/>
      <c r="K57" s="296"/>
      <c r="L57" s="296"/>
      <c r="M57" s="296"/>
      <c r="N57" s="296"/>
      <c r="O57" s="296"/>
      <c r="P57" s="296"/>
      <c r="Q57" s="296"/>
      <c r="R57" s="296"/>
      <c r="S57" s="296"/>
      <c r="T57" s="296"/>
      <c r="U57" s="296"/>
      <c r="V57" s="296"/>
      <c r="W57" s="296"/>
      <c r="X57" s="296"/>
      <c r="Y57" s="296"/>
      <c r="Z57" s="296"/>
      <c r="AA57" s="296"/>
      <c r="AB57" s="296"/>
      <c r="AC57" s="296"/>
      <c r="AD57" s="15"/>
    </row>
    <row r="58" spans="1:30" ht="14.7" thickBot="1" x14ac:dyDescent="0.6">
      <c r="A58" s="310"/>
      <c r="B58" s="311"/>
      <c r="C58" s="306"/>
      <c r="D58" s="306"/>
      <c r="E58" s="306"/>
      <c r="F58" s="23"/>
      <c r="G58" s="23"/>
      <c r="H58" s="23"/>
      <c r="I58" s="23"/>
      <c r="J58" s="23"/>
      <c r="K58" s="23"/>
      <c r="L58" s="23"/>
      <c r="M58" s="23"/>
      <c r="N58" s="23"/>
      <c r="O58" s="23"/>
      <c r="P58" s="23"/>
      <c r="Q58" s="23"/>
      <c r="R58" s="23"/>
      <c r="S58" s="23"/>
      <c r="T58" s="23"/>
      <c r="U58" s="23"/>
      <c r="V58" s="23"/>
      <c r="W58" s="23"/>
      <c r="X58" s="23"/>
      <c r="Y58" s="23"/>
      <c r="Z58" s="23"/>
      <c r="AA58" s="23"/>
      <c r="AB58" s="23"/>
      <c r="AC58" s="23"/>
      <c r="AD58" s="307"/>
    </row>
    <row r="59" spans="1:30" x14ac:dyDescent="0.55000000000000004">
      <c r="B59" s="288"/>
      <c r="C59" s="287"/>
      <c r="D59" s="287"/>
      <c r="E59" s="287"/>
      <c r="F59" s="296"/>
      <c r="G59" s="296"/>
      <c r="H59" s="296"/>
      <c r="I59" s="296"/>
      <c r="J59" s="296"/>
      <c r="K59" s="296"/>
      <c r="L59" s="296"/>
      <c r="M59" s="296"/>
      <c r="N59" s="296"/>
      <c r="O59" s="296"/>
      <c r="P59" s="296"/>
      <c r="Q59" s="296"/>
      <c r="R59" s="296"/>
      <c r="S59" s="296"/>
      <c r="T59" s="296"/>
      <c r="U59" s="296"/>
      <c r="V59" s="296"/>
      <c r="W59" s="296"/>
      <c r="X59" s="296"/>
      <c r="Y59" s="296"/>
      <c r="Z59" s="296"/>
      <c r="AA59" s="296"/>
      <c r="AB59" s="296"/>
      <c r="AC59" s="296"/>
      <c r="AD59" s="297"/>
    </row>
    <row r="60" spans="1:30" x14ac:dyDescent="0.55000000000000004">
      <c r="B60" s="288"/>
      <c r="C60" s="287"/>
      <c r="D60" s="287"/>
      <c r="E60" s="287"/>
      <c r="F60" s="296"/>
      <c r="G60" s="296"/>
      <c r="H60" s="296"/>
      <c r="I60" s="296"/>
      <c r="J60" s="296"/>
      <c r="K60" s="296"/>
      <c r="L60" s="296"/>
      <c r="M60" s="296"/>
      <c r="N60" s="296"/>
      <c r="O60" s="296"/>
      <c r="P60" s="296"/>
      <c r="Q60" s="296"/>
      <c r="R60" s="296"/>
      <c r="S60" s="296"/>
      <c r="T60" s="296"/>
      <c r="U60" s="296"/>
      <c r="V60" s="296"/>
      <c r="W60" s="296"/>
      <c r="X60" s="296"/>
      <c r="Y60" s="296"/>
      <c r="Z60" s="296"/>
      <c r="AA60" s="296"/>
      <c r="AB60" s="296"/>
      <c r="AC60" s="296"/>
      <c r="AD60" s="297"/>
    </row>
    <row r="61" spans="1:30" x14ac:dyDescent="0.55000000000000004">
      <c r="B61" s="288"/>
      <c r="C61" s="287"/>
      <c r="D61" s="287"/>
      <c r="E61" s="287"/>
      <c r="F61" s="296"/>
      <c r="G61" s="296"/>
      <c r="H61" s="296"/>
      <c r="I61" s="296"/>
      <c r="J61" s="296"/>
      <c r="K61" s="296"/>
      <c r="L61" s="296"/>
      <c r="M61" s="296"/>
      <c r="N61" s="296"/>
      <c r="O61" s="296"/>
      <c r="P61" s="296"/>
      <c r="Q61" s="296"/>
      <c r="R61" s="296"/>
      <c r="S61" s="296"/>
      <c r="T61" s="296"/>
      <c r="U61" s="296"/>
      <c r="V61" s="296"/>
      <c r="W61" s="296"/>
      <c r="X61" s="296"/>
      <c r="Y61" s="296"/>
      <c r="Z61" s="296"/>
      <c r="AA61" s="296"/>
      <c r="AB61" s="296"/>
      <c r="AC61" s="296"/>
      <c r="AD61" s="297"/>
    </row>
    <row r="62" spans="1:30" ht="14.7" thickBot="1" x14ac:dyDescent="0.6">
      <c r="B62" s="301"/>
      <c r="C62" s="302"/>
      <c r="D62" s="303"/>
      <c r="E62" s="303"/>
      <c r="F62" s="303"/>
      <c r="G62" s="303"/>
      <c r="H62" s="303"/>
      <c r="I62" s="303"/>
      <c r="J62" s="303"/>
      <c r="K62" s="303"/>
      <c r="L62" s="303"/>
      <c r="M62" s="303"/>
      <c r="N62" s="303"/>
      <c r="O62" s="303"/>
      <c r="P62" s="303"/>
      <c r="Q62" s="303"/>
      <c r="R62" s="303"/>
      <c r="S62" s="303"/>
      <c r="T62" s="303"/>
      <c r="U62" s="303"/>
      <c r="V62" s="303"/>
      <c r="W62" s="303"/>
      <c r="X62" s="303"/>
      <c r="Y62" s="303"/>
      <c r="Z62" s="303"/>
      <c r="AA62" s="303"/>
      <c r="AB62" s="303"/>
      <c r="AC62" s="303"/>
      <c r="AD62" s="304"/>
    </row>
  </sheetData>
  <mergeCells count="17">
    <mergeCell ref="B46:I47"/>
    <mergeCell ref="A4:AD4"/>
    <mergeCell ref="B17:I20"/>
    <mergeCell ref="K35:T37"/>
    <mergeCell ref="K16:T17"/>
    <mergeCell ref="B31:I35"/>
    <mergeCell ref="B1:AD3"/>
    <mergeCell ref="B5:AD5"/>
    <mergeCell ref="B6:C6"/>
    <mergeCell ref="C7:H7"/>
    <mergeCell ref="B10:D10"/>
    <mergeCell ref="E10:G10"/>
    <mergeCell ref="H10:K10"/>
    <mergeCell ref="B9:P9"/>
    <mergeCell ref="N10:Q10"/>
    <mergeCell ref="R10:U10"/>
    <mergeCell ref="V9:A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B2D72-E805-4F17-97F3-D604517C9D5F}">
  <sheetPr codeName="Sheet4">
    <tabColor theme="0" tint="-4.9989318521683403E-2"/>
  </sheetPr>
  <dimension ref="A1:BJ314"/>
  <sheetViews>
    <sheetView zoomScale="90" zoomScaleNormal="90" workbookViewId="0">
      <selection activeCell="B64" sqref="B64"/>
    </sheetView>
  </sheetViews>
  <sheetFormatPr defaultColWidth="8.83984375" defaultRowHeight="14.4" x14ac:dyDescent="0.55000000000000004"/>
  <cols>
    <col min="1" max="1" width="27.41796875" style="1" customWidth="1"/>
    <col min="2" max="2" width="14.578125" style="1" customWidth="1"/>
    <col min="3" max="3" width="14.41796875" style="1" bestFit="1" customWidth="1"/>
    <col min="4" max="4" width="13.41796875" style="1" bestFit="1" customWidth="1"/>
    <col min="5" max="5" width="12.15625" style="1" bestFit="1" customWidth="1"/>
    <col min="6" max="6" width="8.83984375" style="50"/>
    <col min="7" max="7" width="12.41796875" style="1" customWidth="1"/>
    <col min="8" max="8" width="11.41796875" style="1" bestFit="1" customWidth="1"/>
    <col min="9" max="9" width="11.83984375" style="1" bestFit="1" customWidth="1"/>
    <col min="10" max="10" width="10.15625" style="1" bestFit="1" customWidth="1"/>
    <col min="11" max="11" width="9.15625" style="1" bestFit="1" customWidth="1"/>
    <col min="12" max="17" width="10.578125" style="1" bestFit="1" customWidth="1"/>
    <col min="18" max="20" width="10" style="1" bestFit="1" customWidth="1"/>
    <col min="21" max="23" width="10.26171875" style="1" bestFit="1" customWidth="1"/>
    <col min="24" max="29" width="8.15625" style="1" bestFit="1" customWidth="1"/>
    <col min="30" max="34" width="8.83984375" style="1"/>
    <col min="35" max="59" width="8.578125" style="1" customWidth="1"/>
    <col min="60" max="60" width="8.83984375" style="1"/>
    <col min="61" max="61" width="17.578125" style="1" bestFit="1" customWidth="1"/>
    <col min="62" max="62" width="12.578125" style="1" bestFit="1" customWidth="1"/>
    <col min="63" max="16384" width="8.83984375" style="1"/>
  </cols>
  <sheetData>
    <row r="1" spans="1:62" s="32" customFormat="1" ht="28.8" x14ac:dyDescent="0.55000000000000004">
      <c r="A1" s="128"/>
      <c r="B1" s="220" t="s">
        <v>37</v>
      </c>
      <c r="C1" s="220"/>
      <c r="D1" s="220"/>
      <c r="E1" s="220"/>
      <c r="F1" s="220"/>
      <c r="G1" s="138" t="s">
        <v>38</v>
      </c>
      <c r="H1" s="220" t="s">
        <v>39</v>
      </c>
      <c r="I1" s="220"/>
      <c r="J1" s="220"/>
      <c r="K1" s="220"/>
      <c r="L1" s="220" t="s">
        <v>40</v>
      </c>
      <c r="M1" s="220"/>
      <c r="N1" s="220"/>
      <c r="O1" s="220"/>
      <c r="P1" s="220"/>
      <c r="Q1" s="220"/>
      <c r="R1" s="220" t="s">
        <v>41</v>
      </c>
      <c r="S1" s="220"/>
      <c r="T1" s="220"/>
      <c r="U1" s="220" t="s">
        <v>42</v>
      </c>
      <c r="V1" s="220"/>
      <c r="W1" s="220"/>
      <c r="X1" s="220" t="s">
        <v>43</v>
      </c>
      <c r="Y1" s="220"/>
      <c r="Z1" s="220"/>
      <c r="AA1" s="220"/>
      <c r="AB1" s="220"/>
      <c r="AC1" s="220"/>
      <c r="AD1" s="220" t="s">
        <v>44</v>
      </c>
      <c r="AE1" s="220"/>
      <c r="AF1" s="220"/>
      <c r="AG1" s="220"/>
      <c r="AH1" s="220"/>
      <c r="AI1" s="220"/>
      <c r="AJ1" s="220" t="s">
        <v>45</v>
      </c>
      <c r="AK1" s="220"/>
      <c r="AL1" s="220"/>
      <c r="AM1" s="220"/>
      <c r="AN1" s="220"/>
      <c r="AO1" s="220"/>
      <c r="AP1" s="220" t="s">
        <v>46</v>
      </c>
      <c r="AQ1" s="220"/>
      <c r="AR1" s="220"/>
      <c r="AS1" s="220"/>
      <c r="AT1" s="220"/>
      <c r="AU1" s="220"/>
      <c r="AV1" s="220" t="s">
        <v>47</v>
      </c>
      <c r="AW1" s="220"/>
      <c r="AX1" s="220"/>
      <c r="AY1" s="220"/>
      <c r="AZ1" s="220"/>
      <c r="BA1" s="220"/>
      <c r="BB1" s="220" t="s">
        <v>48</v>
      </c>
      <c r="BC1" s="220"/>
      <c r="BD1" s="220"/>
      <c r="BE1" s="220"/>
      <c r="BF1" s="220"/>
      <c r="BG1" s="220"/>
      <c r="BI1" s="220" t="s">
        <v>49</v>
      </c>
      <c r="BJ1" s="220"/>
    </row>
    <row r="2" spans="1:62" s="32" customFormat="1" ht="14.5" customHeight="1" x14ac:dyDescent="0.55000000000000004">
      <c r="A2" s="32" t="s">
        <v>50</v>
      </c>
      <c r="B2" s="34" t="s">
        <v>51</v>
      </c>
      <c r="C2" s="35" t="s">
        <v>52</v>
      </c>
      <c r="D2" s="36" t="s">
        <v>53</v>
      </c>
      <c r="E2" s="36" t="s">
        <v>54</v>
      </c>
      <c r="F2" s="31" t="s">
        <v>55</v>
      </c>
      <c r="G2" s="31" t="s">
        <v>56</v>
      </c>
      <c r="H2" s="33" t="s">
        <v>57</v>
      </c>
      <c r="I2" s="33" t="s">
        <v>58</v>
      </c>
      <c r="J2" s="33" t="s">
        <v>59</v>
      </c>
      <c r="K2" s="33" t="s">
        <v>60</v>
      </c>
      <c r="L2" s="31" t="s">
        <v>61</v>
      </c>
      <c r="M2" s="31" t="s">
        <v>62</v>
      </c>
      <c r="N2" s="31" t="s">
        <v>63</v>
      </c>
      <c r="O2" s="31" t="s">
        <v>64</v>
      </c>
      <c r="P2" s="31" t="s">
        <v>65</v>
      </c>
      <c r="Q2" s="31" t="s">
        <v>66</v>
      </c>
      <c r="R2" s="32" t="s">
        <v>67</v>
      </c>
      <c r="S2" s="32" t="s">
        <v>68</v>
      </c>
      <c r="T2" s="32" t="s">
        <v>69</v>
      </c>
      <c r="U2" s="32" t="s">
        <v>70</v>
      </c>
      <c r="V2" s="32" t="s">
        <v>71</v>
      </c>
      <c r="W2" s="32" t="s">
        <v>72</v>
      </c>
      <c r="X2" s="32" t="s">
        <v>73</v>
      </c>
      <c r="Y2" s="32" t="s">
        <v>74</v>
      </c>
      <c r="Z2" s="32" t="s">
        <v>75</v>
      </c>
      <c r="AA2" s="32" t="s">
        <v>76</v>
      </c>
      <c r="AB2" s="32" t="s">
        <v>77</v>
      </c>
      <c r="AC2" s="32" t="s">
        <v>78</v>
      </c>
      <c r="AD2" s="32" t="s">
        <v>79</v>
      </c>
      <c r="AE2" s="32" t="s">
        <v>80</v>
      </c>
      <c r="AF2" s="32" t="s">
        <v>81</v>
      </c>
      <c r="AG2" s="32" t="s">
        <v>82</v>
      </c>
      <c r="AH2" s="32" t="s">
        <v>83</v>
      </c>
      <c r="AI2" s="32" t="s">
        <v>84</v>
      </c>
      <c r="AJ2" s="32" t="s">
        <v>85</v>
      </c>
      <c r="AK2" s="32" t="s">
        <v>86</v>
      </c>
      <c r="AL2" s="32" t="s">
        <v>87</v>
      </c>
      <c r="AM2" s="32" t="s">
        <v>88</v>
      </c>
      <c r="AN2" s="32" t="s">
        <v>89</v>
      </c>
      <c r="AO2" s="32" t="s">
        <v>90</v>
      </c>
      <c r="AP2" s="32" t="s">
        <v>91</v>
      </c>
      <c r="AQ2" s="32" t="s">
        <v>92</v>
      </c>
      <c r="AR2" s="32" t="s">
        <v>93</v>
      </c>
      <c r="AS2" s="32" t="s">
        <v>94</v>
      </c>
      <c r="AT2" s="32" t="s">
        <v>95</v>
      </c>
      <c r="AU2" s="32" t="s">
        <v>96</v>
      </c>
      <c r="AV2" s="32" t="s">
        <v>97</v>
      </c>
      <c r="AW2" s="32" t="s">
        <v>98</v>
      </c>
      <c r="AX2" s="32" t="s">
        <v>99</v>
      </c>
      <c r="AY2" s="32" t="s">
        <v>100</v>
      </c>
      <c r="AZ2" s="32" t="s">
        <v>101</v>
      </c>
      <c r="BA2" s="32" t="s">
        <v>102</v>
      </c>
      <c r="BB2" s="32" t="s">
        <v>103</v>
      </c>
      <c r="BC2" s="32" t="s">
        <v>104</v>
      </c>
      <c r="BD2" s="32" t="s">
        <v>105</v>
      </c>
      <c r="BE2" s="32" t="s">
        <v>106</v>
      </c>
      <c r="BF2" s="32" t="s">
        <v>107</v>
      </c>
      <c r="BG2" s="32" t="s">
        <v>108</v>
      </c>
      <c r="BI2" s="32" t="s">
        <v>35</v>
      </c>
      <c r="BJ2" s="31" t="s">
        <v>55</v>
      </c>
    </row>
    <row r="3" spans="1:62" s="2" customFormat="1" x14ac:dyDescent="0.55000000000000004">
      <c r="A3" s="39" t="s">
        <v>111</v>
      </c>
      <c r="B3" s="40">
        <f>((3.733-3.8613)/3.74758)/(60-(-40))</f>
        <v>-3.4235426595296127E-4</v>
      </c>
      <c r="C3" s="40">
        <f>((0.02559-0.011038)/0.020222)/(60-(-40))</f>
        <v>7.1961230343190593E-3</v>
      </c>
      <c r="D3" s="41">
        <v>4.0400000000000002E-3</v>
      </c>
      <c r="E3" s="41">
        <v>59600000</v>
      </c>
      <c r="F3" s="51" t="s">
        <v>109</v>
      </c>
      <c r="G3" s="42">
        <v>25</v>
      </c>
      <c r="H3" s="42">
        <v>120</v>
      </c>
      <c r="I3" s="42">
        <v>17</v>
      </c>
      <c r="J3" s="42">
        <v>100</v>
      </c>
      <c r="K3" s="42">
        <v>120</v>
      </c>
      <c r="L3" s="43">
        <v>1</v>
      </c>
      <c r="M3" s="44">
        <v>3</v>
      </c>
      <c r="N3" s="43">
        <v>5</v>
      </c>
      <c r="O3" s="43">
        <v>10</v>
      </c>
      <c r="P3" s="43">
        <v>15</v>
      </c>
      <c r="Q3" s="43">
        <v>20</v>
      </c>
      <c r="R3" s="45">
        <v>122</v>
      </c>
      <c r="S3" s="45">
        <v>127</v>
      </c>
      <c r="T3" s="45">
        <v>140</v>
      </c>
      <c r="U3" s="46">
        <v>0.53</v>
      </c>
      <c r="V3" s="46">
        <v>0.55000000000000004</v>
      </c>
      <c r="W3" s="46">
        <v>0.57999999999999996</v>
      </c>
      <c r="X3" s="47">
        <v>4.05</v>
      </c>
      <c r="Y3" s="47">
        <v>4.04</v>
      </c>
      <c r="Z3" s="47">
        <v>4.01</v>
      </c>
      <c r="AA3" s="47">
        <v>3.96</v>
      </c>
      <c r="AB3" s="47">
        <v>3.93</v>
      </c>
      <c r="AC3" s="47">
        <v>3.9</v>
      </c>
      <c r="AD3" s="47">
        <v>3.98</v>
      </c>
      <c r="AE3" s="47">
        <v>3.97</v>
      </c>
      <c r="AF3" s="47">
        <v>3.94</v>
      </c>
      <c r="AG3" s="47">
        <v>3.9</v>
      </c>
      <c r="AH3" s="47">
        <v>3.87</v>
      </c>
      <c r="AI3" s="47">
        <v>3.84</v>
      </c>
      <c r="AJ3" s="47">
        <v>3.89</v>
      </c>
      <c r="AK3" s="47">
        <v>3.88</v>
      </c>
      <c r="AL3" s="47">
        <v>3.85</v>
      </c>
      <c r="AM3" s="47">
        <v>3.81</v>
      </c>
      <c r="AN3" s="47">
        <v>3.78</v>
      </c>
      <c r="AO3" s="47">
        <v>3.75</v>
      </c>
      <c r="AP3" s="48">
        <v>5.4000000000000003E-3</v>
      </c>
      <c r="AQ3" s="48">
        <v>5.5999999999999999E-3</v>
      </c>
      <c r="AR3" s="48">
        <v>6.1000000000000004E-3</v>
      </c>
      <c r="AS3" s="48">
        <v>6.8999999999999999E-3</v>
      </c>
      <c r="AT3" s="48">
        <v>7.4999999999999997E-3</v>
      </c>
      <c r="AU3" s="48">
        <v>8.0999999999999996E-3</v>
      </c>
      <c r="AV3" s="48">
        <v>5.4000000000000003E-3</v>
      </c>
      <c r="AW3" s="48">
        <v>5.5999999999999999E-3</v>
      </c>
      <c r="AX3" s="48">
        <v>6.1000000000000004E-3</v>
      </c>
      <c r="AY3" s="48">
        <v>6.8999999999999999E-3</v>
      </c>
      <c r="AZ3" s="48">
        <v>7.4999999999999997E-3</v>
      </c>
      <c r="BA3" s="48">
        <v>8.0999999999999996E-3</v>
      </c>
      <c r="BB3" s="48">
        <v>5.4000000000000003E-3</v>
      </c>
      <c r="BC3" s="48">
        <v>5.5999999999999999E-3</v>
      </c>
      <c r="BD3" s="48">
        <v>6.1000000000000004E-3</v>
      </c>
      <c r="BE3" s="48">
        <v>7.0000000000000001E-3</v>
      </c>
      <c r="BF3" s="48">
        <v>7.6E-3</v>
      </c>
      <c r="BG3" s="48">
        <v>8.0999999999999996E-3</v>
      </c>
      <c r="BI3" s="160" t="s">
        <v>110</v>
      </c>
      <c r="BJ3" s="42">
        <f>6*1.1/7.6</f>
        <v>0.86842105263157909</v>
      </c>
    </row>
    <row r="4" spans="1:62" s="2" customFormat="1" x14ac:dyDescent="0.55000000000000004">
      <c r="A4" s="39" t="s">
        <v>113</v>
      </c>
      <c r="B4" s="40">
        <f>((3.29-3.26)/3.276)/(80-(-40))</f>
        <v>7.6312576312576949E-5</v>
      </c>
      <c r="C4" s="40">
        <f>((0.004-0.0024)/0.0035)/(80-(-40))</f>
        <v>3.8095238095238104E-3</v>
      </c>
      <c r="D4" s="41">
        <v>4.0400000000000002E-3</v>
      </c>
      <c r="E4" s="41">
        <v>59600000</v>
      </c>
      <c r="F4" s="51" t="s">
        <v>109</v>
      </c>
      <c r="G4" s="42">
        <v>25</v>
      </c>
      <c r="H4" s="42">
        <v>152.4</v>
      </c>
      <c r="I4" s="42">
        <v>17</v>
      </c>
      <c r="J4" s="42">
        <v>120</v>
      </c>
      <c r="K4" s="42">
        <v>100</v>
      </c>
      <c r="L4" s="43">
        <v>1</v>
      </c>
      <c r="M4" s="44">
        <v>2</v>
      </c>
      <c r="N4" s="43">
        <v>5</v>
      </c>
      <c r="O4" s="43">
        <v>10</v>
      </c>
      <c r="P4" s="43">
        <v>15</v>
      </c>
      <c r="Q4" s="43">
        <v>20</v>
      </c>
      <c r="R4" s="45">
        <v>127</v>
      </c>
      <c r="S4" s="45">
        <v>139.69999999999999</v>
      </c>
      <c r="T4" s="45">
        <v>177.8</v>
      </c>
      <c r="U4" s="46">
        <v>0.6</v>
      </c>
      <c r="V4" s="46">
        <v>0.63</v>
      </c>
      <c r="W4" s="46">
        <v>0.70499999999999996</v>
      </c>
      <c r="X4" s="47">
        <v>3.19</v>
      </c>
      <c r="Y4" s="47">
        <v>3.19</v>
      </c>
      <c r="Z4" s="47">
        <v>3.19</v>
      </c>
      <c r="AA4" s="47">
        <v>3.19</v>
      </c>
      <c r="AB4" s="47">
        <v>3.19</v>
      </c>
      <c r="AC4" s="47">
        <v>3.19</v>
      </c>
      <c r="AD4" s="47">
        <v>3.15</v>
      </c>
      <c r="AE4" s="47">
        <v>3.15</v>
      </c>
      <c r="AF4" s="47">
        <v>3.15</v>
      </c>
      <c r="AG4" s="47">
        <v>3.15</v>
      </c>
      <c r="AH4" s="47">
        <v>3.15</v>
      </c>
      <c r="AI4" s="47">
        <v>3.15</v>
      </c>
      <c r="AJ4" s="47">
        <v>3.02</v>
      </c>
      <c r="AK4" s="47">
        <v>3.02</v>
      </c>
      <c r="AL4" s="47">
        <v>3.0209999999999999</v>
      </c>
      <c r="AM4" s="47">
        <v>3.0190000000000001</v>
      </c>
      <c r="AN4" s="47">
        <v>3.0169999999999999</v>
      </c>
      <c r="AO4" s="47">
        <v>3.0139999999999998</v>
      </c>
      <c r="AP4" s="48">
        <v>2.0999999999999999E-3</v>
      </c>
      <c r="AQ4" s="48">
        <v>2.0999999999999999E-3</v>
      </c>
      <c r="AR4" s="48">
        <v>2.0999999999999999E-3</v>
      </c>
      <c r="AS4" s="48">
        <v>2.0999999999999999E-3</v>
      </c>
      <c r="AT4" s="48">
        <v>2.0999999999999999E-3</v>
      </c>
      <c r="AU4" s="48">
        <v>2.0999999999999999E-3</v>
      </c>
      <c r="AV4" s="48">
        <v>1.9E-3</v>
      </c>
      <c r="AW4" s="48">
        <v>1.9E-3</v>
      </c>
      <c r="AX4" s="48">
        <v>1.9E-3</v>
      </c>
      <c r="AY4" s="48">
        <v>1.9E-3</v>
      </c>
      <c r="AZ4" s="48">
        <v>1.9E-3</v>
      </c>
      <c r="BA4" s="48">
        <v>1.9E-3</v>
      </c>
      <c r="BB4" s="48">
        <v>1.5E-3</v>
      </c>
      <c r="BC4" s="48">
        <v>1.5E-3</v>
      </c>
      <c r="BD4" s="48">
        <v>1.5E-3</v>
      </c>
      <c r="BE4" s="48">
        <v>1.5E-3</v>
      </c>
      <c r="BF4" s="48">
        <v>1.5E-3</v>
      </c>
      <c r="BG4" s="49">
        <v>1.5E-3</v>
      </c>
      <c r="BI4" s="160" t="s">
        <v>112</v>
      </c>
      <c r="BJ4" s="42">
        <f>4*1.1/7.6</f>
        <v>0.57894736842105265</v>
      </c>
    </row>
    <row r="5" spans="1:62" s="2" customFormat="1" x14ac:dyDescent="0.55000000000000004">
      <c r="A5" s="39" t="s">
        <v>115</v>
      </c>
      <c r="B5" s="40"/>
      <c r="C5" s="40"/>
      <c r="D5" s="41">
        <v>4.0400000000000002E-3</v>
      </c>
      <c r="E5" s="41">
        <v>59600000</v>
      </c>
      <c r="F5" s="51" t="s">
        <v>109</v>
      </c>
      <c r="G5" s="42">
        <v>25</v>
      </c>
      <c r="H5" s="42">
        <v>64</v>
      </c>
      <c r="I5" s="42">
        <v>17</v>
      </c>
      <c r="J5" s="42">
        <v>55</v>
      </c>
      <c r="K5" s="42">
        <v>110</v>
      </c>
      <c r="L5" s="43">
        <v>1</v>
      </c>
      <c r="M5" s="44">
        <v>3</v>
      </c>
      <c r="N5" s="43">
        <v>5</v>
      </c>
      <c r="O5" s="43">
        <v>10</v>
      </c>
      <c r="P5" s="43">
        <v>15</v>
      </c>
      <c r="Q5" s="43">
        <v>20</v>
      </c>
      <c r="R5" s="45">
        <v>51</v>
      </c>
      <c r="S5" s="45">
        <v>64</v>
      </c>
      <c r="T5" s="45">
        <v>76</v>
      </c>
      <c r="U5" s="46">
        <v>0.67</v>
      </c>
      <c r="V5" s="46">
        <v>0.72</v>
      </c>
      <c r="W5" s="46">
        <v>0.76</v>
      </c>
      <c r="X5" s="47">
        <v>3.14</v>
      </c>
      <c r="Y5" s="47">
        <v>3.14</v>
      </c>
      <c r="Z5" s="47">
        <v>3.13</v>
      </c>
      <c r="AA5" s="47">
        <v>3.12</v>
      </c>
      <c r="AB5" s="47">
        <v>3.11</v>
      </c>
      <c r="AC5" s="47">
        <v>3.1</v>
      </c>
      <c r="AD5" s="47">
        <v>3.07</v>
      </c>
      <c r="AE5" s="47">
        <v>3.07</v>
      </c>
      <c r="AF5" s="47">
        <v>3.06</v>
      </c>
      <c r="AG5" s="47">
        <v>3.05</v>
      </c>
      <c r="AH5" s="47">
        <v>3.04</v>
      </c>
      <c r="AI5" s="47">
        <v>3.03</v>
      </c>
      <c r="AJ5" s="47">
        <v>3.02</v>
      </c>
      <c r="AK5" s="47">
        <v>3.01</v>
      </c>
      <c r="AL5" s="47">
        <v>3.01</v>
      </c>
      <c r="AM5" s="47">
        <v>3</v>
      </c>
      <c r="AN5" s="47">
        <v>2.99</v>
      </c>
      <c r="AO5" s="47">
        <v>2.99</v>
      </c>
      <c r="AP5" s="48">
        <v>1.2999999999999999E-3</v>
      </c>
      <c r="AQ5" s="48">
        <v>1.6000000000000001E-3</v>
      </c>
      <c r="AR5" s="48">
        <v>1.9E-3</v>
      </c>
      <c r="AS5" s="48">
        <v>2E-3</v>
      </c>
      <c r="AT5" s="48">
        <v>2.2000000000000001E-3</v>
      </c>
      <c r="AU5" s="48">
        <v>2.3E-3</v>
      </c>
      <c r="AV5" s="48">
        <v>1.1999999999999999E-3</v>
      </c>
      <c r="AW5" s="48">
        <v>1.5E-3</v>
      </c>
      <c r="AX5" s="48">
        <v>1.8E-3</v>
      </c>
      <c r="AY5" s="48">
        <v>2E-3</v>
      </c>
      <c r="AZ5" s="48">
        <v>2.2000000000000001E-3</v>
      </c>
      <c r="BA5" s="48">
        <v>2.3E-3</v>
      </c>
      <c r="BB5" s="48">
        <v>1.1000000000000001E-3</v>
      </c>
      <c r="BC5" s="48">
        <v>1.4E-3</v>
      </c>
      <c r="BD5" s="48">
        <v>1.6999999999999999E-3</v>
      </c>
      <c r="BE5" s="48">
        <v>1.9E-3</v>
      </c>
      <c r="BF5" s="48">
        <v>2.0999999999999999E-3</v>
      </c>
      <c r="BG5" s="48">
        <v>2.2000000000000001E-3</v>
      </c>
      <c r="BI5" s="160" t="s">
        <v>114</v>
      </c>
      <c r="BJ5" s="42">
        <f>3*1.1/7.6</f>
        <v>0.43421052631578955</v>
      </c>
    </row>
    <row r="6" spans="1:62" s="2" customFormat="1" x14ac:dyDescent="0.55000000000000004">
      <c r="A6" s="39" t="s">
        <v>117</v>
      </c>
      <c r="B6" s="40"/>
      <c r="C6" s="40"/>
      <c r="D6" s="41">
        <v>4.0400000000000002E-3</v>
      </c>
      <c r="E6" s="41">
        <v>59600000</v>
      </c>
      <c r="F6" s="51" t="s">
        <v>109</v>
      </c>
      <c r="G6" s="42">
        <v>25</v>
      </c>
      <c r="H6" s="42">
        <v>104.14</v>
      </c>
      <c r="I6" s="42">
        <v>17</v>
      </c>
      <c r="J6" s="42">
        <v>85</v>
      </c>
      <c r="K6" s="42">
        <v>100</v>
      </c>
      <c r="L6" s="43">
        <v>1</v>
      </c>
      <c r="M6" s="44">
        <v>2</v>
      </c>
      <c r="N6" s="43">
        <v>5</v>
      </c>
      <c r="O6" s="43">
        <v>10</v>
      </c>
      <c r="P6" s="43">
        <v>15</v>
      </c>
      <c r="Q6" s="43">
        <v>20</v>
      </c>
      <c r="R6" s="45">
        <v>88.9</v>
      </c>
      <c r="S6" s="45">
        <v>104.14</v>
      </c>
      <c r="T6" s="45">
        <f>Table1[[#This Row],[t2 (µm)]]</f>
        <v>104.14</v>
      </c>
      <c r="U6" s="46">
        <v>0.68</v>
      </c>
      <c r="V6" s="46">
        <v>0.72</v>
      </c>
      <c r="W6" s="46">
        <f>Table1[[#This Row],[RC2 (%)]]</f>
        <v>0.72</v>
      </c>
      <c r="X6" s="47">
        <v>3.41</v>
      </c>
      <c r="Y6" s="47">
        <v>3.34</v>
      </c>
      <c r="Z6" s="47">
        <v>3.33</v>
      </c>
      <c r="AA6" s="47">
        <v>3.32</v>
      </c>
      <c r="AB6" s="47">
        <v>3.32</v>
      </c>
      <c r="AC6" s="47">
        <v>3.32</v>
      </c>
      <c r="AD6" s="47">
        <v>3.31</v>
      </c>
      <c r="AE6" s="47">
        <v>3.24</v>
      </c>
      <c r="AF6" s="47">
        <v>3.23</v>
      </c>
      <c r="AG6" s="47">
        <v>3.22</v>
      </c>
      <c r="AH6" s="47">
        <v>3.22</v>
      </c>
      <c r="AI6" s="47">
        <v>3.22</v>
      </c>
      <c r="AJ6" s="47">
        <f>Table1[[#This Row],[DK21]]</f>
        <v>3.31</v>
      </c>
      <c r="AK6" s="47">
        <f>Table1[[#This Row],[DK22]]</f>
        <v>3.24</v>
      </c>
      <c r="AL6" s="47">
        <f>Table1[[#This Row],[DK23]]</f>
        <v>3.23</v>
      </c>
      <c r="AM6" s="47">
        <f>Table1[[#This Row],[DK24]]</f>
        <v>3.22</v>
      </c>
      <c r="AN6" s="47">
        <f>Table1[[#This Row],[DK25]]</f>
        <v>3.22</v>
      </c>
      <c r="AO6" s="47">
        <f>Table1[[#This Row],[DK26]]</f>
        <v>3.22</v>
      </c>
      <c r="AP6" s="48">
        <v>2E-3</v>
      </c>
      <c r="AQ6" s="48">
        <v>2E-3</v>
      </c>
      <c r="AR6" s="48">
        <v>3.0000000000000001E-3</v>
      </c>
      <c r="AS6" s="48">
        <v>4.0000000000000001E-3</v>
      </c>
      <c r="AT6" s="48">
        <v>4.0000000000000001E-3</v>
      </c>
      <c r="AU6" s="48">
        <v>4.0000000000000001E-3</v>
      </c>
      <c r="AV6" s="48">
        <v>2E-3</v>
      </c>
      <c r="AW6" s="48">
        <v>2E-3</v>
      </c>
      <c r="AX6" s="48">
        <v>3.0000000000000001E-3</v>
      </c>
      <c r="AY6" s="48">
        <v>4.0000000000000001E-3</v>
      </c>
      <c r="AZ6" s="48">
        <v>4.0000000000000001E-3</v>
      </c>
      <c r="BA6" s="48">
        <v>4.0000000000000001E-3</v>
      </c>
      <c r="BB6" s="48">
        <f>Table1[[#This Row],[DF21]]</f>
        <v>2E-3</v>
      </c>
      <c r="BC6" s="48">
        <f>Table1[[#This Row],[DF22]]</f>
        <v>2E-3</v>
      </c>
      <c r="BD6" s="48">
        <f>Table1[[#This Row],[DF23]]</f>
        <v>3.0000000000000001E-3</v>
      </c>
      <c r="BE6" s="48">
        <f>Table1[[#This Row],[DF24]]</f>
        <v>4.0000000000000001E-3</v>
      </c>
      <c r="BF6" s="48">
        <f>Table1[[#This Row],[DF25]]</f>
        <v>4.0000000000000001E-3</v>
      </c>
      <c r="BG6" s="48">
        <f>Table1[[#This Row],[DF26]]</f>
        <v>4.0000000000000001E-3</v>
      </c>
      <c r="BI6" s="160" t="s">
        <v>116</v>
      </c>
      <c r="BJ6" s="42">
        <f>2.75*1.1/7.6</f>
        <v>0.39802631578947373</v>
      </c>
    </row>
    <row r="7" spans="1:62" s="2" customFormat="1" x14ac:dyDescent="0.55000000000000004">
      <c r="A7" s="39"/>
      <c r="B7" s="40"/>
      <c r="C7" s="40"/>
      <c r="D7" s="41"/>
      <c r="E7" s="41"/>
      <c r="F7" s="51"/>
      <c r="G7" s="42"/>
      <c r="H7" s="42"/>
      <c r="I7" s="42"/>
      <c r="J7" s="42"/>
      <c r="K7" s="42"/>
      <c r="L7" s="42"/>
      <c r="M7" s="42"/>
      <c r="N7" s="42"/>
      <c r="O7" s="42"/>
      <c r="P7" s="42"/>
      <c r="Q7" s="42"/>
      <c r="R7" s="45"/>
      <c r="S7" s="45"/>
      <c r="T7" s="45"/>
      <c r="U7" s="45"/>
      <c r="V7" s="45"/>
      <c r="W7" s="45"/>
      <c r="X7" s="45"/>
      <c r="Y7" s="45"/>
      <c r="Z7" s="47"/>
      <c r="AA7" s="47"/>
      <c r="AB7" s="47"/>
      <c r="AC7" s="47"/>
      <c r="AD7" s="47"/>
      <c r="AE7" s="47"/>
      <c r="AF7" s="47"/>
      <c r="AG7" s="47"/>
      <c r="AH7" s="47"/>
      <c r="AI7" s="47"/>
      <c r="AJ7" s="47"/>
      <c r="AK7" s="47"/>
      <c r="AL7" s="47"/>
      <c r="AM7" s="47"/>
      <c r="AN7" s="47"/>
      <c r="AO7" s="47"/>
      <c r="AP7" s="48"/>
      <c r="AQ7" s="48"/>
      <c r="AR7" s="48"/>
      <c r="AS7" s="48"/>
      <c r="AT7" s="48"/>
      <c r="AU7" s="48"/>
      <c r="AV7" s="48"/>
      <c r="AW7" s="48"/>
      <c r="AX7" s="48"/>
      <c r="AY7" s="48"/>
      <c r="AZ7" s="48"/>
      <c r="BA7" s="48"/>
      <c r="BB7" s="48"/>
      <c r="BC7" s="48"/>
      <c r="BD7" s="48"/>
      <c r="BE7" s="48"/>
      <c r="BF7" s="48"/>
      <c r="BG7" s="49"/>
      <c r="BI7" s="160" t="s">
        <v>118</v>
      </c>
      <c r="BJ7" s="42">
        <f>2.5*1.1/7.6</f>
        <v>0.36184210526315791</v>
      </c>
    </row>
    <row r="8" spans="1:62" x14ac:dyDescent="0.55000000000000004">
      <c r="A8" s="39"/>
      <c r="B8" s="40"/>
      <c r="C8" s="40"/>
      <c r="D8" s="40"/>
      <c r="E8" s="40"/>
      <c r="F8" s="107"/>
      <c r="G8" s="42"/>
      <c r="H8" s="42"/>
      <c r="I8" s="42"/>
      <c r="J8" s="42"/>
      <c r="K8" s="42"/>
      <c r="L8" s="42"/>
      <c r="M8" s="42"/>
      <c r="N8" s="42"/>
      <c r="O8" s="42"/>
      <c r="P8" s="42"/>
      <c r="Q8" s="42"/>
      <c r="R8" s="45"/>
      <c r="S8" s="45"/>
      <c r="T8" s="45"/>
      <c r="U8" s="45"/>
      <c r="V8" s="45"/>
      <c r="W8" s="45"/>
      <c r="X8" s="45"/>
      <c r="Y8" s="45"/>
      <c r="Z8" s="47"/>
      <c r="AA8" s="47"/>
      <c r="AB8" s="47"/>
      <c r="AC8" s="47"/>
      <c r="AD8" s="47"/>
      <c r="AE8" s="47"/>
      <c r="AF8" s="47"/>
      <c r="AG8" s="47"/>
      <c r="AH8" s="47"/>
      <c r="AI8" s="47"/>
      <c r="AJ8" s="47"/>
      <c r="AK8" s="47"/>
      <c r="AL8" s="47"/>
      <c r="AM8" s="47"/>
      <c r="AN8" s="47"/>
      <c r="AO8" s="47"/>
      <c r="AP8" s="48"/>
      <c r="AQ8" s="48"/>
      <c r="AR8" s="48"/>
      <c r="AS8" s="48"/>
      <c r="AT8" s="48"/>
      <c r="AU8" s="48"/>
      <c r="AV8" s="48"/>
      <c r="AW8" s="48"/>
      <c r="AX8" s="48"/>
      <c r="AY8" s="48"/>
      <c r="AZ8" s="48"/>
      <c r="BA8" s="48"/>
      <c r="BB8" s="48"/>
      <c r="BC8" s="48"/>
      <c r="BD8" s="48"/>
      <c r="BE8" s="48"/>
      <c r="BF8" s="48"/>
      <c r="BG8" s="49"/>
      <c r="BI8" s="160" t="s">
        <v>119</v>
      </c>
      <c r="BJ8" s="42">
        <f>2.25*1.1/7.6</f>
        <v>0.32565789473684215</v>
      </c>
    </row>
    <row r="9" spans="1:62" x14ac:dyDescent="0.55000000000000004">
      <c r="A9" s="39"/>
      <c r="B9" s="40"/>
      <c r="C9" s="40"/>
      <c r="D9" s="40"/>
      <c r="E9" s="40"/>
      <c r="F9" s="107"/>
      <c r="G9" s="42"/>
      <c r="H9" s="42"/>
      <c r="I9" s="42"/>
      <c r="J9" s="42"/>
      <c r="K9" s="42"/>
      <c r="L9" s="42"/>
      <c r="M9" s="42"/>
      <c r="N9" s="42"/>
      <c r="O9" s="42"/>
      <c r="P9" s="42"/>
      <c r="Q9" s="42"/>
      <c r="R9" s="45"/>
      <c r="S9" s="45"/>
      <c r="T9" s="45"/>
      <c r="U9" s="45"/>
      <c r="V9" s="45"/>
      <c r="W9" s="45"/>
      <c r="X9" s="45"/>
      <c r="Y9" s="45"/>
      <c r="Z9" s="47"/>
      <c r="AA9" s="47"/>
      <c r="AB9" s="47"/>
      <c r="AC9" s="47"/>
      <c r="AD9" s="47"/>
      <c r="AE9" s="47"/>
      <c r="AF9" s="47"/>
      <c r="AG9" s="47"/>
      <c r="AH9" s="47"/>
      <c r="AI9" s="47"/>
      <c r="AJ9" s="47"/>
      <c r="AK9" s="47"/>
      <c r="AL9" s="47"/>
      <c r="AM9" s="47"/>
      <c r="AN9" s="47"/>
      <c r="AO9" s="47"/>
      <c r="AP9" s="48"/>
      <c r="AQ9" s="48"/>
      <c r="AR9" s="48"/>
      <c r="AS9" s="48"/>
      <c r="AT9" s="48"/>
      <c r="AU9" s="48"/>
      <c r="AV9" s="48"/>
      <c r="AW9" s="48"/>
      <c r="AX9" s="48"/>
      <c r="AY9" s="48"/>
      <c r="AZ9" s="48"/>
      <c r="BA9" s="48"/>
      <c r="BB9" s="48"/>
      <c r="BC9" s="48"/>
      <c r="BD9" s="48"/>
      <c r="BE9" s="48"/>
      <c r="BF9" s="48"/>
      <c r="BG9" s="49"/>
      <c r="BI9" s="160" t="s">
        <v>120</v>
      </c>
      <c r="BJ9" s="42">
        <f>2*1.1/7.6</f>
        <v>0.28947368421052633</v>
      </c>
    </row>
    <row r="10" spans="1:62" x14ac:dyDescent="0.55000000000000004">
      <c r="A10" s="39"/>
      <c r="B10" s="40"/>
      <c r="C10" s="40"/>
      <c r="D10" s="40"/>
      <c r="E10" s="40"/>
      <c r="F10" s="107"/>
      <c r="G10" s="42"/>
      <c r="H10" s="42"/>
      <c r="I10" s="42"/>
      <c r="J10" s="42"/>
      <c r="K10" s="42"/>
      <c r="L10" s="42"/>
      <c r="M10" s="42"/>
      <c r="N10" s="42"/>
      <c r="O10" s="42"/>
      <c r="P10" s="42"/>
      <c r="Q10" s="42"/>
      <c r="R10" s="45"/>
      <c r="S10" s="45"/>
      <c r="T10" s="45"/>
      <c r="U10" s="42"/>
      <c r="V10" s="42"/>
      <c r="W10" s="42"/>
      <c r="X10" s="47"/>
      <c r="Y10" s="47"/>
      <c r="Z10" s="47"/>
      <c r="AA10" s="47"/>
      <c r="AB10" s="47"/>
      <c r="AC10" s="47"/>
      <c r="AD10" s="47"/>
      <c r="AE10" s="47"/>
      <c r="AF10" s="47"/>
      <c r="AG10" s="47"/>
      <c r="AH10" s="47"/>
      <c r="AI10" s="47"/>
      <c r="AJ10" s="47"/>
      <c r="AK10" s="47"/>
      <c r="AL10" s="47"/>
      <c r="AM10" s="47"/>
      <c r="AN10" s="47"/>
      <c r="AO10" s="47"/>
      <c r="AP10" s="48"/>
      <c r="AQ10" s="48"/>
      <c r="AR10" s="48"/>
      <c r="AS10" s="48"/>
      <c r="AT10" s="48"/>
      <c r="AU10" s="48"/>
      <c r="AV10" s="48"/>
      <c r="AW10" s="48"/>
      <c r="AX10" s="48"/>
      <c r="AY10" s="48"/>
      <c r="AZ10" s="48"/>
      <c r="BA10" s="48"/>
      <c r="BB10" s="48"/>
      <c r="BC10" s="48"/>
      <c r="BD10" s="48"/>
      <c r="BE10" s="48"/>
      <c r="BF10" s="48"/>
      <c r="BG10" s="49"/>
      <c r="BI10" s="160" t="s">
        <v>121</v>
      </c>
      <c r="BJ10" s="42">
        <f>1.5*1.1/7.6</f>
        <v>0.21710526315789477</v>
      </c>
    </row>
    <row r="11" spans="1:62" x14ac:dyDescent="0.55000000000000004">
      <c r="A11" s="39"/>
      <c r="B11" s="40"/>
      <c r="C11" s="40"/>
      <c r="D11" s="40"/>
      <c r="E11" s="40"/>
      <c r="F11" s="107"/>
      <c r="G11" s="42"/>
      <c r="H11" s="42"/>
      <c r="I11" s="42"/>
      <c r="J11" s="107"/>
      <c r="K11" s="42"/>
      <c r="L11" s="42"/>
      <c r="M11" s="42"/>
      <c r="N11" s="42"/>
      <c r="O11" s="42"/>
      <c r="P11" s="42"/>
      <c r="Q11" s="42"/>
      <c r="R11" s="45"/>
      <c r="S11" s="45"/>
      <c r="T11" s="45"/>
      <c r="U11" s="42"/>
      <c r="V11" s="42"/>
      <c r="W11" s="42"/>
      <c r="X11" s="47"/>
      <c r="Y11" s="47"/>
      <c r="Z11" s="47"/>
      <c r="AA11" s="47"/>
      <c r="AB11" s="47"/>
      <c r="AC11" s="47"/>
      <c r="AD11" s="47"/>
      <c r="AE11" s="47"/>
      <c r="AF11" s="47"/>
      <c r="AG11" s="47"/>
      <c r="AH11" s="47"/>
      <c r="AI11" s="47"/>
      <c r="AJ11" s="47"/>
      <c r="AK11" s="47"/>
      <c r="AL11" s="47"/>
      <c r="AM11" s="47"/>
      <c r="AN11" s="47"/>
      <c r="AO11" s="47"/>
      <c r="AP11" s="48"/>
      <c r="AQ11" s="48"/>
      <c r="AR11" s="48"/>
      <c r="AS11" s="48"/>
      <c r="AT11" s="48"/>
      <c r="AU11" s="48"/>
      <c r="AV11" s="48"/>
      <c r="AW11" s="48"/>
      <c r="AX11" s="48"/>
      <c r="AY11" s="48"/>
      <c r="AZ11" s="48"/>
      <c r="BA11" s="48"/>
      <c r="BB11" s="48"/>
      <c r="BC11" s="48"/>
      <c r="BD11" s="48"/>
      <c r="BE11" s="48"/>
      <c r="BF11" s="48"/>
      <c r="BG11" s="49"/>
      <c r="BI11" s="160" t="s">
        <v>122</v>
      </c>
      <c r="BJ11" s="42">
        <f>0.6*1.1/7.6</f>
        <v>8.6842105263157901E-2</v>
      </c>
    </row>
    <row r="12" spans="1:62" x14ac:dyDescent="0.55000000000000004">
      <c r="A12" s="37"/>
      <c r="B12" s="37"/>
      <c r="C12" s="37"/>
      <c r="D12" s="37"/>
      <c r="E12" s="37"/>
      <c r="G12" s="37"/>
      <c r="H12" s="37"/>
      <c r="I12" s="37"/>
      <c r="J12" s="38"/>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row>
    <row r="13" spans="1:62" x14ac:dyDescent="0.55000000000000004">
      <c r="A13" s="37"/>
      <c r="B13" s="37"/>
      <c r="C13" s="37"/>
      <c r="D13" s="37"/>
      <c r="E13" s="37"/>
      <c r="G13" s="37"/>
      <c r="H13" s="37"/>
      <c r="I13" s="37"/>
      <c r="J13" s="38"/>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row>
    <row r="14" spans="1:62" x14ac:dyDescent="0.55000000000000004">
      <c r="A14" s="37"/>
      <c r="B14" s="37"/>
      <c r="C14" s="37"/>
      <c r="D14" s="37"/>
      <c r="E14" s="37"/>
      <c r="G14" s="37"/>
      <c r="H14" s="37"/>
      <c r="I14" s="37"/>
      <c r="J14" s="38"/>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row>
    <row r="15" spans="1:62" x14ac:dyDescent="0.55000000000000004">
      <c r="A15" s="37"/>
      <c r="B15" s="37"/>
      <c r="C15" s="37"/>
      <c r="D15" s="37"/>
      <c r="E15" s="37"/>
      <c r="G15" s="37"/>
      <c r="H15" s="37"/>
      <c r="I15" s="37"/>
      <c r="J15" s="38"/>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row>
    <row r="16" spans="1:62" x14ac:dyDescent="0.55000000000000004">
      <c r="A16" s="37"/>
      <c r="B16" s="37"/>
      <c r="C16" s="37"/>
      <c r="D16" s="37"/>
      <c r="E16" s="37"/>
      <c r="G16" s="37"/>
      <c r="H16" s="37"/>
      <c r="I16" s="37"/>
      <c r="J16" s="38"/>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row>
    <row r="17" spans="1:60" x14ac:dyDescent="0.55000000000000004">
      <c r="A17" s="37"/>
      <c r="B17" s="37"/>
      <c r="C17" s="37"/>
      <c r="D17" s="37"/>
      <c r="E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row>
    <row r="18" spans="1:60" x14ac:dyDescent="0.55000000000000004">
      <c r="A18" s="37"/>
      <c r="B18" s="37"/>
      <c r="C18" s="37"/>
      <c r="D18" s="37"/>
      <c r="E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row>
    <row r="19" spans="1:60" x14ac:dyDescent="0.55000000000000004">
      <c r="A19" s="37"/>
      <c r="B19" s="37"/>
      <c r="C19" s="37"/>
      <c r="D19" s="37"/>
      <c r="E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row>
    <row r="20" spans="1:60" x14ac:dyDescent="0.55000000000000004">
      <c r="A20" s="37"/>
      <c r="B20" s="37"/>
      <c r="C20" s="37"/>
      <c r="D20" s="37"/>
      <c r="E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row>
    <row r="21" spans="1:60" x14ac:dyDescent="0.55000000000000004">
      <c r="A21" s="37"/>
      <c r="B21" s="37"/>
      <c r="C21" s="37"/>
      <c r="D21" s="37"/>
      <c r="E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row>
    <row r="22" spans="1:60" x14ac:dyDescent="0.55000000000000004">
      <c r="A22" s="37"/>
      <c r="B22" s="37"/>
      <c r="C22" s="37"/>
      <c r="D22" s="37"/>
      <c r="E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row>
    <row r="23" spans="1:60" x14ac:dyDescent="0.55000000000000004">
      <c r="A23" s="37"/>
      <c r="B23" s="37"/>
      <c r="C23" s="37"/>
      <c r="D23" s="37"/>
      <c r="E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row>
    <row r="24" spans="1:60" x14ac:dyDescent="0.55000000000000004">
      <c r="A24" s="37"/>
      <c r="B24" s="37"/>
      <c r="C24" s="37"/>
      <c r="D24" s="37"/>
      <c r="E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row>
    <row r="25" spans="1:60" x14ac:dyDescent="0.55000000000000004">
      <c r="A25" s="37"/>
      <c r="B25" s="37"/>
      <c r="C25" s="37"/>
      <c r="D25" s="37"/>
      <c r="E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row>
    <row r="26" spans="1:60" x14ac:dyDescent="0.55000000000000004">
      <c r="A26" s="37"/>
      <c r="B26" s="37"/>
      <c r="C26" s="37"/>
      <c r="D26" s="37"/>
      <c r="E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row>
    <row r="27" spans="1:60" x14ac:dyDescent="0.55000000000000004">
      <c r="A27" s="37"/>
      <c r="B27" s="37"/>
      <c r="C27" s="37"/>
      <c r="D27" s="37"/>
      <c r="E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row>
    <row r="28" spans="1:60" x14ac:dyDescent="0.55000000000000004">
      <c r="A28" s="37"/>
      <c r="B28" s="37"/>
      <c r="C28" s="37"/>
      <c r="D28" s="37"/>
      <c r="E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row>
    <row r="29" spans="1:60" x14ac:dyDescent="0.55000000000000004">
      <c r="A29" s="37"/>
      <c r="B29" s="37"/>
      <c r="C29" s="37"/>
      <c r="D29" s="37"/>
      <c r="E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row>
    <row r="30" spans="1:60" x14ac:dyDescent="0.55000000000000004">
      <c r="A30" s="37"/>
      <c r="B30" s="37"/>
      <c r="C30" s="37"/>
      <c r="D30" s="37"/>
      <c r="E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row>
    <row r="31" spans="1:60" x14ac:dyDescent="0.55000000000000004">
      <c r="A31" s="37"/>
      <c r="B31" s="37"/>
      <c r="C31" s="37"/>
      <c r="D31" s="37"/>
      <c r="E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row>
    <row r="32" spans="1:60" x14ac:dyDescent="0.55000000000000004">
      <c r="A32" s="37"/>
      <c r="B32" s="37"/>
      <c r="C32" s="37"/>
      <c r="D32" s="37"/>
      <c r="E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row>
    <row r="33" spans="1:60" x14ac:dyDescent="0.55000000000000004">
      <c r="A33" s="37"/>
      <c r="B33" s="37"/>
      <c r="C33" s="37"/>
      <c r="D33" s="37"/>
      <c r="E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row>
    <row r="34" spans="1:60" x14ac:dyDescent="0.55000000000000004">
      <c r="A34" s="37"/>
      <c r="B34" s="37"/>
      <c r="C34" s="37"/>
      <c r="D34" s="37"/>
      <c r="E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row>
    <row r="35" spans="1:60" x14ac:dyDescent="0.55000000000000004">
      <c r="A35" s="37"/>
      <c r="B35" s="37"/>
      <c r="C35" s="37"/>
      <c r="D35" s="37"/>
      <c r="E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row>
    <row r="36" spans="1:60" x14ac:dyDescent="0.55000000000000004">
      <c r="A36" s="37"/>
      <c r="B36" s="37"/>
      <c r="C36" s="37"/>
      <c r="D36" s="37"/>
      <c r="E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row>
    <row r="37" spans="1:60" x14ac:dyDescent="0.55000000000000004">
      <c r="A37" s="37"/>
      <c r="B37" s="37"/>
      <c r="C37" s="37"/>
      <c r="D37" s="37"/>
      <c r="E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row>
    <row r="38" spans="1:60" x14ac:dyDescent="0.55000000000000004">
      <c r="A38" s="37"/>
      <c r="B38" s="37"/>
      <c r="C38" s="37"/>
      <c r="D38" s="37"/>
      <c r="E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row>
    <row r="39" spans="1:60" x14ac:dyDescent="0.55000000000000004">
      <c r="A39" s="37"/>
      <c r="B39" s="37"/>
      <c r="C39" s="37"/>
      <c r="D39" s="37"/>
      <c r="E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row>
    <row r="40" spans="1:60" x14ac:dyDescent="0.55000000000000004">
      <c r="A40" s="37"/>
      <c r="B40" s="37"/>
      <c r="C40" s="37"/>
      <c r="D40" s="37"/>
      <c r="E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row>
    <row r="41" spans="1:60" x14ac:dyDescent="0.55000000000000004">
      <c r="A41" s="37"/>
      <c r="B41" s="37"/>
      <c r="C41" s="37"/>
      <c r="D41" s="37"/>
      <c r="E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row>
    <row r="42" spans="1:60" x14ac:dyDescent="0.55000000000000004">
      <c r="A42" s="37"/>
      <c r="B42" s="37"/>
      <c r="C42" s="37"/>
      <c r="D42" s="37"/>
      <c r="E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row>
    <row r="43" spans="1:60" x14ac:dyDescent="0.55000000000000004">
      <c r="A43" s="37"/>
      <c r="B43" s="37"/>
      <c r="C43" s="37"/>
      <c r="D43" s="37"/>
      <c r="E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row>
    <row r="44" spans="1:60" x14ac:dyDescent="0.55000000000000004">
      <c r="A44" s="37"/>
      <c r="B44" s="37"/>
      <c r="C44" s="37"/>
      <c r="D44" s="37"/>
      <c r="E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row>
    <row r="45" spans="1:60" x14ac:dyDescent="0.55000000000000004">
      <c r="A45" s="37"/>
      <c r="B45" s="37"/>
      <c r="C45" s="37"/>
      <c r="D45" s="37"/>
      <c r="E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row>
    <row r="46" spans="1:60" x14ac:dyDescent="0.55000000000000004">
      <c r="A46" s="37"/>
      <c r="B46" s="37"/>
      <c r="C46" s="37"/>
      <c r="D46" s="37"/>
      <c r="E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row>
    <row r="47" spans="1:60" x14ac:dyDescent="0.55000000000000004">
      <c r="A47" s="37"/>
      <c r="B47" s="37"/>
      <c r="C47" s="37"/>
      <c r="D47" s="37"/>
      <c r="E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row>
    <row r="48" spans="1:60" x14ac:dyDescent="0.55000000000000004">
      <c r="A48" s="37"/>
      <c r="B48" s="37"/>
      <c r="C48" s="37"/>
      <c r="D48" s="37"/>
      <c r="E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row>
    <row r="49" spans="1:60" x14ac:dyDescent="0.55000000000000004">
      <c r="A49" s="37"/>
      <c r="B49" s="37"/>
      <c r="C49" s="37"/>
      <c r="D49" s="37"/>
      <c r="E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row>
    <row r="50" spans="1:60" x14ac:dyDescent="0.55000000000000004">
      <c r="A50" s="37"/>
      <c r="B50" s="37"/>
      <c r="C50" s="37"/>
      <c r="D50" s="37"/>
      <c r="E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row>
    <row r="51" spans="1:60" x14ac:dyDescent="0.55000000000000004">
      <c r="A51" s="37"/>
      <c r="B51" s="37"/>
      <c r="C51" s="37"/>
      <c r="D51" s="37"/>
      <c r="E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row>
    <row r="52" spans="1:60" x14ac:dyDescent="0.55000000000000004">
      <c r="A52" s="37"/>
      <c r="B52" s="37"/>
      <c r="C52" s="37"/>
      <c r="D52" s="37"/>
      <c r="E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row>
    <row r="53" spans="1:60" x14ac:dyDescent="0.55000000000000004">
      <c r="A53" s="37"/>
      <c r="B53" s="37"/>
      <c r="C53" s="37"/>
      <c r="D53" s="37"/>
      <c r="E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row>
    <row r="54" spans="1:60" x14ac:dyDescent="0.55000000000000004">
      <c r="A54" s="37"/>
      <c r="B54" s="37"/>
      <c r="C54" s="37"/>
      <c r="D54" s="37"/>
      <c r="E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row>
    <row r="55" spans="1:60" x14ac:dyDescent="0.55000000000000004">
      <c r="A55" s="37"/>
      <c r="B55" s="37"/>
      <c r="C55" s="37"/>
      <c r="D55" s="37"/>
      <c r="E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row>
    <row r="56" spans="1:60" x14ac:dyDescent="0.55000000000000004">
      <c r="A56" s="37"/>
      <c r="B56" s="37"/>
      <c r="C56" s="37"/>
      <c r="D56" s="37"/>
      <c r="E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row>
    <row r="57" spans="1:60" x14ac:dyDescent="0.55000000000000004">
      <c r="A57" s="37"/>
      <c r="B57" s="37"/>
      <c r="C57" s="37"/>
      <c r="D57" s="37"/>
      <c r="E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row>
    <row r="58" spans="1:60" x14ac:dyDescent="0.55000000000000004">
      <c r="A58" s="37"/>
      <c r="B58" s="37"/>
      <c r="C58" s="37"/>
      <c r="D58" s="37"/>
      <c r="E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row>
    <row r="59" spans="1:60" x14ac:dyDescent="0.55000000000000004">
      <c r="A59" s="37"/>
      <c r="B59" s="37"/>
      <c r="C59" s="37"/>
      <c r="D59" s="37"/>
      <c r="E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row>
    <row r="60" spans="1:60" x14ac:dyDescent="0.55000000000000004">
      <c r="A60" s="37"/>
      <c r="B60" s="37"/>
      <c r="C60" s="37"/>
      <c r="D60" s="37"/>
      <c r="E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row>
    <row r="61" spans="1:60" x14ac:dyDescent="0.55000000000000004">
      <c r="A61" s="37"/>
      <c r="B61" s="37"/>
      <c r="C61" s="37"/>
      <c r="D61" s="37"/>
      <c r="E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row>
    <row r="62" spans="1:60" x14ac:dyDescent="0.55000000000000004">
      <c r="A62" s="37"/>
      <c r="B62" s="37"/>
      <c r="C62" s="37"/>
      <c r="D62" s="37"/>
      <c r="E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row>
    <row r="63" spans="1:60" x14ac:dyDescent="0.55000000000000004">
      <c r="A63" s="37"/>
      <c r="B63" s="37"/>
      <c r="C63" s="37"/>
      <c r="D63" s="37"/>
      <c r="E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row>
    <row r="64" spans="1:60" x14ac:dyDescent="0.55000000000000004">
      <c r="A64" s="37"/>
      <c r="B64" s="37"/>
      <c r="C64" s="37"/>
      <c r="D64" s="37"/>
      <c r="E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row>
    <row r="65" spans="1:60" x14ac:dyDescent="0.55000000000000004">
      <c r="A65" s="37"/>
      <c r="B65" s="37"/>
      <c r="C65" s="37"/>
      <c r="D65" s="37"/>
      <c r="E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row>
    <row r="66" spans="1:60" x14ac:dyDescent="0.55000000000000004">
      <c r="A66" s="37"/>
      <c r="B66" s="37"/>
      <c r="C66" s="37"/>
      <c r="D66" s="37"/>
      <c r="E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row>
    <row r="67" spans="1:60" x14ac:dyDescent="0.55000000000000004">
      <c r="A67" s="37"/>
      <c r="B67" s="37"/>
      <c r="C67" s="37"/>
      <c r="D67" s="37"/>
      <c r="E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row>
    <row r="68" spans="1:60" x14ac:dyDescent="0.55000000000000004">
      <c r="A68" s="37"/>
      <c r="B68" s="37"/>
      <c r="C68" s="37"/>
      <c r="D68" s="37"/>
      <c r="E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row>
    <row r="69" spans="1:60" x14ac:dyDescent="0.55000000000000004">
      <c r="A69" s="37"/>
      <c r="B69" s="37"/>
      <c r="C69" s="37"/>
      <c r="D69" s="37"/>
      <c r="E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row>
    <row r="70" spans="1:60" x14ac:dyDescent="0.55000000000000004">
      <c r="A70" s="37"/>
      <c r="B70" s="37"/>
      <c r="C70" s="37"/>
      <c r="D70" s="37"/>
      <c r="E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row>
    <row r="71" spans="1:60" x14ac:dyDescent="0.55000000000000004">
      <c r="A71" s="37"/>
      <c r="B71" s="37"/>
      <c r="C71" s="37"/>
      <c r="D71" s="37"/>
      <c r="E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row>
    <row r="72" spans="1:60" x14ac:dyDescent="0.55000000000000004">
      <c r="A72" s="37"/>
      <c r="B72" s="37"/>
      <c r="C72" s="37"/>
      <c r="D72" s="37"/>
      <c r="E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row>
    <row r="73" spans="1:60" x14ac:dyDescent="0.55000000000000004">
      <c r="A73" s="37"/>
      <c r="B73" s="37"/>
      <c r="C73" s="37"/>
      <c r="D73" s="37"/>
      <c r="E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row>
    <row r="74" spans="1:60" x14ac:dyDescent="0.55000000000000004">
      <c r="A74" s="37"/>
      <c r="B74" s="37"/>
      <c r="C74" s="37"/>
      <c r="D74" s="37"/>
      <c r="E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row>
    <row r="75" spans="1:60" x14ac:dyDescent="0.55000000000000004">
      <c r="A75" s="37"/>
      <c r="B75" s="37"/>
      <c r="C75" s="37"/>
      <c r="D75" s="37"/>
      <c r="E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row>
    <row r="76" spans="1:60" x14ac:dyDescent="0.55000000000000004">
      <c r="A76" s="37"/>
      <c r="B76" s="37"/>
      <c r="C76" s="37"/>
      <c r="D76" s="37"/>
      <c r="E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row>
    <row r="77" spans="1:60" x14ac:dyDescent="0.55000000000000004">
      <c r="A77" s="37"/>
      <c r="B77" s="37"/>
      <c r="C77" s="37"/>
      <c r="D77" s="37"/>
      <c r="E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row>
    <row r="78" spans="1:60" x14ac:dyDescent="0.55000000000000004">
      <c r="A78" s="37"/>
      <c r="B78" s="37"/>
      <c r="C78" s="37"/>
      <c r="D78" s="37"/>
      <c r="E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row>
    <row r="79" spans="1:60" x14ac:dyDescent="0.55000000000000004">
      <c r="A79" s="37"/>
      <c r="B79" s="37"/>
      <c r="C79" s="37"/>
      <c r="D79" s="37"/>
      <c r="E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row>
    <row r="80" spans="1:60" x14ac:dyDescent="0.55000000000000004">
      <c r="A80" s="37"/>
      <c r="B80" s="37"/>
      <c r="C80" s="37"/>
      <c r="D80" s="37"/>
      <c r="E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row>
    <row r="81" spans="1:60" x14ac:dyDescent="0.55000000000000004">
      <c r="A81" s="37"/>
      <c r="B81" s="37"/>
      <c r="C81" s="37"/>
      <c r="D81" s="37"/>
      <c r="E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row>
    <row r="82" spans="1:60" x14ac:dyDescent="0.55000000000000004">
      <c r="A82" s="37"/>
      <c r="B82" s="37"/>
      <c r="C82" s="37"/>
      <c r="D82" s="37"/>
      <c r="E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row>
    <row r="83" spans="1:60" x14ac:dyDescent="0.55000000000000004">
      <c r="A83" s="37"/>
      <c r="B83" s="37"/>
      <c r="C83" s="37"/>
      <c r="D83" s="37"/>
      <c r="E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row>
    <row r="84" spans="1:60" x14ac:dyDescent="0.55000000000000004">
      <c r="A84" s="37"/>
      <c r="B84" s="37"/>
      <c r="C84" s="37"/>
      <c r="D84" s="37"/>
      <c r="E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row>
    <row r="85" spans="1:60" x14ac:dyDescent="0.55000000000000004">
      <c r="A85" s="37"/>
      <c r="B85" s="37"/>
      <c r="C85" s="37"/>
      <c r="D85" s="37"/>
      <c r="E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row>
    <row r="86" spans="1:60" x14ac:dyDescent="0.55000000000000004">
      <c r="A86" s="37"/>
      <c r="B86" s="37"/>
      <c r="C86" s="37"/>
      <c r="D86" s="37"/>
      <c r="E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row>
    <row r="87" spans="1:60" x14ac:dyDescent="0.55000000000000004">
      <c r="A87" s="37"/>
      <c r="B87" s="37"/>
      <c r="C87" s="37"/>
      <c r="D87" s="37"/>
      <c r="E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row>
    <row r="88" spans="1:60" x14ac:dyDescent="0.55000000000000004">
      <c r="A88" s="37"/>
      <c r="B88" s="37"/>
      <c r="C88" s="37"/>
      <c r="D88" s="37"/>
      <c r="E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row>
    <row r="89" spans="1:60" x14ac:dyDescent="0.55000000000000004">
      <c r="A89" s="37"/>
      <c r="B89" s="37"/>
      <c r="C89" s="37"/>
      <c r="D89" s="37"/>
      <c r="E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row>
    <row r="90" spans="1:60" x14ac:dyDescent="0.55000000000000004">
      <c r="A90" s="37"/>
      <c r="B90" s="37"/>
      <c r="C90" s="37"/>
      <c r="D90" s="37"/>
      <c r="E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row>
    <row r="91" spans="1:60" x14ac:dyDescent="0.55000000000000004">
      <c r="A91" s="37"/>
      <c r="B91" s="37"/>
      <c r="C91" s="37"/>
      <c r="D91" s="37"/>
      <c r="E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row>
    <row r="92" spans="1:60" x14ac:dyDescent="0.55000000000000004">
      <c r="A92" s="37"/>
      <c r="B92" s="37"/>
      <c r="C92" s="37"/>
      <c r="D92" s="37"/>
      <c r="E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row>
    <row r="93" spans="1:60" x14ac:dyDescent="0.55000000000000004">
      <c r="A93" s="37"/>
      <c r="B93" s="37"/>
      <c r="C93" s="37"/>
      <c r="D93" s="37"/>
      <c r="E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row>
    <row r="94" spans="1:60" x14ac:dyDescent="0.55000000000000004">
      <c r="A94" s="37"/>
      <c r="B94" s="37"/>
      <c r="C94" s="37"/>
      <c r="D94" s="37"/>
      <c r="E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row>
    <row r="95" spans="1:60" x14ac:dyDescent="0.55000000000000004">
      <c r="A95" s="37"/>
      <c r="B95" s="37"/>
      <c r="C95" s="37"/>
      <c r="D95" s="37"/>
      <c r="E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row>
    <row r="96" spans="1:60" x14ac:dyDescent="0.55000000000000004">
      <c r="A96" s="37"/>
      <c r="B96" s="37"/>
      <c r="C96" s="37"/>
      <c r="D96" s="37"/>
      <c r="E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row>
    <row r="97" spans="1:60" x14ac:dyDescent="0.55000000000000004">
      <c r="A97" s="37"/>
      <c r="B97" s="37"/>
      <c r="C97" s="37"/>
      <c r="D97" s="37"/>
      <c r="E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row>
    <row r="98" spans="1:60" x14ac:dyDescent="0.55000000000000004">
      <c r="A98" s="37"/>
      <c r="B98" s="37"/>
      <c r="C98" s="37"/>
      <c r="D98" s="37"/>
      <c r="E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row>
    <row r="99" spans="1:60" x14ac:dyDescent="0.55000000000000004">
      <c r="A99" s="37"/>
      <c r="B99" s="37"/>
      <c r="C99" s="37"/>
      <c r="D99" s="37"/>
      <c r="E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row>
    <row r="100" spans="1:60" x14ac:dyDescent="0.55000000000000004">
      <c r="A100" s="37"/>
      <c r="B100" s="37"/>
      <c r="C100" s="37"/>
      <c r="D100" s="37"/>
      <c r="E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row>
    <row r="101" spans="1:60" x14ac:dyDescent="0.55000000000000004">
      <c r="A101" s="37"/>
      <c r="B101" s="37"/>
      <c r="C101" s="37"/>
      <c r="D101" s="37"/>
      <c r="E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row>
    <row r="102" spans="1:60" x14ac:dyDescent="0.55000000000000004">
      <c r="A102" s="37"/>
      <c r="B102" s="37"/>
      <c r="C102" s="37"/>
      <c r="D102" s="37"/>
      <c r="E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row>
    <row r="103" spans="1:60" x14ac:dyDescent="0.55000000000000004">
      <c r="A103" s="37"/>
      <c r="B103" s="37"/>
      <c r="C103" s="37"/>
      <c r="D103" s="37"/>
      <c r="E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row>
    <row r="104" spans="1:60" x14ac:dyDescent="0.55000000000000004">
      <c r="A104" s="37"/>
      <c r="B104" s="37"/>
      <c r="C104" s="37"/>
      <c r="D104" s="37"/>
      <c r="E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row>
    <row r="105" spans="1:60" x14ac:dyDescent="0.55000000000000004">
      <c r="A105" s="37"/>
      <c r="B105" s="37"/>
      <c r="C105" s="37"/>
      <c r="D105" s="37"/>
      <c r="E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row>
    <row r="106" spans="1:60" x14ac:dyDescent="0.55000000000000004">
      <c r="A106" s="37"/>
      <c r="B106" s="37"/>
      <c r="C106" s="37"/>
      <c r="D106" s="37"/>
      <c r="E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row>
    <row r="107" spans="1:60" x14ac:dyDescent="0.55000000000000004">
      <c r="A107" s="37"/>
      <c r="B107" s="37"/>
      <c r="C107" s="37"/>
      <c r="D107" s="37"/>
      <c r="E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row>
    <row r="108" spans="1:60" x14ac:dyDescent="0.55000000000000004">
      <c r="A108" s="37"/>
      <c r="B108" s="37"/>
      <c r="C108" s="37"/>
      <c r="D108" s="37"/>
      <c r="E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row>
    <row r="109" spans="1:60" x14ac:dyDescent="0.55000000000000004">
      <c r="A109" s="37"/>
      <c r="B109" s="37"/>
      <c r="C109" s="37"/>
      <c r="D109" s="37"/>
      <c r="E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row>
    <row r="110" spans="1:60" x14ac:dyDescent="0.55000000000000004">
      <c r="A110" s="37"/>
      <c r="B110" s="37"/>
      <c r="C110" s="37"/>
      <c r="D110" s="37"/>
      <c r="E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row>
    <row r="111" spans="1:60" x14ac:dyDescent="0.55000000000000004">
      <c r="A111" s="37"/>
      <c r="B111" s="37"/>
      <c r="C111" s="37"/>
      <c r="D111" s="37"/>
      <c r="E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row>
    <row r="112" spans="1:60" x14ac:dyDescent="0.55000000000000004">
      <c r="A112" s="37"/>
      <c r="B112" s="37"/>
      <c r="C112" s="37"/>
      <c r="D112" s="37"/>
      <c r="E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row>
    <row r="113" spans="1:60" x14ac:dyDescent="0.55000000000000004">
      <c r="A113" s="37"/>
      <c r="B113" s="37"/>
      <c r="C113" s="37"/>
      <c r="D113" s="37"/>
      <c r="E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row>
    <row r="114" spans="1:60" x14ac:dyDescent="0.55000000000000004">
      <c r="A114" s="37"/>
      <c r="B114" s="37"/>
      <c r="C114" s="37"/>
      <c r="D114" s="37"/>
      <c r="E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row>
    <row r="115" spans="1:60" x14ac:dyDescent="0.55000000000000004">
      <c r="A115" s="37"/>
      <c r="B115" s="37"/>
      <c r="C115" s="37"/>
      <c r="D115" s="37"/>
      <c r="E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row>
    <row r="116" spans="1:60" x14ac:dyDescent="0.55000000000000004">
      <c r="A116" s="37"/>
      <c r="B116" s="37"/>
      <c r="C116" s="37"/>
      <c r="D116" s="37"/>
      <c r="E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row>
    <row r="117" spans="1:60" x14ac:dyDescent="0.55000000000000004">
      <c r="A117" s="37"/>
      <c r="B117" s="37"/>
      <c r="C117" s="37"/>
      <c r="D117" s="37"/>
      <c r="E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row>
    <row r="118" spans="1:60" x14ac:dyDescent="0.55000000000000004">
      <c r="A118" s="37"/>
      <c r="B118" s="37"/>
      <c r="C118" s="37"/>
      <c r="D118" s="37"/>
      <c r="E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row>
    <row r="119" spans="1:60" x14ac:dyDescent="0.55000000000000004">
      <c r="A119" s="37"/>
      <c r="B119" s="37"/>
      <c r="C119" s="37"/>
      <c r="D119" s="37"/>
      <c r="E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row>
    <row r="120" spans="1:60" x14ac:dyDescent="0.55000000000000004">
      <c r="A120" s="37"/>
      <c r="B120" s="37"/>
      <c r="C120" s="37"/>
      <c r="D120" s="37"/>
      <c r="E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row>
    <row r="121" spans="1:60" x14ac:dyDescent="0.55000000000000004">
      <c r="A121" s="37"/>
      <c r="B121" s="37"/>
      <c r="C121" s="37"/>
      <c r="D121" s="37"/>
      <c r="E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row>
    <row r="122" spans="1:60" x14ac:dyDescent="0.55000000000000004">
      <c r="A122" s="37"/>
      <c r="B122" s="37"/>
      <c r="C122" s="37"/>
      <c r="D122" s="37"/>
      <c r="E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row>
    <row r="123" spans="1:60" x14ac:dyDescent="0.55000000000000004">
      <c r="A123" s="37"/>
      <c r="B123" s="37"/>
      <c r="C123" s="37"/>
      <c r="D123" s="37"/>
      <c r="E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row>
    <row r="124" spans="1:60" x14ac:dyDescent="0.55000000000000004">
      <c r="A124" s="37"/>
      <c r="B124" s="37"/>
      <c r="C124" s="37"/>
      <c r="D124" s="37"/>
      <c r="E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row>
    <row r="125" spans="1:60" x14ac:dyDescent="0.55000000000000004">
      <c r="A125" s="37"/>
      <c r="B125" s="37"/>
      <c r="C125" s="37"/>
      <c r="D125" s="37"/>
      <c r="E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row>
    <row r="126" spans="1:60" x14ac:dyDescent="0.55000000000000004">
      <c r="A126" s="37"/>
      <c r="B126" s="37"/>
      <c r="C126" s="37"/>
      <c r="D126" s="37"/>
      <c r="E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row>
    <row r="127" spans="1:60" x14ac:dyDescent="0.55000000000000004">
      <c r="A127" s="37"/>
      <c r="B127" s="37"/>
      <c r="C127" s="37"/>
      <c r="D127" s="37"/>
      <c r="E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row>
    <row r="128" spans="1:60" x14ac:dyDescent="0.55000000000000004">
      <c r="A128" s="37"/>
      <c r="B128" s="37"/>
      <c r="C128" s="37"/>
      <c r="D128" s="37"/>
      <c r="E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row>
    <row r="129" spans="1:60" x14ac:dyDescent="0.55000000000000004">
      <c r="A129" s="37"/>
      <c r="B129" s="37"/>
      <c r="C129" s="37"/>
      <c r="D129" s="37"/>
      <c r="E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row>
    <row r="130" spans="1:60" x14ac:dyDescent="0.55000000000000004">
      <c r="A130" s="37"/>
      <c r="B130" s="37"/>
      <c r="C130" s="37"/>
      <c r="D130" s="37"/>
      <c r="E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row>
    <row r="131" spans="1:60" x14ac:dyDescent="0.55000000000000004">
      <c r="A131" s="37"/>
      <c r="B131" s="37"/>
      <c r="C131" s="37"/>
      <c r="D131" s="37"/>
      <c r="E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row>
    <row r="132" spans="1:60" x14ac:dyDescent="0.55000000000000004">
      <c r="A132" s="37"/>
      <c r="B132" s="37"/>
      <c r="C132" s="37"/>
      <c r="D132" s="37"/>
      <c r="E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row>
    <row r="133" spans="1:60" x14ac:dyDescent="0.55000000000000004">
      <c r="A133" s="37"/>
      <c r="B133" s="37"/>
      <c r="C133" s="37"/>
      <c r="D133" s="37"/>
      <c r="E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row>
    <row r="134" spans="1:60" x14ac:dyDescent="0.55000000000000004">
      <c r="A134" s="37"/>
      <c r="B134" s="37"/>
      <c r="C134" s="37"/>
      <c r="D134" s="37"/>
      <c r="E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row>
    <row r="135" spans="1:60" x14ac:dyDescent="0.55000000000000004">
      <c r="A135" s="37"/>
      <c r="B135" s="37"/>
      <c r="C135" s="37"/>
      <c r="D135" s="37"/>
      <c r="E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row>
    <row r="136" spans="1:60" x14ac:dyDescent="0.55000000000000004">
      <c r="A136" s="37"/>
      <c r="B136" s="37"/>
      <c r="C136" s="37"/>
      <c r="D136" s="37"/>
      <c r="E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row>
    <row r="137" spans="1:60" x14ac:dyDescent="0.55000000000000004">
      <c r="A137" s="37"/>
      <c r="B137" s="37"/>
      <c r="C137" s="37"/>
      <c r="D137" s="37"/>
      <c r="E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row>
    <row r="138" spans="1:60" x14ac:dyDescent="0.55000000000000004">
      <c r="A138" s="37"/>
      <c r="B138" s="37"/>
      <c r="C138" s="37"/>
      <c r="D138" s="37"/>
      <c r="E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row>
    <row r="139" spans="1:60" x14ac:dyDescent="0.55000000000000004">
      <c r="A139" s="37"/>
      <c r="B139" s="37"/>
      <c r="C139" s="37"/>
      <c r="D139" s="37"/>
      <c r="E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row>
    <row r="140" spans="1:60" x14ac:dyDescent="0.55000000000000004">
      <c r="A140" s="37"/>
      <c r="B140" s="37"/>
      <c r="C140" s="37"/>
      <c r="D140" s="37"/>
      <c r="E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row>
    <row r="141" spans="1:60" x14ac:dyDescent="0.55000000000000004">
      <c r="A141" s="37"/>
      <c r="B141" s="37"/>
      <c r="C141" s="37"/>
      <c r="D141" s="37"/>
      <c r="E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row>
    <row r="142" spans="1:60" x14ac:dyDescent="0.55000000000000004">
      <c r="A142" s="37"/>
      <c r="B142" s="37"/>
      <c r="C142" s="37"/>
      <c r="D142" s="37"/>
      <c r="E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row>
    <row r="143" spans="1:60" x14ac:dyDescent="0.55000000000000004">
      <c r="A143" s="37"/>
      <c r="B143" s="37"/>
      <c r="C143" s="37"/>
      <c r="D143" s="37"/>
      <c r="E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row>
    <row r="144" spans="1:60" x14ac:dyDescent="0.55000000000000004">
      <c r="A144" s="37"/>
      <c r="B144" s="37"/>
      <c r="C144" s="37"/>
      <c r="D144" s="37"/>
      <c r="E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row>
    <row r="145" spans="1:60" x14ac:dyDescent="0.55000000000000004">
      <c r="A145" s="37"/>
      <c r="B145" s="37"/>
      <c r="C145" s="37"/>
      <c r="D145" s="37"/>
      <c r="E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row>
    <row r="146" spans="1:60" x14ac:dyDescent="0.55000000000000004">
      <c r="A146" s="37"/>
      <c r="B146" s="37"/>
      <c r="C146" s="37"/>
      <c r="D146" s="37"/>
      <c r="E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row>
    <row r="147" spans="1:60" x14ac:dyDescent="0.55000000000000004">
      <c r="A147" s="37"/>
      <c r="B147" s="37"/>
      <c r="C147" s="37"/>
      <c r="D147" s="37"/>
      <c r="E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row>
    <row r="148" spans="1:60" x14ac:dyDescent="0.55000000000000004">
      <c r="A148" s="37"/>
      <c r="B148" s="37"/>
      <c r="C148" s="37"/>
      <c r="D148" s="37"/>
      <c r="E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row>
    <row r="149" spans="1:60" x14ac:dyDescent="0.55000000000000004">
      <c r="A149" s="37"/>
      <c r="B149" s="37"/>
      <c r="C149" s="37"/>
      <c r="D149" s="37"/>
      <c r="E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row>
    <row r="150" spans="1:60" x14ac:dyDescent="0.55000000000000004">
      <c r="A150" s="37"/>
      <c r="B150" s="37"/>
      <c r="C150" s="37"/>
      <c r="D150" s="37"/>
      <c r="E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row>
    <row r="151" spans="1:60" x14ac:dyDescent="0.55000000000000004">
      <c r="A151" s="37"/>
      <c r="B151" s="37"/>
      <c r="C151" s="37"/>
      <c r="D151" s="37"/>
      <c r="E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row>
    <row r="152" spans="1:60" x14ac:dyDescent="0.55000000000000004">
      <c r="A152" s="37"/>
      <c r="B152" s="37"/>
      <c r="C152" s="37"/>
      <c r="D152" s="37"/>
      <c r="E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row>
    <row r="153" spans="1:60" x14ac:dyDescent="0.55000000000000004">
      <c r="A153" s="37"/>
      <c r="B153" s="37"/>
      <c r="C153" s="37"/>
      <c r="D153" s="37"/>
      <c r="E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row>
    <row r="154" spans="1:60" x14ac:dyDescent="0.55000000000000004">
      <c r="A154" s="37"/>
      <c r="B154" s="37"/>
      <c r="C154" s="37"/>
      <c r="D154" s="37"/>
      <c r="E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row>
    <row r="155" spans="1:60" x14ac:dyDescent="0.55000000000000004">
      <c r="A155" s="37"/>
      <c r="B155" s="37"/>
      <c r="C155" s="37"/>
      <c r="D155" s="37"/>
      <c r="E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row>
    <row r="156" spans="1:60" x14ac:dyDescent="0.55000000000000004">
      <c r="A156" s="37"/>
      <c r="B156" s="37"/>
      <c r="C156" s="37"/>
      <c r="D156" s="37"/>
      <c r="E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row>
    <row r="157" spans="1:60" x14ac:dyDescent="0.55000000000000004">
      <c r="A157" s="37"/>
      <c r="B157" s="37"/>
      <c r="C157" s="37"/>
      <c r="D157" s="37"/>
      <c r="E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row>
    <row r="158" spans="1:60" x14ac:dyDescent="0.55000000000000004">
      <c r="A158" s="37"/>
      <c r="B158" s="37"/>
      <c r="C158" s="37"/>
      <c r="D158" s="37"/>
      <c r="E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row>
    <row r="159" spans="1:60" x14ac:dyDescent="0.55000000000000004">
      <c r="A159" s="37"/>
      <c r="B159" s="37"/>
      <c r="C159" s="37"/>
      <c r="D159" s="37"/>
      <c r="E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row>
    <row r="160" spans="1:60" x14ac:dyDescent="0.55000000000000004">
      <c r="A160" s="37"/>
      <c r="B160" s="37"/>
      <c r="C160" s="37"/>
      <c r="D160" s="37"/>
      <c r="E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row>
    <row r="161" spans="1:60" x14ac:dyDescent="0.55000000000000004">
      <c r="A161" s="37"/>
      <c r="B161" s="37"/>
      <c r="C161" s="37"/>
      <c r="D161" s="37"/>
      <c r="E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row>
    <row r="162" spans="1:60" x14ac:dyDescent="0.55000000000000004">
      <c r="A162" s="37"/>
      <c r="B162" s="37"/>
      <c r="C162" s="37"/>
      <c r="D162" s="37"/>
      <c r="E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row>
    <row r="163" spans="1:60" x14ac:dyDescent="0.55000000000000004">
      <c r="A163" s="37"/>
      <c r="B163" s="37"/>
      <c r="C163" s="37"/>
      <c r="D163" s="37"/>
      <c r="E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row>
    <row r="164" spans="1:60" x14ac:dyDescent="0.55000000000000004">
      <c r="A164" s="37"/>
      <c r="B164" s="37"/>
      <c r="C164" s="37"/>
      <c r="D164" s="37"/>
      <c r="E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row>
    <row r="165" spans="1:60" x14ac:dyDescent="0.55000000000000004">
      <c r="A165" s="37"/>
      <c r="B165" s="37"/>
      <c r="C165" s="37"/>
      <c r="D165" s="37"/>
      <c r="E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row>
    <row r="166" spans="1:60" x14ac:dyDescent="0.55000000000000004">
      <c r="A166" s="37"/>
      <c r="B166" s="37"/>
      <c r="C166" s="37"/>
      <c r="D166" s="37"/>
      <c r="E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row>
    <row r="167" spans="1:60" x14ac:dyDescent="0.55000000000000004">
      <c r="A167" s="37"/>
      <c r="B167" s="37"/>
      <c r="C167" s="37"/>
      <c r="D167" s="37"/>
      <c r="E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row>
    <row r="168" spans="1:60" x14ac:dyDescent="0.55000000000000004">
      <c r="A168" s="37"/>
      <c r="B168" s="37"/>
      <c r="C168" s="37"/>
      <c r="D168" s="37"/>
      <c r="E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row>
    <row r="169" spans="1:60" x14ac:dyDescent="0.55000000000000004">
      <c r="A169" s="37"/>
      <c r="B169" s="37"/>
      <c r="C169" s="37"/>
      <c r="D169" s="37"/>
      <c r="E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row>
    <row r="170" spans="1:60" x14ac:dyDescent="0.55000000000000004">
      <c r="A170" s="37"/>
      <c r="B170" s="37"/>
      <c r="C170" s="37"/>
      <c r="D170" s="37"/>
      <c r="E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row>
    <row r="171" spans="1:60" x14ac:dyDescent="0.55000000000000004">
      <c r="A171" s="37"/>
      <c r="B171" s="37"/>
      <c r="C171" s="37"/>
      <c r="D171" s="37"/>
      <c r="E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row>
    <row r="172" spans="1:60" x14ac:dyDescent="0.55000000000000004">
      <c r="A172" s="37"/>
      <c r="B172" s="37"/>
      <c r="C172" s="37"/>
      <c r="D172" s="37"/>
      <c r="E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row>
    <row r="173" spans="1:60" x14ac:dyDescent="0.55000000000000004">
      <c r="A173" s="37"/>
      <c r="B173" s="37"/>
      <c r="C173" s="37"/>
      <c r="D173" s="37"/>
      <c r="E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row>
    <row r="174" spans="1:60" x14ac:dyDescent="0.55000000000000004">
      <c r="A174" s="37"/>
      <c r="B174" s="37"/>
      <c r="C174" s="37"/>
      <c r="D174" s="37"/>
      <c r="E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row>
    <row r="175" spans="1:60" x14ac:dyDescent="0.55000000000000004">
      <c r="A175" s="37"/>
      <c r="B175" s="37"/>
      <c r="C175" s="37"/>
      <c r="D175" s="37"/>
      <c r="E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row>
    <row r="176" spans="1:60" x14ac:dyDescent="0.55000000000000004">
      <c r="A176" s="37"/>
      <c r="B176" s="37"/>
      <c r="C176" s="37"/>
      <c r="D176" s="37"/>
      <c r="E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row>
    <row r="177" spans="1:60" x14ac:dyDescent="0.55000000000000004">
      <c r="A177" s="37"/>
      <c r="B177" s="37"/>
      <c r="C177" s="37"/>
      <c r="D177" s="37"/>
      <c r="E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row>
    <row r="178" spans="1:60" x14ac:dyDescent="0.55000000000000004">
      <c r="A178" s="37"/>
      <c r="B178" s="37"/>
      <c r="C178" s="37"/>
      <c r="D178" s="37"/>
      <c r="E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row>
    <row r="179" spans="1:60" x14ac:dyDescent="0.55000000000000004">
      <c r="A179" s="37"/>
      <c r="B179" s="37"/>
      <c r="C179" s="37"/>
      <c r="D179" s="37"/>
      <c r="E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row>
    <row r="180" spans="1:60" x14ac:dyDescent="0.55000000000000004">
      <c r="A180" s="37"/>
      <c r="B180" s="37"/>
      <c r="C180" s="37"/>
      <c r="D180" s="37"/>
      <c r="E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row>
    <row r="181" spans="1:60" x14ac:dyDescent="0.55000000000000004">
      <c r="A181" s="37"/>
      <c r="B181" s="37"/>
      <c r="C181" s="37"/>
      <c r="D181" s="37"/>
      <c r="E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row>
    <row r="182" spans="1:60" x14ac:dyDescent="0.55000000000000004">
      <c r="A182" s="37"/>
      <c r="B182" s="37"/>
      <c r="C182" s="37"/>
      <c r="D182" s="37"/>
      <c r="E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row>
    <row r="183" spans="1:60" x14ac:dyDescent="0.55000000000000004">
      <c r="A183" s="37"/>
      <c r="B183" s="37"/>
      <c r="C183" s="37"/>
      <c r="D183" s="37"/>
      <c r="E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row>
    <row r="184" spans="1:60" x14ac:dyDescent="0.55000000000000004">
      <c r="A184" s="37"/>
      <c r="B184" s="37"/>
      <c r="C184" s="37"/>
      <c r="D184" s="37"/>
      <c r="E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row>
    <row r="185" spans="1:60" x14ac:dyDescent="0.55000000000000004">
      <c r="A185" s="37"/>
      <c r="B185" s="37"/>
      <c r="C185" s="37"/>
      <c r="D185" s="37"/>
      <c r="E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row>
    <row r="186" spans="1:60" x14ac:dyDescent="0.55000000000000004">
      <c r="A186" s="37"/>
      <c r="B186" s="37"/>
      <c r="C186" s="37"/>
      <c r="D186" s="37"/>
      <c r="E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row>
    <row r="187" spans="1:60" x14ac:dyDescent="0.55000000000000004">
      <c r="A187" s="37"/>
      <c r="B187" s="37"/>
      <c r="C187" s="37"/>
      <c r="D187" s="37"/>
      <c r="E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row>
    <row r="188" spans="1:60" x14ac:dyDescent="0.55000000000000004">
      <c r="A188" s="37"/>
      <c r="B188" s="37"/>
      <c r="C188" s="37"/>
      <c r="D188" s="37"/>
      <c r="E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row>
    <row r="189" spans="1:60" x14ac:dyDescent="0.55000000000000004">
      <c r="A189" s="37"/>
      <c r="B189" s="37"/>
      <c r="C189" s="37"/>
      <c r="D189" s="37"/>
      <c r="E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row>
    <row r="190" spans="1:60" x14ac:dyDescent="0.55000000000000004">
      <c r="A190" s="37"/>
      <c r="B190" s="37"/>
      <c r="C190" s="37"/>
      <c r="D190" s="37"/>
      <c r="E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row>
    <row r="191" spans="1:60" x14ac:dyDescent="0.55000000000000004">
      <c r="A191" s="37"/>
      <c r="B191" s="37"/>
      <c r="C191" s="37"/>
      <c r="D191" s="37"/>
      <c r="E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row>
    <row r="192" spans="1:60" x14ac:dyDescent="0.55000000000000004">
      <c r="A192" s="37"/>
      <c r="B192" s="37"/>
      <c r="C192" s="37"/>
      <c r="D192" s="37"/>
      <c r="E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row>
    <row r="193" spans="1:60" x14ac:dyDescent="0.55000000000000004">
      <c r="A193" s="37"/>
      <c r="B193" s="37"/>
      <c r="C193" s="37"/>
      <c r="D193" s="37"/>
      <c r="E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row>
    <row r="194" spans="1:60" x14ac:dyDescent="0.55000000000000004">
      <c r="A194" s="37"/>
      <c r="B194" s="37"/>
      <c r="C194" s="37"/>
      <c r="D194" s="37"/>
      <c r="E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row>
    <row r="195" spans="1:60" x14ac:dyDescent="0.55000000000000004">
      <c r="A195" s="37"/>
      <c r="B195" s="37"/>
      <c r="C195" s="37"/>
      <c r="D195" s="37"/>
      <c r="E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row>
    <row r="196" spans="1:60" x14ac:dyDescent="0.55000000000000004">
      <c r="A196" s="37"/>
      <c r="B196" s="37"/>
      <c r="C196" s="37"/>
      <c r="D196" s="37"/>
      <c r="E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row>
    <row r="197" spans="1:60" x14ac:dyDescent="0.55000000000000004">
      <c r="A197" s="37"/>
      <c r="B197" s="37"/>
      <c r="C197" s="37"/>
      <c r="D197" s="37"/>
      <c r="E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row>
    <row r="198" spans="1:60" x14ac:dyDescent="0.55000000000000004">
      <c r="A198" s="37"/>
      <c r="B198" s="37"/>
      <c r="C198" s="37"/>
      <c r="D198" s="37"/>
      <c r="E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row>
    <row r="199" spans="1:60" x14ac:dyDescent="0.55000000000000004">
      <c r="A199" s="37"/>
      <c r="B199" s="37"/>
      <c r="C199" s="37"/>
      <c r="D199" s="37"/>
      <c r="E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row>
    <row r="200" spans="1:60" x14ac:dyDescent="0.55000000000000004">
      <c r="A200" s="37"/>
      <c r="B200" s="37"/>
      <c r="C200" s="37"/>
      <c r="D200" s="37"/>
      <c r="E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row>
    <row r="201" spans="1:60" x14ac:dyDescent="0.55000000000000004">
      <c r="A201" s="37"/>
      <c r="B201" s="37"/>
      <c r="C201" s="37"/>
      <c r="D201" s="37"/>
      <c r="E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row>
    <row r="202" spans="1:60" x14ac:dyDescent="0.55000000000000004">
      <c r="A202" s="37"/>
      <c r="B202" s="37"/>
      <c r="C202" s="37"/>
      <c r="D202" s="37"/>
      <c r="E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row>
    <row r="203" spans="1:60" x14ac:dyDescent="0.55000000000000004">
      <c r="A203" s="37"/>
      <c r="B203" s="37"/>
      <c r="C203" s="37"/>
      <c r="D203" s="37"/>
      <c r="E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row>
    <row r="204" spans="1:60" x14ac:dyDescent="0.55000000000000004">
      <c r="A204" s="37"/>
      <c r="B204" s="37"/>
      <c r="C204" s="37"/>
      <c r="D204" s="37"/>
      <c r="E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row>
    <row r="205" spans="1:60" x14ac:dyDescent="0.55000000000000004">
      <c r="A205" s="37"/>
      <c r="B205" s="37"/>
      <c r="C205" s="37"/>
      <c r="D205" s="37"/>
      <c r="E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row>
    <row r="206" spans="1:60" x14ac:dyDescent="0.55000000000000004">
      <c r="A206" s="37"/>
      <c r="B206" s="37"/>
      <c r="C206" s="37"/>
      <c r="D206" s="37"/>
      <c r="E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row>
    <row r="207" spans="1:60" x14ac:dyDescent="0.55000000000000004">
      <c r="A207" s="37"/>
      <c r="B207" s="37"/>
      <c r="C207" s="37"/>
      <c r="D207" s="37"/>
      <c r="E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row>
    <row r="208" spans="1:60" x14ac:dyDescent="0.55000000000000004">
      <c r="A208" s="37"/>
      <c r="B208" s="37"/>
      <c r="C208" s="37"/>
      <c r="D208" s="37"/>
      <c r="E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row>
    <row r="209" spans="1:60" x14ac:dyDescent="0.55000000000000004">
      <c r="A209" s="37"/>
      <c r="B209" s="37"/>
      <c r="C209" s="37"/>
      <c r="D209" s="37"/>
      <c r="E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row>
    <row r="210" spans="1:60" x14ac:dyDescent="0.55000000000000004">
      <c r="A210" s="37"/>
      <c r="B210" s="37"/>
      <c r="C210" s="37"/>
      <c r="D210" s="37"/>
      <c r="E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row>
    <row r="211" spans="1:60" x14ac:dyDescent="0.55000000000000004">
      <c r="A211" s="37"/>
      <c r="B211" s="37"/>
      <c r="C211" s="37"/>
      <c r="D211" s="37"/>
      <c r="E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row>
    <row r="212" spans="1:60" x14ac:dyDescent="0.55000000000000004">
      <c r="A212" s="37"/>
      <c r="B212" s="37"/>
      <c r="C212" s="37"/>
      <c r="D212" s="37"/>
      <c r="E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row>
    <row r="213" spans="1:60" x14ac:dyDescent="0.55000000000000004">
      <c r="A213" s="37"/>
      <c r="B213" s="37"/>
      <c r="C213" s="37"/>
      <c r="D213" s="37"/>
      <c r="E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row>
    <row r="214" spans="1:60" x14ac:dyDescent="0.55000000000000004">
      <c r="A214" s="37"/>
      <c r="B214" s="37"/>
      <c r="C214" s="37"/>
      <c r="D214" s="37"/>
      <c r="E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row>
    <row r="215" spans="1:60" x14ac:dyDescent="0.55000000000000004">
      <c r="A215" s="37"/>
      <c r="B215" s="37"/>
      <c r="C215" s="37"/>
      <c r="D215" s="37"/>
      <c r="E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row>
    <row r="216" spans="1:60" x14ac:dyDescent="0.55000000000000004">
      <c r="A216" s="37"/>
      <c r="B216" s="37"/>
      <c r="C216" s="37"/>
      <c r="D216" s="37"/>
      <c r="E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row>
    <row r="217" spans="1:60" x14ac:dyDescent="0.55000000000000004">
      <c r="A217" s="37"/>
      <c r="B217" s="37"/>
      <c r="C217" s="37"/>
      <c r="D217" s="37"/>
      <c r="E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row>
    <row r="218" spans="1:60" x14ac:dyDescent="0.55000000000000004">
      <c r="A218" s="37"/>
      <c r="B218" s="37"/>
      <c r="C218" s="37"/>
      <c r="D218" s="37"/>
      <c r="E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row>
    <row r="219" spans="1:60" x14ac:dyDescent="0.55000000000000004">
      <c r="A219" s="37"/>
      <c r="B219" s="37"/>
      <c r="C219" s="37"/>
      <c r="D219" s="37"/>
      <c r="E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row>
    <row r="220" spans="1:60" x14ac:dyDescent="0.55000000000000004">
      <c r="A220" s="37"/>
      <c r="B220" s="37"/>
      <c r="C220" s="37"/>
      <c r="D220" s="37"/>
      <c r="E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row>
    <row r="221" spans="1:60" x14ac:dyDescent="0.55000000000000004">
      <c r="A221" s="37"/>
      <c r="B221" s="37"/>
      <c r="C221" s="37"/>
      <c r="D221" s="37"/>
      <c r="E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row>
    <row r="222" spans="1:60" x14ac:dyDescent="0.55000000000000004">
      <c r="A222" s="37"/>
      <c r="B222" s="37"/>
      <c r="C222" s="37"/>
      <c r="D222" s="37"/>
      <c r="E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row>
    <row r="223" spans="1:60" x14ac:dyDescent="0.55000000000000004">
      <c r="A223" s="37"/>
      <c r="B223" s="37"/>
      <c r="C223" s="37"/>
      <c r="D223" s="37"/>
      <c r="E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row>
    <row r="224" spans="1:60" x14ac:dyDescent="0.55000000000000004">
      <c r="A224" s="37"/>
      <c r="B224" s="37"/>
      <c r="C224" s="37"/>
      <c r="D224" s="37"/>
      <c r="E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row>
    <row r="225" spans="1:60" x14ac:dyDescent="0.55000000000000004">
      <c r="A225" s="37"/>
      <c r="B225" s="37"/>
      <c r="C225" s="37"/>
      <c r="D225" s="37"/>
      <c r="E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row>
    <row r="226" spans="1:60" x14ac:dyDescent="0.55000000000000004">
      <c r="A226" s="37"/>
      <c r="B226" s="37"/>
      <c r="C226" s="37"/>
      <c r="D226" s="37"/>
      <c r="E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row>
    <row r="227" spans="1:60" x14ac:dyDescent="0.55000000000000004">
      <c r="A227" s="37"/>
      <c r="B227" s="37"/>
      <c r="C227" s="37"/>
      <c r="D227" s="37"/>
      <c r="E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row>
    <row r="228" spans="1:60" x14ac:dyDescent="0.55000000000000004">
      <c r="A228" s="37"/>
      <c r="B228" s="37"/>
      <c r="C228" s="37"/>
      <c r="D228" s="37"/>
      <c r="E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row>
    <row r="229" spans="1:60" x14ac:dyDescent="0.55000000000000004">
      <c r="A229" s="37"/>
      <c r="B229" s="37"/>
      <c r="C229" s="37"/>
      <c r="D229" s="37"/>
      <c r="E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row>
    <row r="230" spans="1:60" x14ac:dyDescent="0.55000000000000004">
      <c r="A230" s="37"/>
      <c r="B230" s="37"/>
      <c r="C230" s="37"/>
      <c r="D230" s="37"/>
      <c r="E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row>
    <row r="231" spans="1:60" x14ac:dyDescent="0.55000000000000004">
      <c r="A231" s="37"/>
      <c r="B231" s="37"/>
      <c r="C231" s="37"/>
      <c r="D231" s="37"/>
      <c r="E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row>
    <row r="232" spans="1:60" x14ac:dyDescent="0.55000000000000004">
      <c r="A232" s="37"/>
      <c r="B232" s="37"/>
      <c r="C232" s="37"/>
      <c r="D232" s="37"/>
      <c r="E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row>
    <row r="233" spans="1:60" x14ac:dyDescent="0.55000000000000004">
      <c r="A233" s="37"/>
      <c r="B233" s="37"/>
      <c r="C233" s="37"/>
      <c r="D233" s="37"/>
      <c r="E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row>
    <row r="234" spans="1:60" x14ac:dyDescent="0.55000000000000004">
      <c r="A234" s="37"/>
      <c r="B234" s="37"/>
      <c r="C234" s="37"/>
      <c r="D234" s="37"/>
      <c r="E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row>
    <row r="235" spans="1:60" x14ac:dyDescent="0.55000000000000004">
      <c r="A235" s="37"/>
      <c r="B235" s="37"/>
      <c r="C235" s="37"/>
      <c r="D235" s="37"/>
      <c r="E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row>
    <row r="236" spans="1:60" x14ac:dyDescent="0.55000000000000004">
      <c r="A236" s="37"/>
      <c r="B236" s="37"/>
      <c r="C236" s="37"/>
      <c r="D236" s="37"/>
      <c r="E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row>
    <row r="237" spans="1:60" x14ac:dyDescent="0.55000000000000004">
      <c r="A237" s="37"/>
      <c r="B237" s="37"/>
      <c r="C237" s="37"/>
      <c r="D237" s="37"/>
      <c r="E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row>
    <row r="238" spans="1:60" x14ac:dyDescent="0.55000000000000004">
      <c r="A238" s="37"/>
      <c r="B238" s="37"/>
      <c r="C238" s="37"/>
      <c r="D238" s="37"/>
      <c r="E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row>
    <row r="239" spans="1:60" x14ac:dyDescent="0.55000000000000004">
      <c r="A239" s="37"/>
      <c r="B239" s="37"/>
      <c r="C239" s="37"/>
      <c r="D239" s="37"/>
      <c r="E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row>
    <row r="240" spans="1:60" x14ac:dyDescent="0.55000000000000004">
      <c r="A240" s="37"/>
      <c r="B240" s="37"/>
      <c r="C240" s="37"/>
      <c r="D240" s="37"/>
      <c r="E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row>
    <row r="241" spans="1:60" x14ac:dyDescent="0.55000000000000004">
      <c r="A241" s="37"/>
      <c r="B241" s="37"/>
      <c r="C241" s="37"/>
      <c r="D241" s="37"/>
      <c r="E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row>
    <row r="242" spans="1:60" x14ac:dyDescent="0.55000000000000004">
      <c r="A242" s="37"/>
      <c r="B242" s="37"/>
      <c r="C242" s="37"/>
      <c r="D242" s="37"/>
      <c r="E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row>
    <row r="243" spans="1:60" x14ac:dyDescent="0.55000000000000004">
      <c r="A243" s="37"/>
      <c r="B243" s="37"/>
      <c r="C243" s="37"/>
      <c r="D243" s="37"/>
      <c r="E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row>
    <row r="244" spans="1:60" x14ac:dyDescent="0.55000000000000004">
      <c r="A244" s="37"/>
      <c r="B244" s="37"/>
      <c r="C244" s="37"/>
      <c r="D244" s="37"/>
      <c r="E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row>
    <row r="245" spans="1:60" x14ac:dyDescent="0.55000000000000004">
      <c r="A245" s="37"/>
      <c r="B245" s="37"/>
      <c r="C245" s="37"/>
      <c r="D245" s="37"/>
      <c r="E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row>
    <row r="246" spans="1:60" x14ac:dyDescent="0.55000000000000004">
      <c r="A246" s="37"/>
      <c r="B246" s="37"/>
      <c r="C246" s="37"/>
      <c r="D246" s="37"/>
      <c r="E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row>
    <row r="247" spans="1:60" x14ac:dyDescent="0.55000000000000004">
      <c r="A247" s="37"/>
      <c r="B247" s="37"/>
      <c r="C247" s="37"/>
      <c r="D247" s="37"/>
      <c r="E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row>
    <row r="248" spans="1:60" x14ac:dyDescent="0.55000000000000004">
      <c r="A248" s="37"/>
      <c r="B248" s="37"/>
      <c r="C248" s="37"/>
      <c r="D248" s="37"/>
      <c r="E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row>
    <row r="249" spans="1:60" x14ac:dyDescent="0.55000000000000004">
      <c r="A249" s="37"/>
      <c r="B249" s="37"/>
      <c r="C249" s="37"/>
      <c r="D249" s="37"/>
      <c r="E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row>
    <row r="250" spans="1:60" x14ac:dyDescent="0.55000000000000004">
      <c r="A250" s="37"/>
      <c r="B250" s="37"/>
      <c r="C250" s="37"/>
      <c r="D250" s="37"/>
      <c r="E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row>
    <row r="251" spans="1:60" x14ac:dyDescent="0.55000000000000004">
      <c r="A251" s="37"/>
      <c r="B251" s="37"/>
      <c r="C251" s="37"/>
      <c r="D251" s="37"/>
      <c r="E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row>
    <row r="252" spans="1:60" x14ac:dyDescent="0.55000000000000004">
      <c r="A252" s="37"/>
      <c r="B252" s="37"/>
      <c r="C252" s="37"/>
      <c r="D252" s="37"/>
      <c r="E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row>
    <row r="253" spans="1:60" x14ac:dyDescent="0.55000000000000004">
      <c r="A253" s="37"/>
      <c r="B253" s="37"/>
      <c r="C253" s="37"/>
      <c r="D253" s="37"/>
      <c r="E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row>
    <row r="254" spans="1:60" x14ac:dyDescent="0.55000000000000004">
      <c r="A254" s="37"/>
      <c r="B254" s="37"/>
      <c r="C254" s="37"/>
      <c r="D254" s="37"/>
      <c r="E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row>
    <row r="255" spans="1:60" x14ac:dyDescent="0.55000000000000004">
      <c r="A255" s="37"/>
      <c r="B255" s="37"/>
      <c r="C255" s="37"/>
      <c r="D255" s="37"/>
      <c r="E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row>
    <row r="256" spans="1:60" x14ac:dyDescent="0.55000000000000004">
      <c r="A256" s="37"/>
      <c r="B256" s="37"/>
      <c r="C256" s="37"/>
      <c r="D256" s="37"/>
      <c r="E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row>
    <row r="257" spans="1:60" x14ac:dyDescent="0.55000000000000004">
      <c r="A257" s="37"/>
      <c r="B257" s="37"/>
      <c r="C257" s="37"/>
      <c r="D257" s="37"/>
      <c r="E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row>
    <row r="258" spans="1:60" x14ac:dyDescent="0.55000000000000004">
      <c r="A258" s="37"/>
      <c r="B258" s="37"/>
      <c r="C258" s="37"/>
      <c r="D258" s="37"/>
      <c r="E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row>
    <row r="259" spans="1:60" x14ac:dyDescent="0.55000000000000004">
      <c r="A259" s="37"/>
      <c r="B259" s="37"/>
      <c r="C259" s="37"/>
      <c r="D259" s="37"/>
      <c r="E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row>
    <row r="260" spans="1:60" x14ac:dyDescent="0.55000000000000004">
      <c r="A260" s="37"/>
      <c r="B260" s="37"/>
      <c r="C260" s="37"/>
      <c r="D260" s="37"/>
      <c r="E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row>
    <row r="261" spans="1:60" x14ac:dyDescent="0.55000000000000004">
      <c r="A261" s="37"/>
      <c r="B261" s="37"/>
      <c r="C261" s="37"/>
      <c r="D261" s="37"/>
      <c r="E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row>
    <row r="262" spans="1:60" x14ac:dyDescent="0.55000000000000004">
      <c r="A262" s="37"/>
      <c r="B262" s="37"/>
      <c r="C262" s="37"/>
      <c r="D262" s="37"/>
      <c r="E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row>
    <row r="263" spans="1:60" x14ac:dyDescent="0.55000000000000004">
      <c r="A263" s="37"/>
      <c r="B263" s="37"/>
      <c r="C263" s="37"/>
      <c r="D263" s="37"/>
      <c r="E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row>
    <row r="264" spans="1:60" x14ac:dyDescent="0.55000000000000004">
      <c r="A264" s="37"/>
      <c r="B264" s="37"/>
      <c r="C264" s="37"/>
      <c r="D264" s="37"/>
      <c r="E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row>
    <row r="265" spans="1:60" x14ac:dyDescent="0.55000000000000004">
      <c r="A265" s="37"/>
      <c r="B265" s="37"/>
      <c r="C265" s="37"/>
      <c r="D265" s="37"/>
      <c r="E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row>
    <row r="266" spans="1:60" x14ac:dyDescent="0.55000000000000004">
      <c r="A266" s="37"/>
      <c r="B266" s="37"/>
      <c r="C266" s="37"/>
      <c r="D266" s="37"/>
      <c r="E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row>
    <row r="267" spans="1:60" x14ac:dyDescent="0.55000000000000004">
      <c r="A267" s="37"/>
      <c r="B267" s="37"/>
      <c r="C267" s="37"/>
      <c r="D267" s="37"/>
      <c r="E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row>
    <row r="268" spans="1:60" x14ac:dyDescent="0.55000000000000004">
      <c r="A268" s="37"/>
      <c r="B268" s="37"/>
      <c r="C268" s="37"/>
      <c r="D268" s="37"/>
      <c r="E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row>
    <row r="269" spans="1:60" x14ac:dyDescent="0.55000000000000004">
      <c r="A269" s="37"/>
      <c r="B269" s="37"/>
      <c r="C269" s="37"/>
      <c r="D269" s="37"/>
      <c r="E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row>
    <row r="270" spans="1:60" x14ac:dyDescent="0.55000000000000004">
      <c r="A270" s="37"/>
      <c r="B270" s="37"/>
      <c r="C270" s="37"/>
      <c r="D270" s="37"/>
      <c r="E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row>
    <row r="271" spans="1:60" x14ac:dyDescent="0.55000000000000004">
      <c r="A271" s="37"/>
      <c r="B271" s="37"/>
      <c r="C271" s="37"/>
      <c r="D271" s="37"/>
      <c r="E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row>
    <row r="272" spans="1:60" x14ac:dyDescent="0.55000000000000004">
      <c r="A272" s="37"/>
      <c r="B272" s="37"/>
      <c r="C272" s="37"/>
      <c r="D272" s="37"/>
      <c r="E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row>
    <row r="273" spans="1:60" x14ac:dyDescent="0.55000000000000004">
      <c r="A273" s="37"/>
      <c r="B273" s="37"/>
      <c r="C273" s="37"/>
      <c r="D273" s="37"/>
      <c r="E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row>
    <row r="274" spans="1:60" x14ac:dyDescent="0.55000000000000004">
      <c r="A274" s="37"/>
      <c r="B274" s="37"/>
      <c r="C274" s="37"/>
      <c r="D274" s="37"/>
      <c r="E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row>
    <row r="275" spans="1:60" x14ac:dyDescent="0.55000000000000004">
      <c r="A275" s="37"/>
      <c r="B275" s="37"/>
      <c r="C275" s="37"/>
      <c r="D275" s="37"/>
      <c r="E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row>
    <row r="276" spans="1:60" x14ac:dyDescent="0.55000000000000004">
      <c r="A276" s="37"/>
      <c r="B276" s="37"/>
      <c r="C276" s="37"/>
      <c r="D276" s="37"/>
      <c r="E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row>
    <row r="277" spans="1:60" x14ac:dyDescent="0.55000000000000004">
      <c r="A277" s="37"/>
      <c r="B277" s="37"/>
      <c r="C277" s="37"/>
      <c r="D277" s="37"/>
      <c r="E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row>
    <row r="278" spans="1:60" x14ac:dyDescent="0.55000000000000004">
      <c r="A278" s="37"/>
      <c r="B278" s="37"/>
      <c r="C278" s="37"/>
      <c r="D278" s="37"/>
      <c r="E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row>
    <row r="279" spans="1:60" x14ac:dyDescent="0.55000000000000004">
      <c r="A279" s="37"/>
      <c r="B279" s="37"/>
      <c r="C279" s="37"/>
      <c r="D279" s="37"/>
      <c r="E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row>
    <row r="280" spans="1:60" x14ac:dyDescent="0.55000000000000004">
      <c r="A280" s="37"/>
      <c r="B280" s="37"/>
      <c r="C280" s="37"/>
      <c r="D280" s="37"/>
      <c r="E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row>
    <row r="281" spans="1:60" x14ac:dyDescent="0.55000000000000004">
      <c r="A281" s="37"/>
      <c r="B281" s="37"/>
      <c r="C281" s="37"/>
      <c r="D281" s="37"/>
      <c r="E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row>
    <row r="282" spans="1:60" x14ac:dyDescent="0.55000000000000004">
      <c r="A282" s="37"/>
      <c r="B282" s="37"/>
      <c r="C282" s="37"/>
      <c r="D282" s="37"/>
      <c r="E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row>
    <row r="283" spans="1:60" x14ac:dyDescent="0.55000000000000004">
      <c r="A283" s="37"/>
      <c r="B283" s="37"/>
      <c r="C283" s="37"/>
      <c r="D283" s="37"/>
      <c r="E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row>
    <row r="284" spans="1:60" x14ac:dyDescent="0.55000000000000004">
      <c r="A284" s="37"/>
      <c r="B284" s="37"/>
      <c r="C284" s="37"/>
      <c r="D284" s="37"/>
      <c r="E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row>
    <row r="285" spans="1:60" x14ac:dyDescent="0.55000000000000004">
      <c r="A285" s="37"/>
      <c r="B285" s="37"/>
      <c r="C285" s="37"/>
      <c r="D285" s="37"/>
      <c r="E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row>
    <row r="286" spans="1:60" x14ac:dyDescent="0.55000000000000004">
      <c r="A286" s="37"/>
      <c r="B286" s="37"/>
      <c r="C286" s="37"/>
      <c r="D286" s="37"/>
      <c r="E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row>
    <row r="287" spans="1:60" x14ac:dyDescent="0.55000000000000004">
      <c r="A287" s="37"/>
      <c r="B287" s="37"/>
      <c r="C287" s="37"/>
      <c r="D287" s="37"/>
      <c r="E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row>
    <row r="288" spans="1:60" x14ac:dyDescent="0.55000000000000004">
      <c r="A288" s="37"/>
      <c r="B288" s="37"/>
      <c r="C288" s="37"/>
      <c r="D288" s="37"/>
      <c r="E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row>
    <row r="289" spans="1:60" x14ac:dyDescent="0.55000000000000004">
      <c r="A289" s="37"/>
      <c r="B289" s="37"/>
      <c r="C289" s="37"/>
      <c r="D289" s="37"/>
      <c r="E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row>
    <row r="290" spans="1:60" x14ac:dyDescent="0.55000000000000004">
      <c r="A290" s="37"/>
      <c r="B290" s="37"/>
      <c r="C290" s="37"/>
      <c r="D290" s="37"/>
      <c r="E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row>
    <row r="291" spans="1:60" x14ac:dyDescent="0.55000000000000004">
      <c r="A291" s="37"/>
      <c r="B291" s="37"/>
      <c r="C291" s="37"/>
      <c r="D291" s="37"/>
      <c r="E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row>
    <row r="292" spans="1:60" x14ac:dyDescent="0.55000000000000004">
      <c r="A292" s="37"/>
      <c r="B292" s="37"/>
      <c r="C292" s="37"/>
      <c r="D292" s="37"/>
      <c r="E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row>
    <row r="293" spans="1:60" x14ac:dyDescent="0.55000000000000004">
      <c r="A293" s="37"/>
      <c r="B293" s="37"/>
      <c r="C293" s="37"/>
      <c r="D293" s="37"/>
      <c r="E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row>
    <row r="294" spans="1:60" x14ac:dyDescent="0.55000000000000004">
      <c r="A294" s="37"/>
      <c r="B294" s="37"/>
      <c r="C294" s="37"/>
      <c r="D294" s="37"/>
      <c r="E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row>
    <row r="295" spans="1:60" x14ac:dyDescent="0.55000000000000004">
      <c r="A295" s="37"/>
      <c r="B295" s="37"/>
      <c r="C295" s="37"/>
      <c r="D295" s="37"/>
      <c r="E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row>
    <row r="296" spans="1:60" x14ac:dyDescent="0.55000000000000004">
      <c r="A296" s="37"/>
      <c r="B296" s="37"/>
      <c r="C296" s="37"/>
      <c r="D296" s="37"/>
      <c r="E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row>
    <row r="297" spans="1:60" x14ac:dyDescent="0.55000000000000004">
      <c r="A297" s="37"/>
      <c r="B297" s="37"/>
      <c r="C297" s="37"/>
      <c r="D297" s="37"/>
      <c r="E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row>
    <row r="298" spans="1:60" x14ac:dyDescent="0.55000000000000004">
      <c r="A298" s="37"/>
      <c r="B298" s="37"/>
      <c r="C298" s="37"/>
      <c r="D298" s="37"/>
      <c r="E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row>
    <row r="299" spans="1:60" x14ac:dyDescent="0.55000000000000004">
      <c r="A299" s="37"/>
      <c r="B299" s="37"/>
      <c r="C299" s="37"/>
      <c r="D299" s="37"/>
      <c r="E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row>
    <row r="300" spans="1:60" x14ac:dyDescent="0.55000000000000004">
      <c r="A300" s="37"/>
      <c r="B300" s="37"/>
      <c r="C300" s="37"/>
      <c r="D300" s="37"/>
      <c r="E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row>
    <row r="301" spans="1:60" x14ac:dyDescent="0.55000000000000004">
      <c r="A301" s="37"/>
      <c r="B301" s="37"/>
      <c r="C301" s="37"/>
      <c r="D301" s="37"/>
      <c r="E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row>
    <row r="302" spans="1:60" x14ac:dyDescent="0.55000000000000004">
      <c r="A302" s="37"/>
      <c r="B302" s="37"/>
      <c r="C302" s="37"/>
      <c r="D302" s="37"/>
      <c r="E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row>
    <row r="303" spans="1:60" x14ac:dyDescent="0.55000000000000004">
      <c r="A303" s="37"/>
      <c r="B303" s="37"/>
      <c r="C303" s="37"/>
      <c r="D303" s="37"/>
      <c r="E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row>
    <row r="304" spans="1:60" x14ac:dyDescent="0.55000000000000004">
      <c r="A304" s="37"/>
      <c r="B304" s="37"/>
      <c r="C304" s="37"/>
      <c r="D304" s="37"/>
      <c r="E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row>
    <row r="305" spans="1:60" x14ac:dyDescent="0.55000000000000004">
      <c r="A305" s="37"/>
      <c r="B305" s="37"/>
      <c r="C305" s="37"/>
      <c r="D305" s="37"/>
      <c r="E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row>
    <row r="306" spans="1:60" x14ac:dyDescent="0.55000000000000004">
      <c r="A306" s="37"/>
      <c r="B306" s="37"/>
      <c r="C306" s="37"/>
      <c r="D306" s="37"/>
      <c r="E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row>
    <row r="307" spans="1:60" x14ac:dyDescent="0.55000000000000004">
      <c r="A307" s="37"/>
      <c r="B307" s="37"/>
      <c r="C307" s="37"/>
      <c r="D307" s="37"/>
      <c r="E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row>
    <row r="308" spans="1:60" x14ac:dyDescent="0.55000000000000004">
      <c r="A308" s="37"/>
      <c r="B308" s="37"/>
      <c r="C308" s="37"/>
      <c r="D308" s="37"/>
      <c r="E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row>
    <row r="309" spans="1:60" x14ac:dyDescent="0.55000000000000004">
      <c r="A309" s="37"/>
      <c r="B309" s="37"/>
      <c r="C309" s="37"/>
      <c r="D309" s="37"/>
      <c r="E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row>
    <row r="310" spans="1:60" x14ac:dyDescent="0.55000000000000004">
      <c r="A310" s="37"/>
      <c r="B310" s="37"/>
      <c r="C310" s="37"/>
      <c r="D310" s="37"/>
      <c r="E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row>
    <row r="311" spans="1:60" x14ac:dyDescent="0.55000000000000004">
      <c r="A311" s="37"/>
      <c r="B311" s="37"/>
      <c r="C311" s="37"/>
      <c r="D311" s="37"/>
      <c r="E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row>
    <row r="312" spans="1:60" x14ac:dyDescent="0.55000000000000004">
      <c r="A312" s="37"/>
      <c r="B312" s="37"/>
      <c r="C312" s="37"/>
      <c r="D312" s="37"/>
      <c r="E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row>
    <row r="313" spans="1:60" x14ac:dyDescent="0.55000000000000004">
      <c r="A313" s="37"/>
      <c r="B313" s="37"/>
      <c r="C313" s="37"/>
      <c r="D313" s="37"/>
      <c r="E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row>
    <row r="314" spans="1:60" x14ac:dyDescent="0.55000000000000004">
      <c r="A314" s="37"/>
      <c r="B314" s="37"/>
      <c r="C314" s="37"/>
      <c r="D314" s="37"/>
      <c r="E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row>
  </sheetData>
  <mergeCells count="12">
    <mergeCell ref="BI1:BJ1"/>
    <mergeCell ref="BB1:BG1"/>
    <mergeCell ref="H1:K1"/>
    <mergeCell ref="B1:F1"/>
    <mergeCell ref="L1:Q1"/>
    <mergeCell ref="R1:T1"/>
    <mergeCell ref="U1:W1"/>
    <mergeCell ref="X1:AC1"/>
    <mergeCell ref="AD1:AI1"/>
    <mergeCell ref="AJ1:AO1"/>
    <mergeCell ref="AP1:AU1"/>
    <mergeCell ref="AV1:BA1"/>
  </mergeCells>
  <phoneticPr fontId="21" type="noConversion"/>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34A0-2468-4A9A-B47D-A67DA7F2D46F}">
  <sheetPr codeName="Sheet3">
    <tabColor theme="0" tint="-4.9989318521683403E-2"/>
  </sheetPr>
  <dimension ref="A1:BK305"/>
  <sheetViews>
    <sheetView tabSelected="1" zoomScale="85" zoomScaleNormal="85" workbookViewId="0">
      <selection activeCell="T54" sqref="T54"/>
    </sheetView>
  </sheetViews>
  <sheetFormatPr defaultColWidth="8.83984375" defaultRowHeight="15" customHeight="1" x14ac:dyDescent="0.55000000000000004"/>
  <cols>
    <col min="1" max="1" width="14.26171875" style="56" customWidth="1"/>
    <col min="2" max="2" width="6.1015625" style="56" customWidth="1"/>
    <col min="3" max="8" width="6.47265625" style="56" customWidth="1"/>
    <col min="9" max="9" width="2" style="56" customWidth="1"/>
    <col min="10" max="10" width="14.26171875" style="56" customWidth="1"/>
    <col min="11" max="11" width="6.1015625" style="56" customWidth="1"/>
    <col min="12" max="17" width="6.47265625" style="56" customWidth="1"/>
    <col min="18" max="18" width="2.578125" style="56" customWidth="1"/>
    <col min="19" max="19" width="14.26171875" style="56" customWidth="1"/>
    <col min="20" max="20" width="6.1015625" style="56" customWidth="1"/>
    <col min="21" max="26" width="6.47265625" style="56" customWidth="1"/>
    <col min="27" max="27" width="2.41796875" style="56" customWidth="1"/>
    <col min="28" max="28" width="17.62890625" style="56" bestFit="1" customWidth="1"/>
    <col min="29" max="29" width="3.41796875" style="56" customWidth="1"/>
    <col min="30" max="35" width="6.41796875" style="56" customWidth="1"/>
    <col min="36" max="36" width="2.41796875" style="56" customWidth="1"/>
    <col min="37" max="37" width="9.15625" style="56" customWidth="1"/>
    <col min="38" max="38" width="4.5234375" style="56" customWidth="1"/>
    <col min="39" max="44" width="6.47265625" style="56" customWidth="1"/>
    <col min="45" max="45" width="2.15625" style="56" customWidth="1"/>
    <col min="46" max="51" width="10.62890625" style="56" customWidth="1"/>
    <col min="52" max="52" width="2.41796875" style="56" customWidth="1"/>
    <col min="53" max="53" width="8.83984375" style="56" customWidth="1"/>
    <col min="54" max="16384" width="8.83984375" style="56"/>
  </cols>
  <sheetData>
    <row r="1" spans="1:44" ht="14.5" customHeight="1" x14ac:dyDescent="0.55000000000000004">
      <c r="A1" s="243" t="s">
        <v>123</v>
      </c>
      <c r="B1" s="243"/>
      <c r="C1" s="73">
        <f>VLOOKUP(S1,Table1[],8,FALSE)</f>
        <v>152.4</v>
      </c>
      <c r="D1" s="162"/>
      <c r="E1" s="222" t="s">
        <v>124</v>
      </c>
      <c r="F1" s="222"/>
      <c r="G1" s="222"/>
      <c r="H1" s="221">
        <f>VLOOKUP(S1,Table1[],5,FALSE)</f>
        <v>59600000</v>
      </c>
      <c r="I1" s="221"/>
      <c r="J1" s="227" t="s">
        <v>125</v>
      </c>
      <c r="K1" s="227"/>
      <c r="L1" s="227"/>
      <c r="M1" s="223">
        <f>VLOOKUP(S1,Table1[],2,FALSE)</f>
        <v>7.6312576312576949E-5</v>
      </c>
      <c r="N1" s="223"/>
      <c r="O1" s="75" t="s">
        <v>126</v>
      </c>
      <c r="P1" s="242" t="s">
        <v>127</v>
      </c>
      <c r="Q1" s="242"/>
      <c r="S1" s="250" t="s">
        <v>113</v>
      </c>
      <c r="T1" s="250"/>
      <c r="U1" s="250"/>
      <c r="V1" s="250"/>
      <c r="W1" s="250"/>
      <c r="X1" s="250"/>
      <c r="Y1" s="249" t="s">
        <v>120</v>
      </c>
      <c r="Z1" s="249"/>
      <c r="AB1" s="124"/>
      <c r="AC1" s="124"/>
      <c r="AD1" s="124"/>
      <c r="AE1" s="124"/>
      <c r="AF1" s="124"/>
      <c r="AG1" s="124"/>
      <c r="AH1" s="124"/>
      <c r="AI1" s="124"/>
      <c r="AK1" s="228" t="str">
        <f>_xlfn.CONCAT("Stripline Parameters and Loss Decomposition vs Temperature")</f>
        <v>Stripline Parameters and Loss Decomposition vs Temperature</v>
      </c>
      <c r="AL1" s="229"/>
      <c r="AM1" s="229"/>
      <c r="AN1" s="229"/>
      <c r="AO1" s="229"/>
      <c r="AP1" s="229"/>
      <c r="AQ1" s="229"/>
      <c r="AR1" s="230"/>
    </row>
    <row r="2" spans="1:44" ht="14.5" customHeight="1" x14ac:dyDescent="0.55000000000000004">
      <c r="A2" s="243" t="s">
        <v>128</v>
      </c>
      <c r="B2" s="243"/>
      <c r="C2" s="73">
        <f>VLOOKUP(S1,Table1[],9,FALSE)</f>
        <v>17</v>
      </c>
      <c r="E2" s="243" t="s">
        <v>129</v>
      </c>
      <c r="F2" s="243"/>
      <c r="G2" s="243"/>
      <c r="H2" s="224">
        <f>VLOOKUP(S1,Table1[],7,FALSE)</f>
        <v>25</v>
      </c>
      <c r="I2" s="224"/>
      <c r="J2" s="227" t="s">
        <v>130</v>
      </c>
      <c r="K2" s="227"/>
      <c r="L2" s="227"/>
      <c r="M2" s="223">
        <f>VLOOKUP(S1,Table1[],3,FALSE)</f>
        <v>3.8095238095238104E-3</v>
      </c>
      <c r="N2" s="223"/>
      <c r="O2" s="76" t="s">
        <v>131</v>
      </c>
      <c r="P2" s="242" t="s">
        <v>132</v>
      </c>
      <c r="Q2" s="242"/>
      <c r="S2" s="250"/>
      <c r="T2" s="250"/>
      <c r="U2" s="250"/>
      <c r="V2" s="250"/>
      <c r="W2" s="250"/>
      <c r="X2" s="250"/>
      <c r="Y2" s="249"/>
      <c r="Z2" s="249"/>
      <c r="AD2" s="239" t="str">
        <f>_xlfn.CONCAT("w = ", C3, "µm")</f>
        <v>w = 120µm</v>
      </c>
      <c r="AG2" s="246" t="str">
        <f>_xlfn.CONCAT("h1 = ", $C$1, "µm")</f>
        <v>h1 = 152.4µm</v>
      </c>
      <c r="AH2" s="247"/>
      <c r="AK2" s="240" t="s">
        <v>133</v>
      </c>
      <c r="AL2" s="241"/>
      <c r="AM2" s="77">
        <f t="shared" ref="AM2:AR2" si="0">L24</f>
        <v>1</v>
      </c>
      <c r="AN2" s="77">
        <f t="shared" si="0"/>
        <v>2</v>
      </c>
      <c r="AO2" s="77">
        <f t="shared" si="0"/>
        <v>5</v>
      </c>
      <c r="AP2" s="77">
        <f t="shared" si="0"/>
        <v>10</v>
      </c>
      <c r="AQ2" s="77">
        <f t="shared" si="0"/>
        <v>15</v>
      </c>
      <c r="AR2" s="78">
        <f t="shared" si="0"/>
        <v>20</v>
      </c>
    </row>
    <row r="3" spans="1:44" ht="14.5" customHeight="1" x14ac:dyDescent="0.55000000000000004">
      <c r="A3" s="227" t="s">
        <v>134</v>
      </c>
      <c r="B3" s="227"/>
      <c r="C3" s="73">
        <f>VLOOKUP(S1,Table1[],10,FALSE)</f>
        <v>120</v>
      </c>
      <c r="D3" s="222" t="s">
        <v>135</v>
      </c>
      <c r="E3" s="222"/>
      <c r="F3" s="222"/>
      <c r="G3" s="222"/>
      <c r="H3" s="225">
        <f>VLOOKUP(Y1,Table2[],2,FALSE)</f>
        <v>0.28947368421052633</v>
      </c>
      <c r="I3" s="225"/>
      <c r="J3" s="227" t="s">
        <v>136</v>
      </c>
      <c r="K3" s="227"/>
      <c r="L3" s="227"/>
      <c r="M3" s="223">
        <f>VLOOKUP(S1,Table1[],4,FALSE)</f>
        <v>4.0400000000000002E-3</v>
      </c>
      <c r="N3" s="223"/>
      <c r="O3" s="74" t="s">
        <v>137</v>
      </c>
      <c r="P3" s="242" t="s">
        <v>138</v>
      </c>
      <c r="Q3" s="242"/>
      <c r="S3" s="250"/>
      <c r="T3" s="250"/>
      <c r="U3" s="250"/>
      <c r="V3" s="250"/>
      <c r="W3" s="250"/>
      <c r="X3" s="250"/>
      <c r="Y3" s="249"/>
      <c r="Z3" s="249"/>
      <c r="AD3" s="239"/>
      <c r="AG3" s="248"/>
      <c r="AH3" s="247"/>
      <c r="AK3" s="62" t="s">
        <v>139</v>
      </c>
      <c r="AL3" s="231">
        <f>AL26</f>
        <v>-40</v>
      </c>
      <c r="AM3" s="175">
        <f t="shared" ref="AM3:AR3" si="1">($M$1*($AL$3-$H$2)+1)*AVERAGE(C$28,L$28)</f>
        <v>3.0063735354636809</v>
      </c>
      <c r="AN3" s="175">
        <f t="shared" si="1"/>
        <v>3.0063735354636809</v>
      </c>
      <c r="AO3" s="175">
        <f t="shared" si="1"/>
        <v>3.007777707292679</v>
      </c>
      <c r="AP3" s="175">
        <f t="shared" si="1"/>
        <v>3.0049642918150887</v>
      </c>
      <c r="AQ3" s="175">
        <f t="shared" si="1"/>
        <v>3.0021306349757446</v>
      </c>
      <c r="AR3" s="176">
        <f t="shared" si="1"/>
        <v>2.9978423971414365</v>
      </c>
    </row>
    <row r="4" spans="1:44" ht="14.5" customHeight="1" x14ac:dyDescent="0.55000000000000004">
      <c r="A4" s="222" t="s">
        <v>140</v>
      </c>
      <c r="B4" s="222"/>
      <c r="C4" s="73">
        <f>VLOOKUP(S1,Table1[],11,FALSE)</f>
        <v>100</v>
      </c>
      <c r="D4" s="162"/>
      <c r="M4" s="161"/>
      <c r="AB4" s="126" t="str">
        <f>_xlfn.CONCAT("t = ", C2, "µm")</f>
        <v>t = 17µm</v>
      </c>
      <c r="AC4" s="125"/>
      <c r="AD4" s="124"/>
      <c r="AF4" s="124"/>
      <c r="AH4" s="127"/>
      <c r="AK4" s="62" t="s">
        <v>141</v>
      </c>
      <c r="AL4" s="232"/>
      <c r="AM4" s="177">
        <f t="shared" ref="AM4:AR4" si="2">($M$2*($AL$3-$H$2)+1)*U$28</f>
        <v>1.342636423405654E-3</v>
      </c>
      <c r="AN4" s="177">
        <f t="shared" si="2"/>
        <v>1.342636423405654E-3</v>
      </c>
      <c r="AO4" s="177">
        <f t="shared" si="2"/>
        <v>1.342636423405654E-3</v>
      </c>
      <c r="AP4" s="177">
        <f t="shared" si="2"/>
        <v>1.342636423405654E-3</v>
      </c>
      <c r="AQ4" s="177">
        <f t="shared" si="2"/>
        <v>1.342636423405654E-3</v>
      </c>
      <c r="AR4" s="178">
        <f t="shared" si="2"/>
        <v>1.342636423405654E-3</v>
      </c>
    </row>
    <row r="5" spans="1:44" ht="14.5" customHeight="1" x14ac:dyDescent="0.55000000000000004">
      <c r="AE5" s="239" t="str">
        <f>_xlfn.CONCAT("s = ", C4, "µm")</f>
        <v>s = 100µm</v>
      </c>
      <c r="AG5" s="246" t="str">
        <f>_xlfn.CONCAT("h2 = ", $C$1, "µm")</f>
        <v>h2 = 152.4µm</v>
      </c>
      <c r="AH5" s="247"/>
      <c r="AK5" s="62" t="s">
        <v>142</v>
      </c>
      <c r="AL5" s="232"/>
      <c r="AM5" s="59">
        <f t="shared" ref="AM5:AR5" si="3">IF(AM$2=0,$C$2,SQRT(1/(($H$1/(1+$M$3*($AL$26-$H$2)))*PI()*(AM$2*1000000000)*0.999991*0.0000004*PI()))*1000000)</f>
        <v>1.7703148922213725</v>
      </c>
      <c r="AN5" s="59">
        <f t="shared" si="3"/>
        <v>1.2518016651252646</v>
      </c>
      <c r="AO5" s="59">
        <f t="shared" si="3"/>
        <v>0.79170888811744067</v>
      </c>
      <c r="AP5" s="59">
        <f t="shared" si="3"/>
        <v>0.55982272351350393</v>
      </c>
      <c r="AQ5" s="59">
        <f t="shared" si="3"/>
        <v>0.45709333967442356</v>
      </c>
      <c r="AR5" s="64">
        <f t="shared" si="3"/>
        <v>0.39585444405872033</v>
      </c>
    </row>
    <row r="6" spans="1:44" ht="14.5" customHeight="1" x14ac:dyDescent="0.55000000000000004">
      <c r="A6" s="244" t="s">
        <v>220</v>
      </c>
      <c r="B6" s="244"/>
      <c r="C6" s="244"/>
      <c r="D6" s="244"/>
      <c r="E6" s="244"/>
      <c r="F6" s="244"/>
      <c r="G6" s="244"/>
      <c r="H6" s="244"/>
      <c r="AE6" s="239"/>
      <c r="AG6" s="248"/>
      <c r="AH6" s="247"/>
      <c r="AK6" s="62" t="s">
        <v>143</v>
      </c>
      <c r="AL6" s="232"/>
      <c r="AM6" s="59">
        <f t="shared" ref="AM6:AR6" si="4">0.76*(1/(($H$1/(1+$M$3*($AL$26-$H$2)))*AM5*$C$3*0.000000000001))</f>
        <v>44.262781015393514</v>
      </c>
      <c r="AN6" s="59">
        <f t="shared" si="4"/>
        <v>62.597025220319843</v>
      </c>
      <c r="AO6" s="59">
        <f t="shared" si="4"/>
        <v>98.974587223607031</v>
      </c>
      <c r="AP6" s="59">
        <f t="shared" si="4"/>
        <v>139.97120358190389</v>
      </c>
      <c r="AQ6" s="59">
        <f t="shared" si="4"/>
        <v>171.4290137294449</v>
      </c>
      <c r="AR6" s="64">
        <f t="shared" si="4"/>
        <v>197.94917444721406</v>
      </c>
    </row>
    <row r="7" spans="1:44" ht="14.7" thickBot="1" x14ac:dyDescent="0.6">
      <c r="A7" s="245"/>
      <c r="B7" s="245"/>
      <c r="C7" s="245"/>
      <c r="D7" s="245"/>
      <c r="E7" s="245"/>
      <c r="F7" s="245"/>
      <c r="G7" s="245"/>
      <c r="H7" s="245"/>
      <c r="I7" s="58"/>
      <c r="AB7" s="124"/>
      <c r="AC7" s="124"/>
      <c r="AD7" s="124"/>
      <c r="AE7" s="124"/>
      <c r="AF7" s="124"/>
      <c r="AG7" s="124"/>
      <c r="AH7" s="124"/>
      <c r="AI7" s="124"/>
      <c r="AK7" s="80" t="s">
        <v>146</v>
      </c>
      <c r="AL7" s="233"/>
      <c r="AM7" s="81">
        <f t="shared" ref="AM7:AR7" si="5">2*(60/SQRT(AM$3)*LN(1.9*(2*$C$1+$C$2)/(0.8*$C$3+$C$2)))*(1-0.347*(EXP(-2.9*($C$4/(2*$C$1+$C$2)))))</f>
        <v>100.38555560914268</v>
      </c>
      <c r="AN7" s="81">
        <f t="shared" si="5"/>
        <v>100.38555560914268</v>
      </c>
      <c r="AO7" s="81">
        <f t="shared" si="5"/>
        <v>100.36212052877697</v>
      </c>
      <c r="AP7" s="81">
        <f t="shared" si="5"/>
        <v>100.40909184962865</v>
      </c>
      <c r="AQ7" s="81">
        <f t="shared" si="5"/>
        <v>100.4564678363238</v>
      </c>
      <c r="AR7" s="82">
        <f t="shared" si="5"/>
        <v>100.52829070545567</v>
      </c>
    </row>
    <row r="8" spans="1:44" ht="14.7" thickBot="1" x14ac:dyDescent="0.6">
      <c r="A8" s="228" t="s">
        <v>148</v>
      </c>
      <c r="B8" s="229"/>
      <c r="C8" s="229"/>
      <c r="D8" s="229"/>
      <c r="E8" s="229"/>
      <c r="F8" s="229"/>
      <c r="G8" s="229"/>
      <c r="H8" s="230"/>
      <c r="AK8" s="83" t="s">
        <v>139</v>
      </c>
      <c r="AL8" s="231">
        <f>AL27</f>
        <v>0</v>
      </c>
      <c r="AM8" s="175">
        <f t="shared" ref="AM8:AR8" si="6">($M$1*($AL$8-$H$2)+1)*AVERAGE(C$28,L$28)</f>
        <v>3.0155962474368807</v>
      </c>
      <c r="AN8" s="175">
        <f t="shared" si="6"/>
        <v>3.0155962474368807</v>
      </c>
      <c r="AO8" s="175">
        <f t="shared" si="6"/>
        <v>3.0170047268717659</v>
      </c>
      <c r="AP8" s="175">
        <f t="shared" si="6"/>
        <v>3.0141826806234797</v>
      </c>
      <c r="AQ8" s="175">
        <f t="shared" si="6"/>
        <v>3.0113403309186109</v>
      </c>
      <c r="AR8" s="176">
        <f t="shared" si="6"/>
        <v>3.0070389379716889</v>
      </c>
    </row>
    <row r="9" spans="1:44" ht="14.4" x14ac:dyDescent="0.55000000000000004">
      <c r="A9" s="84" t="s">
        <v>150</v>
      </c>
      <c r="B9" s="63" t="s">
        <v>151</v>
      </c>
      <c r="C9" s="85">
        <f>VLOOKUP($S$1,Table1[],12,FALSE)</f>
        <v>1</v>
      </c>
      <c r="D9" s="85">
        <f>VLOOKUP($S$1,Table1[],13,FALSE)</f>
        <v>2</v>
      </c>
      <c r="E9" s="85">
        <f>VLOOKUP($S$1,Table1[],14,FALSE)</f>
        <v>5</v>
      </c>
      <c r="F9" s="85">
        <f>VLOOKUP($S$1,Table1[],15,FALSE)</f>
        <v>10</v>
      </c>
      <c r="G9" s="85">
        <f>VLOOKUP($S$1,Table1[],16,FALSE)</f>
        <v>15</v>
      </c>
      <c r="H9" s="86">
        <f>VLOOKUP($S$1,Table1[],17,FALSE)</f>
        <v>20</v>
      </c>
      <c r="AB9" s="228" t="str">
        <f>_xlfn.CONCAT("Stripline Loss Decomposition at ",$H$2,"°C")</f>
        <v>Stripline Loss Decomposition at 25°C</v>
      </c>
      <c r="AC9" s="229"/>
      <c r="AD9" s="229"/>
      <c r="AE9" s="229"/>
      <c r="AF9" s="229"/>
      <c r="AG9" s="229"/>
      <c r="AH9" s="229"/>
      <c r="AI9" s="230"/>
      <c r="AK9" s="62" t="s">
        <v>141</v>
      </c>
      <c r="AL9" s="232"/>
      <c r="AM9" s="177">
        <f t="shared" ref="AM9:AR9" si="7">($M$2*($AL$8-$H$2)+1)*U$28</f>
        <v>1.6145627876397106E-3</v>
      </c>
      <c r="AN9" s="177">
        <f t="shared" si="7"/>
        <v>1.6145627876397106E-3</v>
      </c>
      <c r="AO9" s="177">
        <f t="shared" si="7"/>
        <v>1.6145627876397106E-3</v>
      </c>
      <c r="AP9" s="177">
        <f t="shared" si="7"/>
        <v>1.6145627876397106E-3</v>
      </c>
      <c r="AQ9" s="177">
        <f t="shared" si="7"/>
        <v>1.6145627876397106E-3</v>
      </c>
      <c r="AR9" s="178">
        <f t="shared" si="7"/>
        <v>1.6145627876397106E-3</v>
      </c>
    </row>
    <row r="10" spans="1:44" ht="14.4" x14ac:dyDescent="0.55000000000000004">
      <c r="A10" s="87">
        <f>VLOOKUP($S$1,Table1[],18,FALSE)</f>
        <v>127</v>
      </c>
      <c r="B10" s="88">
        <f>VLOOKUP($S$1,Table1[],21,FALSE)</f>
        <v>0.6</v>
      </c>
      <c r="C10" s="89">
        <f>VLOOKUP($S$1,Table1[],24,FALSE)</f>
        <v>3.19</v>
      </c>
      <c r="D10" s="89">
        <f>VLOOKUP($S$1,Table1[],25,FALSE)</f>
        <v>3.19</v>
      </c>
      <c r="E10" s="89">
        <f>VLOOKUP($S$1,Table1[],26,FALSE)</f>
        <v>3.19</v>
      </c>
      <c r="F10" s="89">
        <f>VLOOKUP($S$1,Table1[],27,FALSE)</f>
        <v>3.19</v>
      </c>
      <c r="G10" s="89">
        <f>VLOOKUP($S$1,Table1[],28,FALSE)</f>
        <v>3.19</v>
      </c>
      <c r="H10" s="90">
        <f>VLOOKUP($S$1,Table1[],29,FALSE)</f>
        <v>3.19</v>
      </c>
      <c r="AB10" s="240" t="s">
        <v>133</v>
      </c>
      <c r="AC10" s="241"/>
      <c r="AD10" s="77">
        <f t="shared" ref="AD10:AI10" si="8">L24</f>
        <v>1</v>
      </c>
      <c r="AE10" s="77">
        <f t="shared" si="8"/>
        <v>2</v>
      </c>
      <c r="AF10" s="77">
        <f t="shared" si="8"/>
        <v>5</v>
      </c>
      <c r="AG10" s="77">
        <f t="shared" si="8"/>
        <v>10</v>
      </c>
      <c r="AH10" s="77">
        <f t="shared" si="8"/>
        <v>15</v>
      </c>
      <c r="AI10" s="78">
        <f t="shared" si="8"/>
        <v>20</v>
      </c>
      <c r="AK10" s="62" t="s">
        <v>142</v>
      </c>
      <c r="AL10" s="232"/>
      <c r="AM10" s="59">
        <f t="shared" ref="AM10:AR10" si="9">IF(AM$2=0,$C$2,SQRT(1/(($H$1/(1+$M$3*($AL$27-$H$2)))*PI()*(AM$2*1000000000)*0.999991*0.0000004*PI()))*1000000)</f>
        <v>1.9546940994170934</v>
      </c>
      <c r="AN10" s="59">
        <f t="shared" si="9"/>
        <v>1.3821774528431583</v>
      </c>
      <c r="AO10" s="59">
        <f t="shared" si="9"/>
        <v>0.87416577630287073</v>
      </c>
      <c r="AP10" s="59">
        <f t="shared" si="9"/>
        <v>0.61812854830496244</v>
      </c>
      <c r="AQ10" s="59">
        <f t="shared" si="9"/>
        <v>0.50469984626482056</v>
      </c>
      <c r="AR10" s="64">
        <f t="shared" si="9"/>
        <v>0.43708288815143537</v>
      </c>
    </row>
    <row r="11" spans="1:44" ht="14.4" x14ac:dyDescent="0.55000000000000004">
      <c r="A11" s="87">
        <f>VLOOKUP($S$1,Table1[],19,FALSE)</f>
        <v>139.69999999999999</v>
      </c>
      <c r="B11" s="88">
        <f>VLOOKUP($S$1,Table1[],22,FALSE)</f>
        <v>0.63</v>
      </c>
      <c r="C11" s="89">
        <f>VLOOKUP($S$1,Table1[],30,FALSE)</f>
        <v>3.15</v>
      </c>
      <c r="D11" s="89">
        <f>VLOOKUP($S$1,Table1[],31,FALSE)</f>
        <v>3.15</v>
      </c>
      <c r="E11" s="89">
        <f>VLOOKUP($S$1,Table1[],32,FALSE)</f>
        <v>3.15</v>
      </c>
      <c r="F11" s="89">
        <f>VLOOKUP($S$1,Table1[],33,FALSE)</f>
        <v>3.15</v>
      </c>
      <c r="G11" s="89">
        <f>VLOOKUP($S$1,Table1[],34,FALSE)</f>
        <v>3.15</v>
      </c>
      <c r="H11" s="90">
        <f>VLOOKUP($S$1,Table1[],35,FALSE)</f>
        <v>3.15</v>
      </c>
      <c r="AB11" s="62" t="s">
        <v>154</v>
      </c>
      <c r="AC11" s="231">
        <f>H2</f>
        <v>25</v>
      </c>
      <c r="AD11" s="59">
        <f t="shared" ref="AD11:AI11" si="10">IF(AD$10=0,$C$2,SQRT(1/(($H$1/(1+$M$3*($AC$11-$H$2)))*PI()*(AD$10*1000000000)*0.999991*0.0000004*PI()))*1000000)</f>
        <v>2.0615741316329186</v>
      </c>
      <c r="AE11" s="59">
        <f t="shared" si="10"/>
        <v>1.4577530483964047</v>
      </c>
      <c r="AF11" s="59">
        <f t="shared" si="10"/>
        <v>0.92196397979726119</v>
      </c>
      <c r="AG11" s="59">
        <f t="shared" si="10"/>
        <v>0.65192698212438038</v>
      </c>
      <c r="AH11" s="59">
        <f t="shared" si="10"/>
        <v>0.53229615191908741</v>
      </c>
      <c r="AI11" s="64">
        <f t="shared" si="10"/>
        <v>0.4609819898986306</v>
      </c>
      <c r="AK11" s="62" t="s">
        <v>143</v>
      </c>
      <c r="AL11" s="232"/>
      <c r="AM11" s="59">
        <f t="shared" ref="AM11:AR11" si="11">0.76*(1/(($H$1/(1+$M$3*($AL$27-$H$2)))*AM10*$C$3*0.000000000001))</f>
        <v>48.872772439944853</v>
      </c>
      <c r="AN11" s="59">
        <f t="shared" si="11"/>
        <v>69.116537615344029</v>
      </c>
      <c r="AO11" s="59">
        <f t="shared" si="11"/>
        <v>109.28284142459493</v>
      </c>
      <c r="AP11" s="59">
        <f t="shared" si="11"/>
        <v>154.54927647733044</v>
      </c>
      <c r="AQ11" s="59">
        <f t="shared" si="11"/>
        <v>189.28343374289122</v>
      </c>
      <c r="AR11" s="64">
        <f t="shared" si="11"/>
        <v>218.56568284918987</v>
      </c>
    </row>
    <row r="12" spans="1:44" ht="14.7" thickBot="1" x14ac:dyDescent="0.6">
      <c r="A12" s="91">
        <f>VLOOKUP($S$1,Table1[],20,FALSE)</f>
        <v>177.8</v>
      </c>
      <c r="B12" s="92">
        <f>VLOOKUP($S$1,Table1[],23,FALSE)</f>
        <v>0.70499999999999996</v>
      </c>
      <c r="C12" s="93">
        <f>VLOOKUP($S$1,Table1[],36,FALSE)</f>
        <v>3.02</v>
      </c>
      <c r="D12" s="93">
        <f>VLOOKUP($S$1,Table1[],37,FALSE)</f>
        <v>3.02</v>
      </c>
      <c r="E12" s="93">
        <f>VLOOKUP($S$1,Table1[],38,FALSE)</f>
        <v>3.0209999999999999</v>
      </c>
      <c r="F12" s="93">
        <f>VLOOKUP($S$1,Table1[],39,FALSE)</f>
        <v>3.0190000000000001</v>
      </c>
      <c r="G12" s="93">
        <f>VLOOKUP($S$1,Table1[],40,FALSE)</f>
        <v>3.0169999999999999</v>
      </c>
      <c r="H12" s="94">
        <f>VLOOKUP($S$1,Table1[],41,FALSE)</f>
        <v>3.0139999999999998</v>
      </c>
      <c r="AB12" s="62" t="s">
        <v>156</v>
      </c>
      <c r="AC12" s="232"/>
      <c r="AD12" s="59">
        <f t="shared" ref="AD12:AI12" si="12">0.76*(1/(($H$1/(1+$M$3*($AC$11-$H$2)))*MIN($C$2,AD11)*$C$3*0.000000000001))</f>
        <v>51.545069601130173</v>
      </c>
      <c r="AE12" s="59">
        <f t="shared" si="12"/>
        <v>72.895736503383446</v>
      </c>
      <c r="AF12" s="59">
        <f t="shared" si="12"/>
        <v>115.25827953308502</v>
      </c>
      <c r="AG12" s="59">
        <f t="shared" si="12"/>
        <v>162.99982209147814</v>
      </c>
      <c r="AH12" s="59">
        <f t="shared" si="12"/>
        <v>199.63319614427931</v>
      </c>
      <c r="AI12" s="64">
        <f t="shared" si="12"/>
        <v>230.51655906617003</v>
      </c>
      <c r="AK12" s="80" t="s">
        <v>146</v>
      </c>
      <c r="AL12" s="233"/>
      <c r="AM12" s="81">
        <f t="shared" ref="AM12:AR12" si="13">2*(60/SQRT(AM$8)*LN(1.9*(2*$C$1+$C$2)/(0.8*$C$3+$C$2)))*(1-0.347*(EXP(-2.9*($C$4/(2*$C$1+$C$2)))))</f>
        <v>100.23193159134729</v>
      </c>
      <c r="AN12" s="81">
        <f t="shared" si="13"/>
        <v>100.23193159134729</v>
      </c>
      <c r="AO12" s="81">
        <f t="shared" si="13"/>
        <v>100.20853237461935</v>
      </c>
      <c r="AP12" s="81">
        <f t="shared" si="13"/>
        <v>100.25543181338612</v>
      </c>
      <c r="AQ12" s="81">
        <f t="shared" si="13"/>
        <v>100.30273529872012</v>
      </c>
      <c r="AR12" s="82">
        <f t="shared" si="13"/>
        <v>100.37444825445201</v>
      </c>
    </row>
    <row r="13" spans="1:44" ht="14.7" thickBot="1" x14ac:dyDescent="0.6">
      <c r="AB13" s="65" t="s">
        <v>158</v>
      </c>
      <c r="AC13" s="234"/>
      <c r="AD13" s="66">
        <f t="shared" ref="AD13:AI13" si="14">2*_xlfn.LET(
   _xlpm.k, _xlfn.SECH((PI()*$C$3)/(4*$C$1)),
   _xlpm.k_, TANH((PI()*$C$3)/(4*$C$1)),
   _xlpm.ko, TANH((PI()*$C$3)/(4*$C$1))*_xlfn.COTH(PI()*($C$3+$C$4)/(4*$C$1)),
   _xlpm.ko_, SQRT(1-_xlpm.ko^2),
   _xlpm.dw_t, 1/PI()*(1-0.5*LN((1/(2*(2*$C$1+$C$2)/$C$2+1))^2 + ((1/(4*PI()))/($C$3/$C$2+1.1))^(6/(3 + 2*$C$2/(2*$C$1+$C$2))))),
   _xlpm.w_,  $C$3 + _xlpm.dw_t*$C$2,
   _xlpm.Zo_wt,(60*PI()/(2*PI()*SQRT(AVERAGE(C$28,L$28)))) * LN(1+0.5*(8/PI()*(2*$C$1+$C$2)/_xlpm.w_)*((8/PI()*(2*$C$1+$C$2)/_xlpm.w_)+SQRT((8/PI()*(2*$C$1+$C$2)/_xlpm.w_)^2+6.27))),
   _xlpm.Zo_w0,(30*PI()/SQRT(AVERAGE(C$28,L$28)))*(
     (1+(1/4)*_xlpm.k^2 +(9/64)*_xlpm.k^4 +(25/256)*_xlpm.k^6 +(1225/16384)*_xlpm.k^8 +(3969/65536)*_xlpm.k^10 +(11025/262144)*_xlpm.k_^12)/
     (1+(1/4)*_xlpm.k_^2+(9/64)*_xlpm.k_^4+(25/256)*_xlpm.k_^6+(1225/16384)*_xlpm.k_^8+(3969/65536)*_xlpm.k_^10+(11025/262144)*_xlpm.k^12)),
   _xlpm.Zo_odd_w0s,(30*PI()/SQRT(AVERAGE(C$28,L$28)))*(
     (1+(1/4)*_xlpm.ko_^2+(9/64)*_xlpm.ko_^4+(25/256)*_xlpm.ko_^6+(1225/16384)*_xlpm.ko_^8+(3969/65536)*_xlpm.ko_^10+(11025/262144)*_xlpm.ko_^12)/
     (1+(1/4)*_xlpm.ko^2 +(9/64)*_xlpm.ko^4 +(25/256)*_xlpm.ko^6 +(1225/16384)*_xlpm.ko^8 +(3969/65536)*_xlpm.ko^10 +(11025/262144)*_xlpm.ko^12)),
   _xlpm.Cft_, 0.0000000000885*AVERAGE(C$28,L$28)/PI()*((2/(1-$C$2/(2*$C$1+$C$2)))*LN((1/(1-$C$2/(2*$C$1+$C$2)))+1)-((1/(1-$C$2/(2*$C$1+$C$2)))-1)*LN((1/(1-$C$2/(2*$C$1+$C$2)))^2-1)),
   _xlpm.Cf0_, 0.0000000000885*AVERAGE(C$28,L$28)/PI()*2*LN(2),
   _xlpm.Zo_odd_wts, IF($C$4/$C$2&gt;=5, 1/(1/_xlpm.Zo_wt+(_xlpm.Cft_/_xlpm.Cf0_)*(1/_xlpm.Zo_odd_w0s - 1/_xlpm.Zo_w0)), 1/(1/_xlpm.Zo_odd_w0s + (1/_xlpm.Zo_wt-1/_xlpm.Zo_w0) - 2/(120*PI()*(0.0885*AVERAGE(C$28,L$28)))*(_xlpm.Cft_-_xlpm.Cf0_) + (2*$C$2)/(120*PI()*$C$4))),
   (_xlpm.Zo_odd_wts*46.78/49.23)
)</f>
        <v>99.899255320102142</v>
      </c>
      <c r="AE13" s="66">
        <f t="shared" si="14"/>
        <v>99.899255320102142</v>
      </c>
      <c r="AF13" s="66">
        <f t="shared" si="14"/>
        <v>99.875933766889659</v>
      </c>
      <c r="AG13" s="66">
        <f t="shared" si="14"/>
        <v>99.922677543382321</v>
      </c>
      <c r="AH13" s="66">
        <f t="shared" si="14"/>
        <v>99.969824025385464</v>
      </c>
      <c r="AI13" s="67">
        <f t="shared" si="14"/>
        <v>100.04129896117367</v>
      </c>
      <c r="AK13" s="83" t="s">
        <v>139</v>
      </c>
      <c r="AL13" s="231">
        <f>AL28</f>
        <v>25</v>
      </c>
      <c r="AM13" s="175">
        <f t="shared" ref="AM13:AR13" si="15">($M$1*($AL$13-$H$2)+1)*AVERAGE(C$28,L$28)</f>
        <v>3.0213604424201304</v>
      </c>
      <c r="AN13" s="175">
        <f t="shared" si="15"/>
        <v>3.0213604424201304</v>
      </c>
      <c r="AO13" s="175">
        <f t="shared" si="15"/>
        <v>3.0227716141086947</v>
      </c>
      <c r="AP13" s="175">
        <f t="shared" si="15"/>
        <v>3.0199441736287236</v>
      </c>
      <c r="AQ13" s="175">
        <f t="shared" si="15"/>
        <v>3.017096390882902</v>
      </c>
      <c r="AR13" s="176">
        <f t="shared" si="15"/>
        <v>3.0127867759905964</v>
      </c>
    </row>
    <row r="14" spans="1:44" ht="14.4" x14ac:dyDescent="0.55000000000000004">
      <c r="A14" s="228" t="s">
        <v>160</v>
      </c>
      <c r="B14" s="229"/>
      <c r="C14" s="229"/>
      <c r="D14" s="229"/>
      <c r="E14" s="229"/>
      <c r="F14" s="229"/>
      <c r="G14" s="229"/>
      <c r="H14" s="230"/>
      <c r="AB14" s="62" t="s">
        <v>162</v>
      </c>
      <c r="AC14" s="232">
        <f>H2</f>
        <v>25</v>
      </c>
      <c r="AD14" s="69">
        <f t="shared" ref="AD14:AI14" si="16">20*LOG(EXP(1))*(2*PI()/(2*0.299795637693216))*SQRT(AVERAGE(C28,L28))*(AD10)*U28</f>
        <v>0.28233243409014946</v>
      </c>
      <c r="AE14" s="69">
        <f t="shared" si="16"/>
        <v>0.56466486818029893</v>
      </c>
      <c r="AF14" s="69">
        <f t="shared" si="16"/>
        <v>1.4119918009551595</v>
      </c>
      <c r="AG14" s="69">
        <f t="shared" si="16"/>
        <v>2.8226625438527084</v>
      </c>
      <c r="AH14" s="69">
        <f t="shared" si="16"/>
        <v>4.2319970340983604</v>
      </c>
      <c r="AI14" s="70">
        <f t="shared" si="16"/>
        <v>5.6386312875173923</v>
      </c>
      <c r="AK14" s="62" t="s">
        <v>141</v>
      </c>
      <c r="AL14" s="232"/>
      <c r="AM14" s="177">
        <f t="shared" ref="AM14:AR14" si="17">($M$2*($AL$13-$H$2)+1)*U$28</f>
        <v>1.7845167652859959E-3</v>
      </c>
      <c r="AN14" s="177">
        <f t="shared" si="17"/>
        <v>1.7845167652859959E-3</v>
      </c>
      <c r="AO14" s="177">
        <f t="shared" si="17"/>
        <v>1.7845167652859959E-3</v>
      </c>
      <c r="AP14" s="177">
        <f t="shared" si="17"/>
        <v>1.7845167652859959E-3</v>
      </c>
      <c r="AQ14" s="177">
        <f t="shared" si="17"/>
        <v>1.7845167652859959E-3</v>
      </c>
      <c r="AR14" s="178">
        <f t="shared" si="17"/>
        <v>1.7845167652859959E-3</v>
      </c>
    </row>
    <row r="15" spans="1:44" ht="14.4" x14ac:dyDescent="0.55000000000000004">
      <c r="A15" s="84" t="s">
        <v>150</v>
      </c>
      <c r="B15" s="63" t="s">
        <v>151</v>
      </c>
      <c r="C15" s="85">
        <f>VLOOKUP($S$1,Table1[],12,FALSE)</f>
        <v>1</v>
      </c>
      <c r="D15" s="85">
        <f>VLOOKUP($S$1,Table1[],13,FALSE)</f>
        <v>2</v>
      </c>
      <c r="E15" s="85">
        <f>VLOOKUP($S$1,Table1[],14,FALSE)</f>
        <v>5</v>
      </c>
      <c r="F15" s="85">
        <f>VLOOKUP($S$1,Table1[],15,FALSE)</f>
        <v>10</v>
      </c>
      <c r="G15" s="85">
        <f>VLOOKUP($S$1,Table1[],16,FALSE)</f>
        <v>15</v>
      </c>
      <c r="H15" s="86">
        <f>VLOOKUP($S$1,Table1[],17,FALSE)</f>
        <v>20</v>
      </c>
      <c r="AB15" s="62" t="s">
        <v>164</v>
      </c>
      <c r="AC15" s="232"/>
      <c r="AD15" s="69">
        <f t="shared" ref="AD15:AI15" si="18">20*LOG(EXP(1))*AD12/(AD13)</f>
        <v>4.4816628963570126</v>
      </c>
      <c r="AE15" s="69">
        <f t="shared" si="18"/>
        <v>6.3380284500123754</v>
      </c>
      <c r="AF15" s="69">
        <f t="shared" si="18"/>
        <v>10.023642915161538</v>
      </c>
      <c r="AG15" s="69">
        <f t="shared" si="18"/>
        <v>14.168940429925259</v>
      </c>
      <c r="AH15" s="69">
        <f t="shared" si="18"/>
        <v>17.345153167050547</v>
      </c>
      <c r="AI15" s="70">
        <f t="shared" si="18"/>
        <v>20.014148282624053</v>
      </c>
      <c r="AK15" s="62" t="s">
        <v>142</v>
      </c>
      <c r="AL15" s="232"/>
      <c r="AM15" s="59">
        <f t="shared" ref="AM15:AR15" si="19">IF(AM$2=0,$C$2,SQRT(1/(($H$1/(1+$M$3*($AL$28-$H$2)))*PI()*(AM$2*1000000000)*0.999991*0.0000004*PI()))*1000000)</f>
        <v>2.0615741316329186</v>
      </c>
      <c r="AN15" s="59">
        <f t="shared" si="19"/>
        <v>1.4577530483964047</v>
      </c>
      <c r="AO15" s="59">
        <f t="shared" si="19"/>
        <v>0.92196397979726119</v>
      </c>
      <c r="AP15" s="59">
        <f t="shared" si="19"/>
        <v>0.65192698212438038</v>
      </c>
      <c r="AQ15" s="59">
        <f t="shared" si="19"/>
        <v>0.53229615191908741</v>
      </c>
      <c r="AR15" s="64">
        <f t="shared" si="19"/>
        <v>0.4609819898986306</v>
      </c>
    </row>
    <row r="16" spans="1:44" ht="14.4" x14ac:dyDescent="0.55000000000000004">
      <c r="A16" s="87">
        <f>VLOOKUP($S$1,Table1[],18,FALSE)</f>
        <v>127</v>
      </c>
      <c r="B16" s="88">
        <f>VLOOKUP($S$1,Table1[],21,FALSE)</f>
        <v>0.6</v>
      </c>
      <c r="C16" s="95">
        <f>VLOOKUP($S$1,Table1[],42,FALSE)</f>
        <v>2.0999999999999999E-3</v>
      </c>
      <c r="D16" s="95">
        <f>VLOOKUP($S$1,Table1[],43,FALSE)</f>
        <v>2.0999999999999999E-3</v>
      </c>
      <c r="E16" s="95">
        <f>VLOOKUP($S$1,Table1[],44,FALSE)</f>
        <v>2.0999999999999999E-3</v>
      </c>
      <c r="F16" s="95">
        <f>VLOOKUP($S$1,Table1[],45,FALSE)</f>
        <v>2.0999999999999999E-3</v>
      </c>
      <c r="G16" s="95">
        <f>VLOOKUP($S$1,Table1[],46,FALSE)</f>
        <v>2.0999999999999999E-3</v>
      </c>
      <c r="H16" s="96">
        <f>VLOOKUP($S$1,Table1[],47,FALSE)</f>
        <v>2.0999999999999999E-3</v>
      </c>
      <c r="AB16" s="62" t="s">
        <v>166</v>
      </c>
      <c r="AC16" s="232"/>
      <c r="AD16" s="69">
        <f t="shared" ref="AD16:AI16" si="20">AD15*(1+(2/PI())*ATAN(1.4*($H$3/AD$11)^2))</f>
        <v>4.5603959961644316</v>
      </c>
      <c r="AE16" s="69">
        <f t="shared" si="20"/>
        <v>6.5605499614529075</v>
      </c>
      <c r="AF16" s="69">
        <f t="shared" si="20"/>
        <v>10.89880624585779</v>
      </c>
      <c r="AG16" s="69">
        <f t="shared" si="20"/>
        <v>16.59825754230339</v>
      </c>
      <c r="AH16" s="69">
        <f t="shared" si="20"/>
        <v>21.679780878190464</v>
      </c>
      <c r="AI16" s="70">
        <f t="shared" si="20"/>
        <v>26.441110860811683</v>
      </c>
      <c r="AK16" s="62" t="s">
        <v>143</v>
      </c>
      <c r="AL16" s="232"/>
      <c r="AM16" s="59">
        <f t="shared" ref="AM16:AR16" si="21">0.76*(1/(($H$1/(1+$M$3*($AL$28-$H$2)))*AM15*$C$3*0.000000000001))</f>
        <v>51.545069601130173</v>
      </c>
      <c r="AN16" s="59">
        <f t="shared" si="21"/>
        <v>72.895736503383446</v>
      </c>
      <c r="AO16" s="59">
        <f t="shared" si="21"/>
        <v>115.25827953308502</v>
      </c>
      <c r="AP16" s="59">
        <f t="shared" si="21"/>
        <v>162.99982209147814</v>
      </c>
      <c r="AQ16" s="59">
        <f t="shared" si="21"/>
        <v>199.63319614427931</v>
      </c>
      <c r="AR16" s="64">
        <f t="shared" si="21"/>
        <v>230.51655906617003</v>
      </c>
    </row>
    <row r="17" spans="1:44" ht="14.7" thickBot="1" x14ac:dyDescent="0.6">
      <c r="A17" s="87">
        <f>VLOOKUP($S$1,Table1[],19,FALSE)</f>
        <v>139.69999999999999</v>
      </c>
      <c r="B17" s="88">
        <f>VLOOKUP($S$1,Table1[],22,FALSE)</f>
        <v>0.63</v>
      </c>
      <c r="C17" s="95">
        <f>VLOOKUP($S$1,Table1[],48,FALSE)</f>
        <v>1.9E-3</v>
      </c>
      <c r="D17" s="95">
        <f>VLOOKUP($S$1,Table1[],49,FALSE)</f>
        <v>1.9E-3</v>
      </c>
      <c r="E17" s="95">
        <f>VLOOKUP($S$1,Table1[],50,FALSE)</f>
        <v>1.9E-3</v>
      </c>
      <c r="F17" s="95">
        <f>VLOOKUP($S$1,Table1[],51,FALSE)</f>
        <v>1.9E-3</v>
      </c>
      <c r="G17" s="95">
        <f>VLOOKUP($S$1,Table1[],52,FALSE)</f>
        <v>1.9E-3</v>
      </c>
      <c r="H17" s="96">
        <f>VLOOKUP($S$1,Table1[],53,FALSE)</f>
        <v>1.9E-3</v>
      </c>
      <c r="AB17" s="65" t="s">
        <v>167</v>
      </c>
      <c r="AC17" s="234"/>
      <c r="AD17" s="66">
        <f t="shared" ref="AD17:AI17" si="22">AD16+AD14</f>
        <v>4.8427284302545814</v>
      </c>
      <c r="AE17" s="66">
        <f t="shared" si="22"/>
        <v>7.1252148296332063</v>
      </c>
      <c r="AF17" s="66">
        <f t="shared" si="22"/>
        <v>12.310798046812948</v>
      </c>
      <c r="AG17" s="66">
        <f t="shared" si="22"/>
        <v>19.420920086156098</v>
      </c>
      <c r="AH17" s="66">
        <f t="shared" si="22"/>
        <v>25.911777912288823</v>
      </c>
      <c r="AI17" s="67">
        <f t="shared" si="22"/>
        <v>32.079742148329075</v>
      </c>
      <c r="AK17" s="80" t="s">
        <v>146</v>
      </c>
      <c r="AL17" s="233"/>
      <c r="AM17" s="81">
        <f t="shared" ref="AM17:AR17" si="23">2*(60/SQRT(AM$13)*LN(1.9*(2*$C$1+$C$2)/(0.8*$C$3+$C$2)))*(1-0.347*(EXP(-2.9*($C$4/(2*$C$1+$C$2)))))</f>
        <v>100.13627398371882</v>
      </c>
      <c r="AN17" s="81">
        <f t="shared" si="23"/>
        <v>100.13627398371882</v>
      </c>
      <c r="AO17" s="81">
        <f t="shared" si="23"/>
        <v>100.11289709832838</v>
      </c>
      <c r="AP17" s="81">
        <f t="shared" si="23"/>
        <v>100.15975177802449</v>
      </c>
      <c r="AQ17" s="81">
        <f t="shared" si="23"/>
        <v>100.20701011868084</v>
      </c>
      <c r="AR17" s="82">
        <f t="shared" si="23"/>
        <v>100.27865463424928</v>
      </c>
    </row>
    <row r="18" spans="1:44" ht="14.7" thickBot="1" x14ac:dyDescent="0.6">
      <c r="A18" s="91">
        <f>VLOOKUP($S$1,Table1[],20,FALSE)</f>
        <v>177.8</v>
      </c>
      <c r="B18" s="92">
        <f>VLOOKUP($S$1,Table1[],23,FALSE)</f>
        <v>0.70499999999999996</v>
      </c>
      <c r="C18" s="97">
        <f>VLOOKUP($S$1,Table1[],54,FALSE)</f>
        <v>1.5E-3</v>
      </c>
      <c r="D18" s="97">
        <f>VLOOKUP($S$1,Table1[],55,FALSE)</f>
        <v>1.5E-3</v>
      </c>
      <c r="E18" s="97">
        <f>VLOOKUP($S$1,Table1[],56,FALSE)</f>
        <v>1.5E-3</v>
      </c>
      <c r="F18" s="97">
        <f>VLOOKUP($S$1,Table1[],57,FALSE)</f>
        <v>1.5E-3</v>
      </c>
      <c r="G18" s="97">
        <f>VLOOKUP($S$1,Table1[],58,FALSE)</f>
        <v>1.5E-3</v>
      </c>
      <c r="H18" s="98">
        <f>VLOOKUP($S$1,Table1[],59,FALSE)</f>
        <v>1.5E-3</v>
      </c>
      <c r="AK18" s="62" t="s">
        <v>139</v>
      </c>
      <c r="AL18" s="232">
        <f>AL29</f>
        <v>90</v>
      </c>
      <c r="AM18" s="175">
        <f t="shared" ref="AM18:AR18" si="24">($M$1*($AL$18-$H$2)+1)*AVERAGE(C$28,L$28)</f>
        <v>3.0363473493765794</v>
      </c>
      <c r="AN18" s="175">
        <f t="shared" si="24"/>
        <v>3.0363473493765794</v>
      </c>
      <c r="AO18" s="175">
        <f t="shared" si="24"/>
        <v>3.0377655209247099</v>
      </c>
      <c r="AP18" s="175">
        <f t="shared" si="24"/>
        <v>3.034924055442358</v>
      </c>
      <c r="AQ18" s="175">
        <f t="shared" si="24"/>
        <v>3.032062146790059</v>
      </c>
      <c r="AR18" s="176">
        <f t="shared" si="24"/>
        <v>3.0277311548397559</v>
      </c>
    </row>
    <row r="19" spans="1:44" ht="14.7" thickBot="1" x14ac:dyDescent="0.6">
      <c r="AK19" s="62" t="s">
        <v>141</v>
      </c>
      <c r="AL19" s="232"/>
      <c r="AM19" s="177">
        <f t="shared" ref="AM19:AR19" si="25">($M$2*($AL$18-$H$2)+1)*U$28</f>
        <v>2.2263971071663376E-3</v>
      </c>
      <c r="AN19" s="177">
        <f t="shared" si="25"/>
        <v>2.2263971071663376E-3</v>
      </c>
      <c r="AO19" s="177">
        <f t="shared" si="25"/>
        <v>2.2263971071663376E-3</v>
      </c>
      <c r="AP19" s="177">
        <f t="shared" si="25"/>
        <v>2.2263971071663376E-3</v>
      </c>
      <c r="AQ19" s="177">
        <f t="shared" si="25"/>
        <v>2.2263971071663376E-3</v>
      </c>
      <c r="AR19" s="178">
        <f t="shared" si="25"/>
        <v>2.2263971071663376E-3</v>
      </c>
    </row>
    <row r="20" spans="1:44" ht="14.4" x14ac:dyDescent="0.55000000000000004">
      <c r="A20" s="235" t="s">
        <v>170</v>
      </c>
      <c r="B20" s="236"/>
      <c r="C20" s="52">
        <f t="shared" ref="C20:H20" si="26">INTERCEPT(C10:C12,$B10:$B12)</f>
        <v>4.178461538461538</v>
      </c>
      <c r="D20" s="52">
        <f t="shared" si="26"/>
        <v>4.178461538461538</v>
      </c>
      <c r="E20" s="52">
        <f t="shared" si="26"/>
        <v>4.1721794871794877</v>
      </c>
      <c r="F20" s="52">
        <f t="shared" si="26"/>
        <v>4.1847435897435892</v>
      </c>
      <c r="G20" s="52">
        <f t="shared" si="26"/>
        <v>4.1973076923076924</v>
      </c>
      <c r="H20" s="53">
        <f t="shared" si="26"/>
        <v>4.2161538461538477</v>
      </c>
      <c r="S20" s="235" t="s">
        <v>171</v>
      </c>
      <c r="T20" s="236"/>
      <c r="U20" s="171">
        <f t="shared" ref="U20:Z20" si="27">INTERCEPT(C16:C18,$B16:$B18)</f>
        <v>5.4717948717948718E-3</v>
      </c>
      <c r="V20" s="171">
        <f t="shared" si="27"/>
        <v>5.4717948717948718E-3</v>
      </c>
      <c r="W20" s="171">
        <f t="shared" si="27"/>
        <v>5.4717948717948718E-3</v>
      </c>
      <c r="X20" s="171">
        <f t="shared" si="27"/>
        <v>5.4717948717948718E-3</v>
      </c>
      <c r="Y20" s="171">
        <f t="shared" si="27"/>
        <v>5.4717948717948718E-3</v>
      </c>
      <c r="Z20" s="172">
        <f t="shared" si="27"/>
        <v>5.4717948717948718E-3</v>
      </c>
      <c r="AJ20" s="99"/>
      <c r="AK20" s="62" t="s">
        <v>142</v>
      </c>
      <c r="AL20" s="232"/>
      <c r="AM20" s="59">
        <f t="shared" ref="AM20:AR20" si="28">IF(AM$2=0,$C$2,SQRT(1/(($H$1/(1+$M$3*($AL$29-$H$2)))*PI()*(AM$2*1000000000)*0.999991*0.0000004*PI()))*1000000)</f>
        <v>2.3164975680572764</v>
      </c>
      <c r="AN20" s="59">
        <f t="shared" si="28"/>
        <v>1.6380111389754459</v>
      </c>
      <c r="AO20" s="59">
        <f t="shared" si="28"/>
        <v>1.035969206377803</v>
      </c>
      <c r="AP20" s="59">
        <f t="shared" si="28"/>
        <v>0.73254085093019039</v>
      </c>
      <c r="AQ20" s="59">
        <f t="shared" si="28"/>
        <v>0.59811710017438746</v>
      </c>
      <c r="AR20" s="64">
        <f t="shared" si="28"/>
        <v>0.51798460318890149</v>
      </c>
    </row>
    <row r="21" spans="1:44" ht="14.7" thickBot="1" x14ac:dyDescent="0.6">
      <c r="A21" s="237" t="s">
        <v>173</v>
      </c>
      <c r="B21" s="238"/>
      <c r="C21" s="54">
        <f t="shared" ref="C21:H21" si="29">SLOPE(C10:C12,$B10:$B12)*100%+C20</f>
        <v>2.5374358974358975</v>
      </c>
      <c r="D21" s="54">
        <f t="shared" si="29"/>
        <v>2.5374358974358975</v>
      </c>
      <c r="E21" s="54">
        <f t="shared" si="29"/>
        <v>2.5414102564102565</v>
      </c>
      <c r="F21" s="54">
        <f t="shared" si="29"/>
        <v>2.5334615384615393</v>
      </c>
      <c r="G21" s="54">
        <f t="shared" si="29"/>
        <v>2.5255128205128199</v>
      </c>
      <c r="H21" s="55">
        <f t="shared" si="29"/>
        <v>2.5135897435897432</v>
      </c>
      <c r="S21" s="237" t="s">
        <v>174</v>
      </c>
      <c r="T21" s="238"/>
      <c r="U21" s="173">
        <f t="shared" ref="U21:Z21" si="30">SLOPE(C16:C18,$B16:$B18)*100%+U20</f>
        <v>-1.6923076923076961E-4</v>
      </c>
      <c r="V21" s="173">
        <f t="shared" si="30"/>
        <v>-1.6923076923076961E-4</v>
      </c>
      <c r="W21" s="173">
        <f t="shared" si="30"/>
        <v>-1.6923076923076961E-4</v>
      </c>
      <c r="X21" s="173">
        <f t="shared" si="30"/>
        <v>-1.6923076923076961E-4</v>
      </c>
      <c r="Y21" s="173">
        <f t="shared" si="30"/>
        <v>-1.6923076923076961E-4</v>
      </c>
      <c r="Z21" s="174">
        <f t="shared" si="30"/>
        <v>-1.6923076923076961E-4</v>
      </c>
      <c r="AK21" s="62" t="s">
        <v>143</v>
      </c>
      <c r="AL21" s="232"/>
      <c r="AM21" s="59">
        <f t="shared" ref="AM21:AR21" si="31">0.76*(1/(($H$1/(1+$M$3*($AL$29-$H$2)))*AM20*$C$3*0.000000000001))</f>
        <v>57.918862360668193</v>
      </c>
      <c r="AN21" s="59">
        <f t="shared" si="31"/>
        <v>81.909640667677522</v>
      </c>
      <c r="AO21" s="59">
        <f t="shared" si="31"/>
        <v>129.51051341790804</v>
      </c>
      <c r="AP21" s="59">
        <f t="shared" si="31"/>
        <v>183.15552454550826</v>
      </c>
      <c r="AQ21" s="59">
        <f t="shared" si="31"/>
        <v>224.3187893541475</v>
      </c>
      <c r="AR21" s="64">
        <f t="shared" si="31"/>
        <v>259.02102683581609</v>
      </c>
    </row>
    <row r="22" spans="1:44" ht="14.7" thickBot="1" x14ac:dyDescent="0.6">
      <c r="AK22" s="65" t="s">
        <v>146</v>
      </c>
      <c r="AL22" s="234"/>
      <c r="AM22" s="102">
        <f t="shared" ref="AM22:AR22" si="32">2*(60/SQRT(AM$18)*LN(1.9*(2*$C$1+$C$2)/(0.8*$C$3+$C$2)))*(1-0.347*(EXP(-2.9*($C$4/(2*$C$1+$C$2)))))</f>
        <v>99.888840262386694</v>
      </c>
      <c r="AN22" s="102">
        <f t="shared" si="32"/>
        <v>99.888840262386694</v>
      </c>
      <c r="AO22" s="102">
        <f t="shared" si="32"/>
        <v>99.865521140576959</v>
      </c>
      <c r="AP22" s="102">
        <f t="shared" si="32"/>
        <v>99.912260043768711</v>
      </c>
      <c r="AQ22" s="102">
        <f t="shared" si="32"/>
        <v>99.959401610486665</v>
      </c>
      <c r="AR22" s="103">
        <f t="shared" si="32"/>
        <v>100.0308690946119</v>
      </c>
    </row>
    <row r="23" spans="1:44" ht="14.7" thickBot="1" x14ac:dyDescent="0.6">
      <c r="A23" s="228" t="s">
        <v>177</v>
      </c>
      <c r="B23" s="229"/>
      <c r="C23" s="229"/>
      <c r="D23" s="229"/>
      <c r="E23" s="229"/>
      <c r="F23" s="229"/>
      <c r="G23" s="229"/>
      <c r="H23" s="230"/>
      <c r="J23" s="228" t="s">
        <v>178</v>
      </c>
      <c r="K23" s="229"/>
      <c r="L23" s="229"/>
      <c r="M23" s="229"/>
      <c r="N23" s="229"/>
      <c r="O23" s="229"/>
      <c r="P23" s="229"/>
      <c r="Q23" s="230"/>
      <c r="S23" s="228" t="s">
        <v>179</v>
      </c>
      <c r="T23" s="229"/>
      <c r="U23" s="229"/>
      <c r="V23" s="229"/>
      <c r="W23" s="229"/>
      <c r="X23" s="229"/>
      <c r="Y23" s="229"/>
      <c r="Z23" s="230"/>
    </row>
    <row r="24" spans="1:44" ht="14.4" x14ac:dyDescent="0.55000000000000004">
      <c r="A24" s="84" t="str">
        <f t="shared" ref="A24:H24" si="33">A9</f>
        <v>Thickness (um)</v>
      </c>
      <c r="B24" s="56" t="str">
        <f t="shared" si="33"/>
        <v>RC (%)</v>
      </c>
      <c r="C24" s="104">
        <f t="shared" si="33"/>
        <v>1</v>
      </c>
      <c r="D24" s="104">
        <f t="shared" si="33"/>
        <v>2</v>
      </c>
      <c r="E24" s="104">
        <f t="shared" si="33"/>
        <v>5</v>
      </c>
      <c r="F24" s="104">
        <f t="shared" si="33"/>
        <v>10</v>
      </c>
      <c r="G24" s="104">
        <f t="shared" si="33"/>
        <v>15</v>
      </c>
      <c r="H24" s="105">
        <f t="shared" si="33"/>
        <v>20</v>
      </c>
      <c r="J24" s="84" t="str">
        <f t="shared" ref="J24:Q24" si="34">A9</f>
        <v>Thickness (um)</v>
      </c>
      <c r="K24" s="56" t="str">
        <f t="shared" si="34"/>
        <v>RC (%)</v>
      </c>
      <c r="L24" s="104">
        <f t="shared" si="34"/>
        <v>1</v>
      </c>
      <c r="M24" s="104">
        <f t="shared" si="34"/>
        <v>2</v>
      </c>
      <c r="N24" s="104">
        <f t="shared" si="34"/>
        <v>5</v>
      </c>
      <c r="O24" s="104">
        <f t="shared" si="34"/>
        <v>10</v>
      </c>
      <c r="P24" s="104">
        <f t="shared" si="34"/>
        <v>15</v>
      </c>
      <c r="Q24" s="105">
        <f t="shared" si="34"/>
        <v>20</v>
      </c>
      <c r="S24" s="84" t="str">
        <f t="shared" ref="S24:Z24" si="35">A9</f>
        <v>Thickness (um)</v>
      </c>
      <c r="T24" s="63" t="str">
        <f t="shared" si="35"/>
        <v>RC (%)</v>
      </c>
      <c r="U24" s="104">
        <f t="shared" si="35"/>
        <v>1</v>
      </c>
      <c r="V24" s="104">
        <f t="shared" si="35"/>
        <v>2</v>
      </c>
      <c r="W24" s="104">
        <f t="shared" si="35"/>
        <v>5</v>
      </c>
      <c r="X24" s="104">
        <f t="shared" si="35"/>
        <v>10</v>
      </c>
      <c r="Y24" s="104">
        <f t="shared" si="35"/>
        <v>15</v>
      </c>
      <c r="Z24" s="105">
        <f t="shared" si="35"/>
        <v>20</v>
      </c>
      <c r="AK24" s="228" t="s">
        <v>182</v>
      </c>
      <c r="AL24" s="229"/>
      <c r="AM24" s="229"/>
      <c r="AN24" s="229"/>
      <c r="AO24" s="229"/>
      <c r="AP24" s="229"/>
      <c r="AQ24" s="229"/>
      <c r="AR24" s="230"/>
    </row>
    <row r="25" spans="1:44" ht="14.4" x14ac:dyDescent="0.55000000000000004">
      <c r="A25" s="106">
        <f t="shared" ref="A25:B27" si="36">A10</f>
        <v>127</v>
      </c>
      <c r="B25" s="164">
        <f t="shared" si="36"/>
        <v>0.6</v>
      </c>
      <c r="C25" s="59">
        <f t="shared" ref="C25:H27" si="37">((C$20*(100%-$B25))+(C$21*$B25))/100%</f>
        <v>3.1938461538461538</v>
      </c>
      <c r="D25" s="59">
        <f t="shared" si="37"/>
        <v>3.1938461538461538</v>
      </c>
      <c r="E25" s="59">
        <f t="shared" si="37"/>
        <v>3.193717948717949</v>
      </c>
      <c r="F25" s="59">
        <f t="shared" si="37"/>
        <v>3.1939743589743594</v>
      </c>
      <c r="G25" s="59">
        <f t="shared" si="37"/>
        <v>3.194230769230769</v>
      </c>
      <c r="H25" s="64">
        <f t="shared" si="37"/>
        <v>3.1946153846153851</v>
      </c>
      <c r="J25" s="106">
        <f t="shared" ref="J25:K27" si="38">A10</f>
        <v>127</v>
      </c>
      <c r="K25" s="164">
        <f t="shared" si="38"/>
        <v>0.6</v>
      </c>
      <c r="L25" s="59">
        <f t="shared" ref="L25:Q27" si="39">100%/((100%-$K25)/C$20+$K25/C$21)</f>
        <v>3.0103418305631466</v>
      </c>
      <c r="M25" s="59">
        <f t="shared" si="39"/>
        <v>3.0103418305631466</v>
      </c>
      <c r="N25" s="59">
        <f t="shared" si="39"/>
        <v>3.012388052243999</v>
      </c>
      <c r="O25" s="59">
        <f t="shared" si="39"/>
        <v>3.0082839709310307</v>
      </c>
      <c r="P25" s="59">
        <f t="shared" si="39"/>
        <v>3.0041334240732915</v>
      </c>
      <c r="Q25" s="64">
        <f t="shared" si="39"/>
        <v>2.9978208568830169</v>
      </c>
      <c r="S25" s="106">
        <f t="shared" ref="S25:T27" si="40">A10</f>
        <v>127</v>
      </c>
      <c r="T25" s="164">
        <f t="shared" si="40"/>
        <v>0.6</v>
      </c>
      <c r="U25" s="168">
        <f t="shared" ref="U25:Z27" si="41">((U$20*(100%-$T25))+(U$21*$T25))/100%</f>
        <v>2.0871794871794871E-3</v>
      </c>
      <c r="V25" s="168">
        <f t="shared" si="41"/>
        <v>2.0871794871794871E-3</v>
      </c>
      <c r="W25" s="168">
        <f t="shared" si="41"/>
        <v>2.0871794871794871E-3</v>
      </c>
      <c r="X25" s="168">
        <f t="shared" si="41"/>
        <v>2.0871794871794871E-3</v>
      </c>
      <c r="Y25" s="168">
        <f t="shared" si="41"/>
        <v>2.0871794871794871E-3</v>
      </c>
      <c r="Z25" s="79">
        <f t="shared" si="41"/>
        <v>2.0871794871794871E-3</v>
      </c>
      <c r="AK25" s="226" t="s">
        <v>133</v>
      </c>
      <c r="AL25" s="227"/>
      <c r="AM25" s="59">
        <f t="shared" ref="AM25:AR25" si="42">AD10</f>
        <v>1</v>
      </c>
      <c r="AN25" s="59">
        <f t="shared" si="42"/>
        <v>2</v>
      </c>
      <c r="AO25" s="59">
        <f t="shared" si="42"/>
        <v>5</v>
      </c>
      <c r="AP25" s="59">
        <f t="shared" si="42"/>
        <v>10</v>
      </c>
      <c r="AQ25" s="59">
        <f t="shared" si="42"/>
        <v>15</v>
      </c>
      <c r="AR25" s="64">
        <f t="shared" si="42"/>
        <v>20</v>
      </c>
    </row>
    <row r="26" spans="1:44" ht="14.4" x14ac:dyDescent="0.55000000000000004">
      <c r="A26" s="106">
        <f t="shared" si="36"/>
        <v>139.69999999999999</v>
      </c>
      <c r="B26" s="164">
        <f t="shared" si="36"/>
        <v>0.63</v>
      </c>
      <c r="C26" s="59">
        <f t="shared" si="37"/>
        <v>3.1446153846153848</v>
      </c>
      <c r="D26" s="59">
        <f t="shared" si="37"/>
        <v>3.1446153846153848</v>
      </c>
      <c r="E26" s="59">
        <f t="shared" si="37"/>
        <v>3.1447948717948719</v>
      </c>
      <c r="F26" s="59">
        <f t="shared" si="37"/>
        <v>3.1444358974358977</v>
      </c>
      <c r="G26" s="59">
        <f t="shared" si="37"/>
        <v>3.1440769230769225</v>
      </c>
      <c r="H26" s="64">
        <f t="shared" si="37"/>
        <v>3.1435384615384621</v>
      </c>
      <c r="J26" s="106">
        <f t="shared" si="38"/>
        <v>139.69999999999999</v>
      </c>
      <c r="K26" s="164">
        <f t="shared" si="38"/>
        <v>0.63</v>
      </c>
      <c r="L26" s="59">
        <f t="shared" si="39"/>
        <v>2.9688437237661818</v>
      </c>
      <c r="M26" s="59">
        <f t="shared" si="39"/>
        <v>2.9688437237661818</v>
      </c>
      <c r="N26" s="59">
        <f t="shared" si="39"/>
        <v>2.971092517561734</v>
      </c>
      <c r="O26" s="59">
        <f t="shared" si="39"/>
        <v>2.9665840876515888</v>
      </c>
      <c r="P26" s="59">
        <f t="shared" si="39"/>
        <v>2.962032378888495</v>
      </c>
      <c r="Q26" s="64">
        <f t="shared" si="39"/>
        <v>2.9551240618499772</v>
      </c>
      <c r="S26" s="106">
        <f t="shared" si="40"/>
        <v>139.69999999999999</v>
      </c>
      <c r="T26" s="164">
        <f t="shared" si="40"/>
        <v>0.63</v>
      </c>
      <c r="U26" s="168">
        <f t="shared" si="41"/>
        <v>1.9179487179487177E-3</v>
      </c>
      <c r="V26" s="168">
        <f t="shared" si="41"/>
        <v>1.9179487179487177E-3</v>
      </c>
      <c r="W26" s="168">
        <f t="shared" si="41"/>
        <v>1.9179487179487177E-3</v>
      </c>
      <c r="X26" s="168">
        <f t="shared" si="41"/>
        <v>1.9179487179487177E-3</v>
      </c>
      <c r="Y26" s="168">
        <f t="shared" si="41"/>
        <v>1.9179487179487177E-3</v>
      </c>
      <c r="Z26" s="79">
        <f t="shared" si="41"/>
        <v>1.9179487179487177E-3</v>
      </c>
      <c r="AK26" s="62"/>
      <c r="AL26" s="27">
        <v>-40</v>
      </c>
      <c r="AM26" s="69">
        <f t="shared" ref="AM26:AR26" si="43">(20*LOG(EXP(1))*(2*PI()/(2*0.299795637693216))*SQRT(AM$3)*(AM$2)*AM$4)+(20*LOG(EXP(1))*AM6/(AM7))*(1+(2/PI())*ATAN(1.4*($H$3/AM$5)^2))</f>
        <v>4.1329671593312485</v>
      </c>
      <c r="AN26" s="69">
        <f t="shared" si="43"/>
        <v>6.0976714940369687</v>
      </c>
      <c r="AO26" s="69">
        <f t="shared" si="43"/>
        <v>10.634468325412595</v>
      </c>
      <c r="AP26" s="69">
        <f t="shared" si="43"/>
        <v>16.987591756268266</v>
      </c>
      <c r="AQ26" s="69">
        <f t="shared" si="43"/>
        <v>22.826398072060449</v>
      </c>
      <c r="AR26" s="70">
        <f t="shared" si="43"/>
        <v>28.332326990398364</v>
      </c>
    </row>
    <row r="27" spans="1:44" ht="14.7" thickBot="1" x14ac:dyDescent="0.6">
      <c r="A27" s="71">
        <f t="shared" si="36"/>
        <v>177.8</v>
      </c>
      <c r="B27" s="72">
        <f t="shared" si="36"/>
        <v>0.70499999999999996</v>
      </c>
      <c r="C27" s="102">
        <f t="shared" si="37"/>
        <v>3.0215384615384613</v>
      </c>
      <c r="D27" s="102">
        <f t="shared" si="37"/>
        <v>3.0215384615384613</v>
      </c>
      <c r="E27" s="102">
        <f t="shared" si="37"/>
        <v>3.0224871794871797</v>
      </c>
      <c r="F27" s="102">
        <f t="shared" si="37"/>
        <v>3.0205897435897437</v>
      </c>
      <c r="G27" s="102">
        <f t="shared" si="37"/>
        <v>3.0186923076923073</v>
      </c>
      <c r="H27" s="103">
        <f t="shared" si="37"/>
        <v>3.0158461538461543</v>
      </c>
      <c r="J27" s="71">
        <f t="shared" si="38"/>
        <v>177.8</v>
      </c>
      <c r="K27" s="72">
        <f t="shared" si="38"/>
        <v>0.70499999999999996</v>
      </c>
      <c r="L27" s="102">
        <f t="shared" si="39"/>
        <v>2.8699372143680861</v>
      </c>
      <c r="M27" s="102">
        <f t="shared" si="39"/>
        <v>2.8699372143680861</v>
      </c>
      <c r="N27" s="102">
        <f t="shared" si="39"/>
        <v>2.872642945070925</v>
      </c>
      <c r="O27" s="102">
        <f t="shared" si="39"/>
        <v>2.8672227449750398</v>
      </c>
      <c r="P27" s="102">
        <f t="shared" si="39"/>
        <v>2.8617676823076543</v>
      </c>
      <c r="Q27" s="103">
        <f t="shared" si="39"/>
        <v>2.8535201221915019</v>
      </c>
      <c r="S27" s="71">
        <f t="shared" si="40"/>
        <v>177.8</v>
      </c>
      <c r="T27" s="72">
        <f t="shared" si="40"/>
        <v>0.70499999999999996</v>
      </c>
      <c r="U27" s="169">
        <f t="shared" si="41"/>
        <v>1.4948717948717947E-3</v>
      </c>
      <c r="V27" s="169">
        <f t="shared" si="41"/>
        <v>1.4948717948717947E-3</v>
      </c>
      <c r="W27" s="169">
        <f t="shared" si="41"/>
        <v>1.4948717948717947E-3</v>
      </c>
      <c r="X27" s="169">
        <f t="shared" si="41"/>
        <v>1.4948717948717947E-3</v>
      </c>
      <c r="Y27" s="169">
        <f t="shared" si="41"/>
        <v>1.4948717948717947E-3</v>
      </c>
      <c r="Z27" s="170">
        <f t="shared" si="41"/>
        <v>1.4948717948717947E-3</v>
      </c>
      <c r="AK27" s="62"/>
      <c r="AL27" s="27">
        <v>0</v>
      </c>
      <c r="AM27" s="69">
        <f t="shared" ref="AM27:AR27" si="44">(20*LOG(EXP(1))*(2*PI()/(2*0.299795637693216))*SQRT(AM$8)*AM$2*AM9)+(20*LOG(EXP(1))*AM11/(AM12))*(1+(2/PI())*ATAN(1.4*($H$3/AM$10)^2))</f>
        <v>4.5731696530974952</v>
      </c>
      <c r="AN27" s="69">
        <f t="shared" si="44"/>
        <v>6.7337478604726648</v>
      </c>
      <c r="AO27" s="69">
        <f t="shared" si="44"/>
        <v>11.667323582777698</v>
      </c>
      <c r="AP27" s="69">
        <f t="shared" si="44"/>
        <v>18.480526489909934</v>
      </c>
      <c r="AQ27" s="69">
        <f t="shared" si="44"/>
        <v>24.720338857936355</v>
      </c>
      <c r="AR27" s="70">
        <f t="shared" si="44"/>
        <v>30.641158698269784</v>
      </c>
    </row>
    <row r="28" spans="1:44" ht="14.7" thickBot="1" x14ac:dyDescent="0.6">
      <c r="A28" s="165">
        <f>C1</f>
        <v>152.4</v>
      </c>
      <c r="B28" s="167">
        <f>SLOPE(B10:B12,A10:A12)*A28+INTERCEPT(B10:B12,A10:A12)</f>
        <v>0.65365384615384614</v>
      </c>
      <c r="C28" s="54">
        <f t="shared" ref="C28:H28" si="45">((C$20*(100%-$B28))+(C$21*$B28))/100%</f>
        <v>3.105798816568047</v>
      </c>
      <c r="D28" s="54">
        <f t="shared" si="45"/>
        <v>3.105798816568047</v>
      </c>
      <c r="E28" s="54">
        <f t="shared" si="45"/>
        <v>3.1062209072978306</v>
      </c>
      <c r="F28" s="54">
        <f t="shared" si="45"/>
        <v>3.1053767258382647</v>
      </c>
      <c r="G28" s="54">
        <f t="shared" si="45"/>
        <v>3.1045325443786975</v>
      </c>
      <c r="H28" s="55">
        <f t="shared" si="45"/>
        <v>3.1032662721893494</v>
      </c>
      <c r="I28" s="166"/>
      <c r="J28" s="165">
        <f>A28</f>
        <v>152.4</v>
      </c>
      <c r="K28" s="167">
        <f>SLOPE(B10:B12,A10:A12)*A28+INTERCEPT(B10:B12,A10:A12)</f>
        <v>0.65365384615384614</v>
      </c>
      <c r="L28" s="54">
        <f t="shared" ref="L28:Q28" si="46">100%/((100%-$K28)/C$20+$K28/C$21)</f>
        <v>2.9369220682722141</v>
      </c>
      <c r="M28" s="54">
        <f t="shared" si="46"/>
        <v>2.9369220682722141</v>
      </c>
      <c r="N28" s="54">
        <f t="shared" si="46"/>
        <v>2.9393223209195587</v>
      </c>
      <c r="O28" s="54">
        <f t="shared" si="46"/>
        <v>2.934511621419182</v>
      </c>
      <c r="P28" s="54">
        <f t="shared" si="46"/>
        <v>2.9296602373871066</v>
      </c>
      <c r="Q28" s="55">
        <f t="shared" si="46"/>
        <v>2.9223072797918439</v>
      </c>
      <c r="S28" s="165">
        <f>J28</f>
        <v>152.4</v>
      </c>
      <c r="T28" s="167">
        <f>SLOPE(B10:B12,A10:A12)*S28+INTERCEPT(B10:B12,A10:A12)</f>
        <v>0.65365384615384614</v>
      </c>
      <c r="U28" s="100">
        <f t="shared" ref="U28:Z28" si="47">((U$20*(100%-$T28))+(U$21*$T28))/100%</f>
        <v>1.7845167652859959E-3</v>
      </c>
      <c r="V28" s="100">
        <f t="shared" si="47"/>
        <v>1.7845167652859959E-3</v>
      </c>
      <c r="W28" s="100">
        <f t="shared" si="47"/>
        <v>1.7845167652859959E-3</v>
      </c>
      <c r="X28" s="100">
        <f t="shared" si="47"/>
        <v>1.7845167652859959E-3</v>
      </c>
      <c r="Y28" s="100">
        <f t="shared" si="47"/>
        <v>1.7845167652859959E-3</v>
      </c>
      <c r="Z28" s="101">
        <f t="shared" si="47"/>
        <v>1.7845167652859959E-3</v>
      </c>
      <c r="AK28" s="62"/>
      <c r="AL28" s="27">
        <v>25</v>
      </c>
      <c r="AM28" s="69">
        <f t="shared" ref="AM28:AR28" si="48">(20*LOG(EXP(1))*(2*PI()/(2*0.299795637693216))*SQRT(AM$13)*AM$2*AM14)+((20*LOG(EXP(1))*AM16/(AM17))*(1+(2/PI())*ATAN(1.4*($H$3/AM$15)^2)))</f>
        <v>4.8319341504040105</v>
      </c>
      <c r="AN28" s="69">
        <f t="shared" si="48"/>
        <v>7.1096862631847797</v>
      </c>
      <c r="AO28" s="69">
        <f t="shared" si="48"/>
        <v>12.285000996566897</v>
      </c>
      <c r="AP28" s="69">
        <f t="shared" si="48"/>
        <v>19.381632656491178</v>
      </c>
      <c r="AQ28" s="69">
        <f t="shared" si="48"/>
        <v>25.860462714640402</v>
      </c>
      <c r="AR28" s="70">
        <f t="shared" si="48"/>
        <v>32.017157067903682</v>
      </c>
    </row>
    <row r="29" spans="1:44" ht="14.7" thickBot="1" x14ac:dyDescent="0.6">
      <c r="AK29" s="65"/>
      <c r="AL29" s="28">
        <v>90</v>
      </c>
      <c r="AM29" s="66">
        <f t="shared" ref="AM29:AR29" si="49">(20*LOG(EXP(1))*(2*PI()/(2*0.299795637693216))*SQRT(AM$18)*AM$2*AM19)+(20*LOG(EXP(1))*AM21/(AM22))*(1+(2/PI())*ATAN(1.4*($H$3/AM$20)^2))</f>
        <v>5.4595654375472531</v>
      </c>
      <c r="AN29" s="66">
        <f t="shared" si="49"/>
        <v>8.0268592567910257</v>
      </c>
      <c r="AO29" s="66">
        <f t="shared" si="49"/>
        <v>13.811036420620439</v>
      </c>
      <c r="AP29" s="66">
        <f t="shared" si="49"/>
        <v>21.634706370879343</v>
      </c>
      <c r="AQ29" s="66">
        <f t="shared" si="49"/>
        <v>28.71708947482254</v>
      </c>
      <c r="AR29" s="67">
        <f t="shared" si="49"/>
        <v>35.445483351137582</v>
      </c>
    </row>
    <row r="30" spans="1:44" ht="14.4" x14ac:dyDescent="0.55000000000000004"/>
    <row r="31" spans="1:44" ht="14.4" x14ac:dyDescent="0.55000000000000004"/>
    <row r="32" spans="1:44" ht="14.4" x14ac:dyDescent="0.55000000000000004"/>
    <row r="33" spans="2:44" ht="14.4" x14ac:dyDescent="0.55000000000000004"/>
    <row r="34" spans="2:44" ht="14.4" x14ac:dyDescent="0.55000000000000004"/>
    <row r="35" spans="2:44" ht="14.4" x14ac:dyDescent="0.55000000000000004">
      <c r="B35" s="57"/>
    </row>
    <row r="36" spans="2:44" ht="14.4" x14ac:dyDescent="0.55000000000000004">
      <c r="B36" s="57"/>
    </row>
    <row r="37" spans="2:44" ht="14.4" x14ac:dyDescent="0.55000000000000004">
      <c r="AK37" s="58"/>
    </row>
    <row r="38" spans="2:44" ht="14.4" x14ac:dyDescent="0.55000000000000004">
      <c r="AB38" s="58"/>
      <c r="AL38" s="59"/>
      <c r="AM38" s="59"/>
      <c r="AN38" s="59"/>
      <c r="AO38" s="59"/>
      <c r="AP38" s="59"/>
      <c r="AQ38" s="59"/>
    </row>
    <row r="39" spans="2:44" ht="14.4" x14ac:dyDescent="0.55000000000000004">
      <c r="AL39" s="59"/>
      <c r="AM39" s="59"/>
      <c r="AN39" s="59"/>
      <c r="AO39" s="59"/>
      <c r="AP39" s="59"/>
      <c r="AQ39" s="59"/>
    </row>
    <row r="40" spans="2:44" ht="14.4" x14ac:dyDescent="0.55000000000000004">
      <c r="AL40" s="59"/>
      <c r="AM40" s="59"/>
      <c r="AN40" s="59"/>
      <c r="AO40" s="59"/>
      <c r="AP40" s="59"/>
      <c r="AQ40" s="59"/>
    </row>
    <row r="41" spans="2:44" ht="14.4" x14ac:dyDescent="0.55000000000000004"/>
    <row r="42" spans="2:44" ht="14.4" x14ac:dyDescent="0.55000000000000004"/>
    <row r="43" spans="2:44" ht="14.4" x14ac:dyDescent="0.55000000000000004"/>
    <row r="44" spans="2:44" ht="14.4" x14ac:dyDescent="0.55000000000000004">
      <c r="AR44" s="61"/>
    </row>
    <row r="45" spans="2:44" ht="14.4" x14ac:dyDescent="0.55000000000000004">
      <c r="G45" s="59"/>
      <c r="K45" s="68"/>
      <c r="R45" s="60"/>
    </row>
    <row r="46" spans="2:44" ht="14.4" x14ac:dyDescent="0.55000000000000004"/>
    <row r="47" spans="2:44" ht="14.4" x14ac:dyDescent="0.55000000000000004"/>
    <row r="48" spans="2:44" ht="14.4" x14ac:dyDescent="0.55000000000000004"/>
    <row r="49" spans="45:51" ht="14.4" x14ac:dyDescent="0.55000000000000004"/>
    <row r="50" spans="45:51" ht="14.4" x14ac:dyDescent="0.55000000000000004"/>
    <row r="51" spans="45:51" ht="14.4" x14ac:dyDescent="0.55000000000000004"/>
    <row r="52" spans="45:51" ht="14.4" x14ac:dyDescent="0.55000000000000004"/>
    <row r="53" spans="45:51" ht="14.4" x14ac:dyDescent="0.55000000000000004"/>
    <row r="55" spans="45:51" ht="14.4" x14ac:dyDescent="0.55000000000000004">
      <c r="AS55" s="61"/>
      <c r="AT55" s="61"/>
      <c r="AU55" s="61"/>
      <c r="AV55" s="61"/>
      <c r="AW55" s="61"/>
      <c r="AX55" s="61"/>
      <c r="AY55" s="61"/>
    </row>
    <row r="206" ht="14.4" x14ac:dyDescent="0.55000000000000004"/>
    <row r="207" ht="14.4" x14ac:dyDescent="0.55000000000000004"/>
    <row r="208" ht="14.4" x14ac:dyDescent="0.55000000000000004"/>
    <row r="209" ht="14.4" x14ac:dyDescent="0.55000000000000004"/>
    <row r="210" ht="14.4" x14ac:dyDescent="0.55000000000000004"/>
    <row r="211" ht="14.4" x14ac:dyDescent="0.55000000000000004"/>
    <row r="212" ht="14.4" x14ac:dyDescent="0.55000000000000004"/>
    <row r="213" ht="14.4" x14ac:dyDescent="0.55000000000000004"/>
    <row r="214" ht="14.4" x14ac:dyDescent="0.55000000000000004"/>
    <row r="215" ht="14.4" x14ac:dyDescent="0.55000000000000004"/>
    <row r="216" ht="14.4" x14ac:dyDescent="0.55000000000000004"/>
    <row r="217" ht="14.4" x14ac:dyDescent="0.55000000000000004"/>
    <row r="218" ht="14.4" x14ac:dyDescent="0.55000000000000004"/>
    <row r="219" ht="14.4" x14ac:dyDescent="0.55000000000000004"/>
    <row r="220" ht="14.4" x14ac:dyDescent="0.55000000000000004"/>
    <row r="221" ht="14.4" x14ac:dyDescent="0.55000000000000004"/>
    <row r="222" ht="14.4" x14ac:dyDescent="0.55000000000000004"/>
    <row r="223" ht="14.4" x14ac:dyDescent="0.55000000000000004"/>
    <row r="224" ht="14.4" x14ac:dyDescent="0.55000000000000004"/>
    <row r="225" ht="14.4" x14ac:dyDescent="0.55000000000000004"/>
    <row r="226" ht="14.4" x14ac:dyDescent="0.55000000000000004"/>
    <row r="227" ht="14.4" x14ac:dyDescent="0.55000000000000004"/>
    <row r="228" ht="14.4" x14ac:dyDescent="0.55000000000000004"/>
    <row r="229" ht="14.4" x14ac:dyDescent="0.55000000000000004"/>
    <row r="230" ht="14.4" x14ac:dyDescent="0.55000000000000004"/>
    <row r="231" ht="14.4" x14ac:dyDescent="0.55000000000000004"/>
    <row r="232" ht="14.4" x14ac:dyDescent="0.55000000000000004"/>
    <row r="233" ht="14.4" x14ac:dyDescent="0.55000000000000004"/>
    <row r="234" ht="14.4" x14ac:dyDescent="0.55000000000000004"/>
    <row r="235" ht="14.4" x14ac:dyDescent="0.55000000000000004"/>
    <row r="236" ht="14.4" x14ac:dyDescent="0.55000000000000004"/>
    <row r="237" ht="14.4" x14ac:dyDescent="0.55000000000000004"/>
    <row r="238" ht="14.4" x14ac:dyDescent="0.55000000000000004"/>
    <row r="239" ht="14.4" x14ac:dyDescent="0.55000000000000004"/>
    <row r="240" ht="14.4" x14ac:dyDescent="0.55000000000000004"/>
    <row r="241" ht="14.4" x14ac:dyDescent="0.55000000000000004"/>
    <row r="242" ht="14.4" x14ac:dyDescent="0.55000000000000004"/>
    <row r="243" ht="14.4" x14ac:dyDescent="0.55000000000000004"/>
    <row r="244" ht="14.4" x14ac:dyDescent="0.55000000000000004"/>
    <row r="245" ht="14.4" x14ac:dyDescent="0.55000000000000004"/>
    <row r="246" ht="14.4" x14ac:dyDescent="0.55000000000000004"/>
    <row r="247" ht="14.4" x14ac:dyDescent="0.55000000000000004"/>
    <row r="248" ht="14.4" x14ac:dyDescent="0.55000000000000004"/>
    <row r="249" ht="14.4" x14ac:dyDescent="0.55000000000000004"/>
    <row r="250" ht="14.4" x14ac:dyDescent="0.55000000000000004"/>
    <row r="251" ht="14.4" x14ac:dyDescent="0.55000000000000004"/>
    <row r="252" ht="14.4" x14ac:dyDescent="0.55000000000000004"/>
    <row r="253" ht="14.4" x14ac:dyDescent="0.55000000000000004"/>
    <row r="254" ht="14.4" x14ac:dyDescent="0.55000000000000004"/>
    <row r="255" ht="14.4" x14ac:dyDescent="0.55000000000000004"/>
    <row r="256" ht="14.4" x14ac:dyDescent="0.55000000000000004"/>
    <row r="257" ht="14.4" x14ac:dyDescent="0.55000000000000004"/>
    <row r="258" ht="14.4" x14ac:dyDescent="0.55000000000000004"/>
    <row r="259" ht="14.4" x14ac:dyDescent="0.55000000000000004"/>
    <row r="260" ht="14.4" x14ac:dyDescent="0.55000000000000004"/>
    <row r="261" ht="14.4" x14ac:dyDescent="0.55000000000000004"/>
    <row r="262" ht="14.4" x14ac:dyDescent="0.55000000000000004"/>
    <row r="263" ht="14.4" x14ac:dyDescent="0.55000000000000004"/>
    <row r="264" ht="14.4" x14ac:dyDescent="0.55000000000000004"/>
    <row r="265" ht="14.4" x14ac:dyDescent="0.55000000000000004"/>
    <row r="266" ht="14.4" x14ac:dyDescent="0.55000000000000004"/>
    <row r="267" ht="14.4" x14ac:dyDescent="0.55000000000000004"/>
    <row r="268" ht="14.4" x14ac:dyDescent="0.55000000000000004"/>
    <row r="269" ht="14.4" x14ac:dyDescent="0.55000000000000004"/>
    <row r="270" ht="14.4" x14ac:dyDescent="0.55000000000000004"/>
    <row r="271" ht="14.4" x14ac:dyDescent="0.55000000000000004"/>
    <row r="272" ht="14.4" x14ac:dyDescent="0.55000000000000004"/>
    <row r="273" ht="14.4" x14ac:dyDescent="0.55000000000000004"/>
    <row r="274" ht="14.4" x14ac:dyDescent="0.55000000000000004"/>
    <row r="275" ht="14.4" x14ac:dyDescent="0.55000000000000004"/>
    <row r="276" ht="14.4" x14ac:dyDescent="0.55000000000000004"/>
    <row r="277" ht="14.4" x14ac:dyDescent="0.55000000000000004"/>
    <row r="278" ht="14.4" x14ac:dyDescent="0.55000000000000004"/>
    <row r="279" ht="14.4" x14ac:dyDescent="0.55000000000000004"/>
    <row r="280" ht="14.4" x14ac:dyDescent="0.55000000000000004"/>
    <row r="281" ht="14.4" x14ac:dyDescent="0.55000000000000004"/>
    <row r="282" ht="14.4" x14ac:dyDescent="0.55000000000000004"/>
    <row r="283" ht="14.4" x14ac:dyDescent="0.55000000000000004"/>
    <row r="284" ht="14.4" x14ac:dyDescent="0.55000000000000004"/>
    <row r="285" ht="14.4" x14ac:dyDescent="0.55000000000000004"/>
    <row r="286" ht="14.4" x14ac:dyDescent="0.55000000000000004"/>
    <row r="287" ht="14.4" x14ac:dyDescent="0.55000000000000004"/>
    <row r="288" ht="14.4" x14ac:dyDescent="0.55000000000000004"/>
    <row r="289" ht="14.4" x14ac:dyDescent="0.55000000000000004"/>
    <row r="290" ht="14.4" x14ac:dyDescent="0.55000000000000004"/>
    <row r="291" ht="14.4" x14ac:dyDescent="0.55000000000000004"/>
    <row r="292" ht="14.4" x14ac:dyDescent="0.55000000000000004"/>
    <row r="293" ht="14.4" x14ac:dyDescent="0.55000000000000004"/>
    <row r="294" ht="14.4" x14ac:dyDescent="0.55000000000000004"/>
    <row r="295" ht="14.4" x14ac:dyDescent="0.55000000000000004"/>
    <row r="296" ht="14.4" x14ac:dyDescent="0.55000000000000004"/>
    <row r="297" ht="14.4" x14ac:dyDescent="0.55000000000000004"/>
    <row r="298" ht="14.4" x14ac:dyDescent="0.55000000000000004"/>
    <row r="299" ht="14.4" x14ac:dyDescent="0.55000000000000004"/>
    <row r="300" ht="14.4" x14ac:dyDescent="0.55000000000000004"/>
    <row r="301" ht="14.4" x14ac:dyDescent="0.55000000000000004"/>
    <row r="302" ht="14.4" x14ac:dyDescent="0.55000000000000004"/>
    <row r="303" ht="14.4" x14ac:dyDescent="0.55000000000000004"/>
    <row r="304" ht="14.4" x14ac:dyDescent="0.55000000000000004"/>
    <row r="305" ht="14.4" x14ac:dyDescent="0.55000000000000004"/>
  </sheetData>
  <protectedRanges>
    <protectedRange sqref="S1:Z3 AL26:AL29" name="Range1"/>
  </protectedRanges>
  <mergeCells count="47">
    <mergeCell ref="AL8:AL12"/>
    <mergeCell ref="A3:B3"/>
    <mergeCell ref="AC11:AC13"/>
    <mergeCell ref="A4:B4"/>
    <mergeCell ref="A6:H7"/>
    <mergeCell ref="AG2:AH3"/>
    <mergeCell ref="AG5:AH6"/>
    <mergeCell ref="AE5:AE6"/>
    <mergeCell ref="J3:L3"/>
    <mergeCell ref="A2:B2"/>
    <mergeCell ref="E2:G2"/>
    <mergeCell ref="J2:L2"/>
    <mergeCell ref="AK2:AL2"/>
    <mergeCell ref="Y1:Z3"/>
    <mergeCell ref="S1:X3"/>
    <mergeCell ref="A1:B1"/>
    <mergeCell ref="E1:G1"/>
    <mergeCell ref="J1:L1"/>
    <mergeCell ref="AK1:AR1"/>
    <mergeCell ref="AL3:AL7"/>
    <mergeCell ref="P1:Q1"/>
    <mergeCell ref="AB9:AI9"/>
    <mergeCell ref="AC14:AC17"/>
    <mergeCell ref="A8:H8"/>
    <mergeCell ref="AD2:AD3"/>
    <mergeCell ref="A23:H23"/>
    <mergeCell ref="J23:Q23"/>
    <mergeCell ref="S23:Z23"/>
    <mergeCell ref="AB10:AC10"/>
    <mergeCell ref="P2:Q2"/>
    <mergeCell ref="P3:Q3"/>
    <mergeCell ref="AK25:AL25"/>
    <mergeCell ref="AK24:AR24"/>
    <mergeCell ref="AL13:AL17"/>
    <mergeCell ref="A14:H14"/>
    <mergeCell ref="AL18:AL22"/>
    <mergeCell ref="A20:B20"/>
    <mergeCell ref="S20:T20"/>
    <mergeCell ref="A21:B21"/>
    <mergeCell ref="S21:T21"/>
    <mergeCell ref="H1:I1"/>
    <mergeCell ref="D3:G3"/>
    <mergeCell ref="M1:N1"/>
    <mergeCell ref="M2:N2"/>
    <mergeCell ref="M3:N3"/>
    <mergeCell ref="H2:I2"/>
    <mergeCell ref="H3:I3"/>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8C9A1923-3392-4573-8B91-6AE88FEA348F}">
          <x14:formula1>
            <xm:f>'Material Database'!$BI$3:$BI$16</xm:f>
          </x14:formula1>
          <xm:sqref>Y1</xm:sqref>
        </x14:dataValidation>
        <x14:dataValidation type="list" allowBlank="1" showInputMessage="1" showErrorMessage="1" xr:uid="{02257635-8C80-48F4-819D-E83853BE95DF}">
          <x14:formula1>
            <xm:f>'Material Database'!$A3:$A1000</xm:f>
          </x14:formula1>
          <xm:sqref>S1:X1</xm:sqref>
        </x14:dataValidation>
        <x14:dataValidation type="list" allowBlank="1" showInputMessage="1" showErrorMessage="1" xr:uid="{6B559EFC-EAEA-4484-A9BE-FC564EAA754D}">
          <x14:formula1>
            <xm:f>'Material Database'!$A3:$A1001</xm:f>
          </x14:formula1>
          <xm:sqref>S2:X3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2EEAD-339B-416F-ADE1-27655C7BCE2F}">
  <sheetPr>
    <tabColor theme="0" tint="-4.9989318521683403E-2"/>
  </sheetPr>
  <dimension ref="F1:BA68"/>
  <sheetViews>
    <sheetView zoomScale="80" zoomScaleNormal="80" workbookViewId="0">
      <pane ySplit="14" topLeftCell="A15" activePane="bottomLeft" state="frozen"/>
      <selection pane="bottomLeft" activeCell="K19" sqref="K19"/>
    </sheetView>
  </sheetViews>
  <sheetFormatPr defaultColWidth="8.83984375" defaultRowHeight="14.4" x14ac:dyDescent="0.55000000000000004"/>
  <cols>
    <col min="1" max="5" width="8.83984375" style="56"/>
    <col min="6" max="6" width="2.62890625" style="56" customWidth="1"/>
    <col min="7" max="7" width="16.62890625" style="56" bestFit="1" customWidth="1"/>
    <col min="8" max="8" width="2.83984375" style="56" bestFit="1" customWidth="1"/>
    <col min="9" max="9" width="11.62890625" style="56" customWidth="1"/>
    <col min="10" max="10" width="13.05078125" style="56" customWidth="1"/>
    <col min="11" max="14" width="13.05078125" style="56" bestFit="1" customWidth="1"/>
    <col min="15" max="15" width="14.3671875" style="56" customWidth="1"/>
    <col min="16" max="16" width="1.89453125" style="56" customWidth="1"/>
    <col min="17" max="17" width="16.62890625" style="56" bestFit="1" customWidth="1"/>
    <col min="18" max="18" width="2.83984375" style="56" bestFit="1" customWidth="1"/>
    <col min="19" max="19" width="12" style="56" bestFit="1" customWidth="1"/>
    <col min="20" max="24" width="13.05078125" style="56" bestFit="1" customWidth="1"/>
    <col min="25" max="25" width="14.62890625" style="56" customWidth="1"/>
    <col min="26" max="26" width="2.41796875" style="56" customWidth="1"/>
    <col min="27" max="27" width="16.62890625" style="56" bestFit="1" customWidth="1"/>
    <col min="28" max="28" width="2.83984375" style="56" bestFit="1" customWidth="1"/>
    <col min="29" max="29" width="12" style="56" bestFit="1" customWidth="1"/>
    <col min="30" max="31" width="13.05078125" style="56" bestFit="1" customWidth="1"/>
    <col min="32" max="32" width="12" style="56" bestFit="1" customWidth="1"/>
    <col min="33" max="34" width="13.05078125" style="56" bestFit="1" customWidth="1"/>
    <col min="35" max="35" width="14.47265625" style="56" customWidth="1"/>
    <col min="36" max="36" width="3.05078125" style="56" customWidth="1"/>
    <col min="37" max="37" width="16.62890625" style="56" customWidth="1"/>
    <col min="38" max="38" width="2.68359375" style="56" bestFit="1" customWidth="1"/>
    <col min="39" max="39" width="10.62890625" style="56" customWidth="1"/>
    <col min="40" max="40" width="11.26171875" style="56" customWidth="1"/>
    <col min="41" max="44" width="10.62890625" style="56" bestFit="1" customWidth="1"/>
    <col min="45" max="45" width="2.5234375" style="56" customWidth="1"/>
    <col min="46" max="46" width="16.62890625" style="56" customWidth="1"/>
    <col min="47" max="47" width="2.68359375" style="56" bestFit="1" customWidth="1"/>
    <col min="48" max="53" width="11.3671875" style="56" customWidth="1"/>
    <col min="54" max="16384" width="8.83984375" style="56"/>
  </cols>
  <sheetData>
    <row r="1" spans="6:53" x14ac:dyDescent="0.55000000000000004">
      <c r="G1" s="124"/>
      <c r="H1" s="124"/>
      <c r="I1" s="124"/>
      <c r="J1" s="124"/>
      <c r="K1" s="124"/>
      <c r="L1" s="196"/>
      <c r="M1" s="124"/>
    </row>
    <row r="2" spans="6:53" x14ac:dyDescent="0.55000000000000004">
      <c r="I2" s="239" t="str">
        <f>_xlfn.CONCAT("w = ", I12, "µm, 
Tol [", K12, ",", L12, "]")</f>
        <v>w = 120µm, 
Tol [130,110]</v>
      </c>
      <c r="L2" s="247" t="str">
        <f>_xlfn.CONCAT("h1 = ", $I$10, "µm, Tol [", K10, ",", L10, "]")</f>
        <v>h1 = 152.4µm, Tol [132.4,172.4]</v>
      </c>
      <c r="M2" s="247"/>
    </row>
    <row r="3" spans="6:53" x14ac:dyDescent="0.55000000000000004">
      <c r="I3" s="239"/>
      <c r="L3" s="247"/>
      <c r="M3" s="247"/>
    </row>
    <row r="4" spans="6:53" x14ac:dyDescent="0.55000000000000004">
      <c r="G4" s="126" t="str">
        <f>_xlfn.CONCAT("t = ", I11, "µm, Tol [", K11, ",", L11, "]")</f>
        <v>t = 17µm, Tol [20,14]</v>
      </c>
      <c r="H4" s="125"/>
      <c r="I4" s="124"/>
      <c r="K4" s="124"/>
      <c r="L4" s="125"/>
      <c r="M4" s="127"/>
    </row>
    <row r="5" spans="6:53" x14ac:dyDescent="0.55000000000000004">
      <c r="J5" s="239" t="str">
        <f>_xlfn.CONCAT("s = ", I13, "µm, 
Tol [", K13, ",", L13, "]")</f>
        <v>s = 100µm, 
Tol [90,110]</v>
      </c>
      <c r="L5" s="247" t="str">
        <f>_xlfn.CONCAT("h2 = ", $I$10, "µm, Tol [", K10, ",", L10, "]")</f>
        <v>h2 = 152.4µm, Tol [132.4,172.4]</v>
      </c>
      <c r="M5" s="247"/>
    </row>
    <row r="6" spans="6:53" x14ac:dyDescent="0.55000000000000004">
      <c r="G6" s="198" t="str">
        <f>VLOOKUP('Material Modeler'!S1,Table1[],1,FALSE)</f>
        <v>Tachyon100G_2x1078_Core</v>
      </c>
      <c r="J6" s="239"/>
      <c r="L6" s="247"/>
      <c r="M6" s="247"/>
    </row>
    <row r="7" spans="6:53" x14ac:dyDescent="0.55000000000000004">
      <c r="G7" s="124"/>
      <c r="H7" s="124"/>
      <c r="I7" s="124"/>
      <c r="J7" s="124"/>
      <c r="K7" s="124"/>
      <c r="L7" s="197"/>
      <c r="M7" s="124"/>
    </row>
    <row r="9" spans="6:53" ht="28.8" x14ac:dyDescent="0.55000000000000004">
      <c r="I9" s="63" t="s">
        <v>210</v>
      </c>
      <c r="J9" s="63"/>
      <c r="K9" s="163" t="s">
        <v>215</v>
      </c>
      <c r="L9" s="163" t="s">
        <v>216</v>
      </c>
    </row>
    <row r="10" spans="6:53" ht="14.5" customHeight="1" x14ac:dyDescent="0.55000000000000004">
      <c r="F10" s="222" t="s">
        <v>123</v>
      </c>
      <c r="G10" s="222"/>
      <c r="H10" s="222"/>
      <c r="I10" s="180">
        <v>152.4</v>
      </c>
      <c r="J10" s="179" t="s">
        <v>212</v>
      </c>
      <c r="K10" s="183">
        <f>I10-20</f>
        <v>132.4</v>
      </c>
      <c r="L10" s="183">
        <f>I10+20</f>
        <v>172.4</v>
      </c>
      <c r="M10" s="179"/>
      <c r="N10" s="179"/>
    </row>
    <row r="11" spans="6:53" ht="14.5" customHeight="1" x14ac:dyDescent="0.55000000000000004">
      <c r="F11" s="222" t="s">
        <v>128</v>
      </c>
      <c r="G11" s="222"/>
      <c r="H11" s="222"/>
      <c r="I11" s="180">
        <v>17</v>
      </c>
      <c r="J11" s="179" t="s">
        <v>211</v>
      </c>
      <c r="K11" s="183">
        <f>I11+3</f>
        <v>20</v>
      </c>
      <c r="L11" s="183">
        <f>I11-3</f>
        <v>14</v>
      </c>
      <c r="M11" s="179"/>
      <c r="N11" s="179"/>
    </row>
    <row r="12" spans="6:53" ht="14.5" customHeight="1" x14ac:dyDescent="0.55000000000000004">
      <c r="G12" s="227" t="s">
        <v>134</v>
      </c>
      <c r="H12" s="227"/>
      <c r="I12" s="180">
        <v>120</v>
      </c>
      <c r="J12" s="179" t="s">
        <v>211</v>
      </c>
      <c r="K12" s="183">
        <f>I12+10</f>
        <v>130</v>
      </c>
      <c r="L12" s="183">
        <f>I12-10</f>
        <v>110</v>
      </c>
      <c r="M12" s="179"/>
      <c r="N12" s="179"/>
    </row>
    <row r="13" spans="6:53" ht="14.5" customHeight="1" x14ac:dyDescent="0.55000000000000004">
      <c r="G13" s="222" t="s">
        <v>140</v>
      </c>
      <c r="H13" s="222"/>
      <c r="I13" s="180">
        <v>100</v>
      </c>
      <c r="J13" s="179" t="s">
        <v>212</v>
      </c>
      <c r="K13" s="179">
        <f>$I13+($I12-K12)</f>
        <v>90</v>
      </c>
      <c r="L13" s="179">
        <f>$I13+($I12-L12)</f>
        <v>110</v>
      </c>
      <c r="M13" s="179"/>
      <c r="N13" s="179"/>
    </row>
    <row r="15" spans="6:53" ht="14.7" thickBot="1" x14ac:dyDescent="0.6"/>
    <row r="16" spans="6:53" ht="14.7" thickBot="1" x14ac:dyDescent="0.6">
      <c r="G16" s="228" t="s">
        <v>213</v>
      </c>
      <c r="H16" s="229"/>
      <c r="I16" s="229"/>
      <c r="J16" s="229"/>
      <c r="K16" s="229"/>
      <c r="L16" s="229"/>
      <c r="M16" s="229"/>
      <c r="N16" s="230"/>
      <c r="Q16" s="228" t="s">
        <v>210</v>
      </c>
      <c r="R16" s="229"/>
      <c r="S16" s="229"/>
      <c r="T16" s="229"/>
      <c r="U16" s="229"/>
      <c r="V16" s="229"/>
      <c r="W16" s="229"/>
      <c r="X16" s="230"/>
      <c r="AA16" s="228" t="s">
        <v>214</v>
      </c>
      <c r="AB16" s="229"/>
      <c r="AC16" s="229"/>
      <c r="AD16" s="229"/>
      <c r="AE16" s="229"/>
      <c r="AF16" s="229"/>
      <c r="AG16" s="229"/>
      <c r="AH16" s="230"/>
      <c r="AK16" s="228" t="s">
        <v>217</v>
      </c>
      <c r="AL16" s="229"/>
      <c r="AM16" s="229"/>
      <c r="AN16" s="229"/>
      <c r="AO16" s="229"/>
      <c r="AP16" s="229"/>
      <c r="AQ16" s="229"/>
      <c r="AR16" s="230"/>
      <c r="AT16" s="228" t="s">
        <v>218</v>
      </c>
      <c r="AU16" s="229"/>
      <c r="AV16" s="229"/>
      <c r="AW16" s="229"/>
      <c r="AX16" s="229"/>
      <c r="AY16" s="229"/>
      <c r="AZ16" s="229"/>
      <c r="BA16" s="230"/>
    </row>
    <row r="17" spans="7:53" x14ac:dyDescent="0.55000000000000004">
      <c r="G17" s="228" t="str">
        <f>_xlfn.CONCAT("Detailed Stripline Parameters (dB/m) at Temp = ",H19,"°C (dB/m)")</f>
        <v>Detailed Stripline Parameters (dB/m) at Temp = 25°C (dB/m)</v>
      </c>
      <c r="H17" s="229"/>
      <c r="I17" s="229"/>
      <c r="J17" s="229"/>
      <c r="K17" s="229"/>
      <c r="L17" s="229"/>
      <c r="M17" s="229"/>
      <c r="N17" s="230"/>
      <c r="Q17" s="228" t="str">
        <f>_xlfn.CONCAT("Detailed Stripline Parameters (dB/m) at Temp = ",R19,"°C (dB/m)")</f>
        <v>Detailed Stripline Parameters (dB/m) at Temp = 25°C (dB/m)</v>
      </c>
      <c r="R17" s="229"/>
      <c r="S17" s="229"/>
      <c r="T17" s="229"/>
      <c r="U17" s="229"/>
      <c r="V17" s="229"/>
      <c r="W17" s="229"/>
      <c r="X17" s="230"/>
      <c r="AA17" s="228" t="str">
        <f>_xlfn.CONCAT("Detailed Stripline Parameters (dB/m) at Temp = ",AB19,"°C (dB/m)")</f>
        <v>Detailed Stripline Parameters (dB/m) at Temp = 25°C (dB/m)</v>
      </c>
      <c r="AB17" s="229"/>
      <c r="AC17" s="229"/>
      <c r="AD17" s="229"/>
      <c r="AE17" s="229"/>
      <c r="AF17" s="229"/>
      <c r="AG17" s="229"/>
      <c r="AH17" s="230"/>
      <c r="AK17" s="228" t="str">
        <f>_xlfn.CONCAT("Detailed Stripline Parameters (dB/m) at Temp = ",AL19,"°C (dB/m)")</f>
        <v>Detailed Stripline Parameters (dB/m) at Temp = 25°C (dB/m)</v>
      </c>
      <c r="AL17" s="229"/>
      <c r="AM17" s="229"/>
      <c r="AN17" s="229"/>
      <c r="AO17" s="229"/>
      <c r="AP17" s="229"/>
      <c r="AQ17" s="229"/>
      <c r="AR17" s="230"/>
      <c r="AT17" s="228" t="str">
        <f>_xlfn.CONCAT("Detailed Stripline Parameters (dB/m) at Temp = ",AU19,"°C (dB/m)")</f>
        <v>Detailed Stripline Parameters (dB/m) at Temp = 25°C (dB/m)</v>
      </c>
      <c r="AU17" s="229"/>
      <c r="AV17" s="229"/>
      <c r="AW17" s="229"/>
      <c r="AX17" s="229"/>
      <c r="AY17" s="229"/>
      <c r="AZ17" s="229"/>
      <c r="BA17" s="230"/>
    </row>
    <row r="18" spans="7:53" x14ac:dyDescent="0.55000000000000004">
      <c r="G18" s="226" t="s">
        <v>133</v>
      </c>
      <c r="H18" s="227"/>
      <c r="I18" s="104">
        <f>'Material Modeler'!L$24</f>
        <v>1</v>
      </c>
      <c r="J18" s="104">
        <f>'Material Modeler'!M$24</f>
        <v>2</v>
      </c>
      <c r="K18" s="104">
        <f>'Material Modeler'!N$24</f>
        <v>5</v>
      </c>
      <c r="L18" s="104">
        <f>'Material Modeler'!O$24</f>
        <v>10</v>
      </c>
      <c r="M18" s="104">
        <f>'Material Modeler'!P$24</f>
        <v>15</v>
      </c>
      <c r="N18" s="105">
        <f>'Material Modeler'!Q$24</f>
        <v>20</v>
      </c>
      <c r="O18" s="58"/>
      <c r="Q18" s="226" t="s">
        <v>133</v>
      </c>
      <c r="R18" s="227"/>
      <c r="S18" s="104">
        <f>'Material Modeler'!L$24</f>
        <v>1</v>
      </c>
      <c r="T18" s="104">
        <f>'Material Modeler'!M$24</f>
        <v>2</v>
      </c>
      <c r="U18" s="104">
        <f>'Material Modeler'!N$24</f>
        <v>5</v>
      </c>
      <c r="V18" s="104">
        <f>'Material Modeler'!O$24</f>
        <v>10</v>
      </c>
      <c r="W18" s="104">
        <f>'Material Modeler'!P$24</f>
        <v>15</v>
      </c>
      <c r="X18" s="105">
        <f>'Material Modeler'!Q$24</f>
        <v>20</v>
      </c>
      <c r="Y18" s="58"/>
      <c r="AA18" s="226" t="s">
        <v>133</v>
      </c>
      <c r="AB18" s="227"/>
      <c r="AC18" s="104">
        <f>'Material Modeler'!L$24</f>
        <v>1</v>
      </c>
      <c r="AD18" s="104">
        <f>'Material Modeler'!M$24</f>
        <v>2</v>
      </c>
      <c r="AE18" s="104">
        <f>'Material Modeler'!N$24</f>
        <v>5</v>
      </c>
      <c r="AF18" s="104">
        <f>'Material Modeler'!O$24</f>
        <v>10</v>
      </c>
      <c r="AG18" s="104">
        <f>'Material Modeler'!P$24</f>
        <v>15</v>
      </c>
      <c r="AH18" s="105">
        <f>'Material Modeler'!Q$24</f>
        <v>20</v>
      </c>
      <c r="AI18" s="58"/>
      <c r="AK18" s="226" t="s">
        <v>133</v>
      </c>
      <c r="AL18" s="227"/>
      <c r="AM18" s="104">
        <f>'Material Modeler'!L$24</f>
        <v>1</v>
      </c>
      <c r="AN18" s="104">
        <f>'Material Modeler'!M$24</f>
        <v>2</v>
      </c>
      <c r="AO18" s="104">
        <f>'Material Modeler'!N$24</f>
        <v>5</v>
      </c>
      <c r="AP18" s="104">
        <f>'Material Modeler'!O$24</f>
        <v>10</v>
      </c>
      <c r="AQ18" s="104">
        <f>'Material Modeler'!P$24</f>
        <v>15</v>
      </c>
      <c r="AR18" s="105">
        <f>'Material Modeler'!Q$24</f>
        <v>20</v>
      </c>
      <c r="AT18" s="226" t="s">
        <v>133</v>
      </c>
      <c r="AU18" s="227"/>
      <c r="AV18" s="104">
        <f>'Material Modeler'!L$24</f>
        <v>1</v>
      </c>
      <c r="AW18" s="104">
        <f>'Material Modeler'!M$24</f>
        <v>2</v>
      </c>
      <c r="AX18" s="104">
        <f>'Material Modeler'!N$24</f>
        <v>5</v>
      </c>
      <c r="AY18" s="104">
        <f>'Material Modeler'!O$24</f>
        <v>10</v>
      </c>
      <c r="AZ18" s="104">
        <f>'Material Modeler'!P$24</f>
        <v>15</v>
      </c>
      <c r="BA18" s="105">
        <f>'Material Modeler'!Q$24</f>
        <v>20</v>
      </c>
    </row>
    <row r="19" spans="7:53" x14ac:dyDescent="0.55000000000000004">
      <c r="G19" s="194" t="s">
        <v>139</v>
      </c>
      <c r="H19" s="255">
        <f>R19</f>
        <v>25</v>
      </c>
      <c r="I19" s="120">
        <f>('Material Modeler'!$M$1*($R$19-'Material Modeler'!$H$2)+1) * AVERAGE(
    (
       ('Material Modeler'!C$20*(100%-(SLOPE('Material Modeler'!$B$10:$B$12,'Material Modeler'!$A$10:$A$12)*$K$10+INTERCEPT('Material Modeler'!$B$10:$B$12,'Material Modeler'!$A$10:$A$12))) )
      +('Material Modeler'!C$21*(SLOPE('Material Modeler'!$B$10:$B$12,'Material Modeler'!$A$10:$A$12)*$K$10+INTERCEPT('Material Modeler'!$B$10:$B$12,'Material Modeler'!$A$10:$A$12)))
    ) / 100%,
    100% / (
           (100%-(SLOPE('Material Modeler'!$B$10:$B$12,'Material Modeler'!$A$10:$A$12)*$K$10+INTERCEPT('Material Modeler'!$B$10:$B$12,'Material Modeler'!$A$10:$A$12))) /
           'Material Modeler'!C$20+(SLOPE('Material Modeler'!$B$10:$B$12,'Material Modeler'!$A$10:$A$12)*$K$10+INTERCEPT('Material Modeler'!$B$10:$B$12,'Material Modeler'!$A$10:$A$12))/'Material Modeler'!C$21
        )
)</f>
        <v>3.0827140840090395</v>
      </c>
      <c r="J19" s="120">
        <f>('Material Modeler'!$M$1*($R$19-'Material Modeler'!$H$2)+1) * AVERAGE(
    (
       ('Material Modeler'!D$20*(100%-(SLOPE('Material Modeler'!$B$10:$B$12,'Material Modeler'!$A$10:$A$12)*$K$10+INTERCEPT('Material Modeler'!$B$10:$B$12,'Material Modeler'!$A$10:$A$12))) )
      +('Material Modeler'!D$21*(SLOPE('Material Modeler'!$B$10:$B$12,'Material Modeler'!$A$10:$A$12)*$K$10+INTERCEPT('Material Modeler'!$B$10:$B$12,'Material Modeler'!$A$10:$A$12)))
    ) / 100%,
    100% / (
           (100%-(SLOPE('Material Modeler'!$B$10:$B$12,'Material Modeler'!$A$10:$A$12)*$K$10+INTERCEPT('Material Modeler'!$B$10:$B$12,'Material Modeler'!$A$10:$A$12))) /
           'Material Modeler'!D$20+(SLOPE('Material Modeler'!$B$10:$B$12,'Material Modeler'!$A$10:$A$12)*$K$10+INTERCEPT('Material Modeler'!$B$10:$B$12,'Material Modeler'!$A$10:$A$12))/'Material Modeler'!D$21
        )
)</f>
        <v>3.0827140840090395</v>
      </c>
      <c r="K19" s="120">
        <f>('Material Modeler'!$M$1*($R$19-'Material Modeler'!$H$2)+1) * AVERAGE(
    (
       ('Material Modeler'!E$20*(100%-(SLOPE('Material Modeler'!$B$10:$B$12,'Material Modeler'!$A$10:$A$12)*$K$10+INTERCEPT('Material Modeler'!$B$10:$B$12,'Material Modeler'!$A$10:$A$12))) )
      +('Material Modeler'!E$21*(SLOPE('Material Modeler'!$B$10:$B$12,'Material Modeler'!$A$10:$A$12)*$K$10+INTERCEPT('Material Modeler'!$B$10:$B$12,'Material Modeler'!$A$10:$A$12)))
    ) / 100%,
    100% / (
           (100%-(SLOPE('Material Modeler'!$B$10:$B$12,'Material Modeler'!$A$10:$A$12)*$K$10+INTERCEPT('Material Modeler'!$B$10:$B$12,'Material Modeler'!$A$10:$A$12))) /
           'Material Modeler'!E$20+(SLOPE('Material Modeler'!$B$10:$B$12,'Material Modeler'!$A$10:$A$12)*$K$10+INTERCEPT('Material Modeler'!$B$10:$B$12,'Material Modeler'!$A$10:$A$12))/'Material Modeler'!E$21
        )
)</f>
        <v>3.0837824265577591</v>
      </c>
      <c r="L19" s="120">
        <f>('Material Modeler'!$M$1*($R$19-'Material Modeler'!$H$2)+1) * AVERAGE(
    (
       ('Material Modeler'!F$20*(100%-(SLOPE('Material Modeler'!$B$10:$B$12,'Material Modeler'!$A$10:$A$12)*$K$10+INTERCEPT('Material Modeler'!$B$10:$B$12,'Material Modeler'!$A$10:$A$12))) )
      +('Material Modeler'!F$21*(SLOPE('Material Modeler'!$B$10:$B$12,'Material Modeler'!$A$10:$A$12)*$K$10+INTERCEPT('Material Modeler'!$B$10:$B$12,'Material Modeler'!$A$10:$A$12)))
    ) / 100%,
    100% / (
           (100%-(SLOPE('Material Modeler'!$B$10:$B$12,'Material Modeler'!$A$10:$A$12)*$K$10+INTERCEPT('Material Modeler'!$B$10:$B$12,'Material Modeler'!$A$10:$A$12))) /
           'Material Modeler'!F$20+(SLOPE('Material Modeler'!$B$10:$B$12,'Material Modeler'!$A$10:$A$12)*$K$10+INTERCEPT('Material Modeler'!$B$10:$B$12,'Material Modeler'!$A$10:$A$12))/'Material Modeler'!F$21
        )
)</f>
        <v>3.0816400898369993</v>
      </c>
      <c r="M19" s="120">
        <f>('Material Modeler'!$M$1*($R$19-'Material Modeler'!$H$2)+1) * AVERAGE(
    (
       ('Material Modeler'!G$20*(100%-(SLOPE('Material Modeler'!$B$10:$B$12,'Material Modeler'!$A$10:$A$12)*$K$10+INTERCEPT('Material Modeler'!$B$10:$B$12,'Material Modeler'!$A$10:$A$12))) )
      +('Material Modeler'!G$21*(SLOPE('Material Modeler'!$B$10:$B$12,'Material Modeler'!$A$10:$A$12)*$K$10+INTERCEPT('Material Modeler'!$B$10:$B$12,'Material Modeler'!$A$10:$A$12)))
    ) / 100%,
    100% / (
           (100%-(SLOPE('Material Modeler'!$B$10:$B$12,'Material Modeler'!$A$10:$A$12)*$K$10+INTERCEPT('Material Modeler'!$B$10:$B$12,'Material Modeler'!$A$10:$A$12))) /
           'Material Modeler'!G$20+(SLOPE('Material Modeler'!$B$10:$B$12,'Material Modeler'!$A$10:$A$12)*$K$10+INTERCEPT('Material Modeler'!$B$10:$B$12,'Material Modeler'!$A$10:$A$12))/'Material Modeler'!G$21
        )
)</f>
        <v>3.0794751907628743</v>
      </c>
      <c r="N19" s="140">
        <f>('Material Modeler'!$M$1*($R$19-'Material Modeler'!$H$2)+1) * AVERAGE(
    (
       ('Material Modeler'!H$20*(100%-(SLOPE('Material Modeler'!$B$10:$B$12,'Material Modeler'!$A$10:$A$12)*$K$10+INTERCEPT('Material Modeler'!$B$10:$B$12,'Material Modeler'!$A$10:$A$12))) )
      +('Material Modeler'!H$21*(SLOPE('Material Modeler'!$B$10:$B$12,'Material Modeler'!$A$10:$A$12)*$K$10+INTERCEPT('Material Modeler'!$B$10:$B$12,'Material Modeler'!$A$10:$A$12)))
    ) / 100%,
    100% / (
           (100%-(SLOPE('Material Modeler'!$B$10:$B$12,'Material Modeler'!$A$10:$A$12)*$K$10+INTERCEPT('Material Modeler'!$B$10:$B$12,'Material Modeler'!$A$10:$A$12))) /
           'Material Modeler'!H$20+(SLOPE('Material Modeler'!$B$10:$B$12,'Material Modeler'!$A$10:$A$12)*$K$10+INTERCEPT('Material Modeler'!$B$10:$B$12,'Material Modeler'!$A$10:$A$12))/'Material Modeler'!H$21
        )
)</f>
        <v>3.0761857300986417</v>
      </c>
      <c r="O19" s="58"/>
      <c r="Q19" s="194" t="s">
        <v>139</v>
      </c>
      <c r="R19" s="261">
        <v>25</v>
      </c>
      <c r="S19" s="120">
        <f>('Material Modeler'!$M$1*($R$19-'Material Modeler'!$H$2)+1) * AVERAGE(
    (
       ('Material Modeler'!C$20*(100%-(SLOPE('Material Modeler'!$B$10:$B$12,'Material Modeler'!$A$10:$A$12)*$I$10+INTERCEPT('Material Modeler'!$B$10:$B$12,'Material Modeler'!$A$10:$A$12))) )
      +('Material Modeler'!C$21*(SLOPE('Material Modeler'!$B$10:$B$12,'Material Modeler'!$A$10:$A$12)*$I$10+INTERCEPT('Material Modeler'!$B$10:$B$12,'Material Modeler'!$A$10:$A$12)))
    ) / 100%,
    100% / (
           (100%-(SLOPE('Material Modeler'!$B$10:$B$12,'Material Modeler'!$A$10:$A$12)*$I$10+INTERCEPT('Material Modeler'!$B$10:$B$12,'Material Modeler'!$A$10:$A$12))) /
           'Material Modeler'!C$20+(SLOPE('Material Modeler'!$B$10:$B$12,'Material Modeler'!$A$10:$A$12)*$I$10+INTERCEPT('Material Modeler'!$B$10:$B$12,'Material Modeler'!$A$10:$A$12))/'Material Modeler'!C$21
        )
)</f>
        <v>3.0213604424201304</v>
      </c>
      <c r="T19" s="120">
        <f>('Material Modeler'!$M$1*($R$19-'Material Modeler'!$H$2)+1) * AVERAGE(
    (
       ('Material Modeler'!D$20*(100%-(SLOPE('Material Modeler'!$B$10:$B$12,'Material Modeler'!$A$10:$A$12)*$I$10+INTERCEPT('Material Modeler'!$B$10:$B$12,'Material Modeler'!$A$10:$A$12))) )
      +('Material Modeler'!D$21*(SLOPE('Material Modeler'!$B$10:$B$12,'Material Modeler'!$A$10:$A$12)*$I$10+INTERCEPT('Material Modeler'!$B$10:$B$12,'Material Modeler'!$A$10:$A$12)))
    ) / 100%,
    100% / (
           (100%-(SLOPE('Material Modeler'!$B$10:$B$12,'Material Modeler'!$A$10:$A$12)*$I$10+INTERCEPT('Material Modeler'!$B$10:$B$12,'Material Modeler'!$A$10:$A$12))) /
           'Material Modeler'!D$20+(SLOPE('Material Modeler'!$B$10:$B$12,'Material Modeler'!$A$10:$A$12)*$I$10+INTERCEPT('Material Modeler'!$B$10:$B$12,'Material Modeler'!$A$10:$A$12))/'Material Modeler'!D$21
        )
)</f>
        <v>3.0213604424201304</v>
      </c>
      <c r="U19" s="120">
        <f>('Material Modeler'!$M$1*($R$19-'Material Modeler'!$H$2)+1) * AVERAGE(
    (
       ('Material Modeler'!E$20*(100%-(SLOPE('Material Modeler'!$B$10:$B$12,'Material Modeler'!$A$10:$A$12)*$I$10+INTERCEPT('Material Modeler'!$B$10:$B$12,'Material Modeler'!$A$10:$A$12))) )
      +('Material Modeler'!E$21*(SLOPE('Material Modeler'!$B$10:$B$12,'Material Modeler'!$A$10:$A$12)*$I$10+INTERCEPT('Material Modeler'!$B$10:$B$12,'Material Modeler'!$A$10:$A$12)))
    ) / 100%,
    100% / (
           (100%-(SLOPE('Material Modeler'!$B$10:$B$12,'Material Modeler'!$A$10:$A$12)*$I$10+INTERCEPT('Material Modeler'!$B$10:$B$12,'Material Modeler'!$A$10:$A$12))) /
           'Material Modeler'!E$20+(SLOPE('Material Modeler'!$B$10:$B$12,'Material Modeler'!$A$10:$A$12)*$I$10+INTERCEPT('Material Modeler'!$B$10:$B$12,'Material Modeler'!$A$10:$A$12))/'Material Modeler'!E$21
        )
)</f>
        <v>3.0227716141086947</v>
      </c>
      <c r="V19" s="120">
        <f>('Material Modeler'!$M$1*($R$19-'Material Modeler'!$H$2)+1) * AVERAGE(
    (
       ('Material Modeler'!F$20*(100%-(SLOPE('Material Modeler'!$B$10:$B$12,'Material Modeler'!$A$10:$A$12)*$I$10+INTERCEPT('Material Modeler'!$B$10:$B$12,'Material Modeler'!$A$10:$A$12))) )
      +('Material Modeler'!F$21*(SLOPE('Material Modeler'!$B$10:$B$12,'Material Modeler'!$A$10:$A$12)*$I$10+INTERCEPT('Material Modeler'!$B$10:$B$12,'Material Modeler'!$A$10:$A$12)))
    ) / 100%,
    100% / (
           (100%-(SLOPE('Material Modeler'!$B$10:$B$12,'Material Modeler'!$A$10:$A$12)*$I$10+INTERCEPT('Material Modeler'!$B$10:$B$12,'Material Modeler'!$A$10:$A$12))) /
           'Material Modeler'!F$20+(SLOPE('Material Modeler'!$B$10:$B$12,'Material Modeler'!$A$10:$A$12)*$I$10+INTERCEPT('Material Modeler'!$B$10:$B$12,'Material Modeler'!$A$10:$A$12))/'Material Modeler'!F$21
        )
)</f>
        <v>3.0199441736287236</v>
      </c>
      <c r="W19" s="120">
        <f>('Material Modeler'!$M$1*($R$19-'Material Modeler'!$H$2)+1) * AVERAGE(
    (
       ('Material Modeler'!G$20*(100%-(SLOPE('Material Modeler'!$B$10:$B$12,'Material Modeler'!$A$10:$A$12)*$I$10+INTERCEPT('Material Modeler'!$B$10:$B$12,'Material Modeler'!$A$10:$A$12))) )
      +('Material Modeler'!G$21*(SLOPE('Material Modeler'!$B$10:$B$12,'Material Modeler'!$A$10:$A$12)*$I$10+INTERCEPT('Material Modeler'!$B$10:$B$12,'Material Modeler'!$A$10:$A$12)))
    ) / 100%,
    100% / (
           (100%-(SLOPE('Material Modeler'!$B$10:$B$12,'Material Modeler'!$A$10:$A$12)*$I$10+INTERCEPT('Material Modeler'!$B$10:$B$12,'Material Modeler'!$A$10:$A$12))) /
           'Material Modeler'!G$20+(SLOPE('Material Modeler'!$B$10:$B$12,'Material Modeler'!$A$10:$A$12)*$I$10+INTERCEPT('Material Modeler'!$B$10:$B$12,'Material Modeler'!$A$10:$A$12))/'Material Modeler'!G$21
        )
)</f>
        <v>3.017096390882902</v>
      </c>
      <c r="X19" s="140">
        <f>('Material Modeler'!$M$1*($R$19-'Material Modeler'!$H$2)+1) * AVERAGE(
    (
       ('Material Modeler'!H$20*(100%-(SLOPE('Material Modeler'!$B$10:$B$12,'Material Modeler'!$A$10:$A$12)*$I$10+INTERCEPT('Material Modeler'!$B$10:$B$12,'Material Modeler'!$A$10:$A$12))) )
      +('Material Modeler'!H$21*(SLOPE('Material Modeler'!$B$10:$B$12,'Material Modeler'!$A$10:$A$12)*$I$10+INTERCEPT('Material Modeler'!$B$10:$B$12,'Material Modeler'!$A$10:$A$12)))
    ) / 100%,
    100% / (
           (100%-(SLOPE('Material Modeler'!$B$10:$B$12,'Material Modeler'!$A$10:$A$12)*$I$10+INTERCEPT('Material Modeler'!$B$10:$B$12,'Material Modeler'!$A$10:$A$12))) /
           'Material Modeler'!H$20+(SLOPE('Material Modeler'!$B$10:$B$12,'Material Modeler'!$A$10:$A$12)*$I$10+INTERCEPT('Material Modeler'!$B$10:$B$12,'Material Modeler'!$A$10:$A$12))/'Material Modeler'!H$21
        )
)</f>
        <v>3.0127867759905964</v>
      </c>
      <c r="Y19" s="58"/>
      <c r="AA19" s="194" t="s">
        <v>139</v>
      </c>
      <c r="AB19" s="255">
        <f>R19</f>
        <v>25</v>
      </c>
      <c r="AC19" s="120">
        <f>('Material Modeler'!$M$1*($R$19-'Material Modeler'!$H$2)+1) * AVERAGE(
    (
       ('Material Modeler'!C$20*(100%-(SLOPE('Material Modeler'!$B$10:$B$12,'Material Modeler'!$A$10:$A$12)*$L$10+INTERCEPT('Material Modeler'!$B$10:$B$12,'Material Modeler'!$A$10:$A$12))) )
      +('Material Modeler'!C$21*(SLOPE('Material Modeler'!$B$10:$B$12,'Material Modeler'!$A$10:$A$12)*$L$10+INTERCEPT('Material Modeler'!$B$10:$B$12,'Material Modeler'!$A$10:$A$12)))
    ) / 100%,
    100% / (
           (100%-(SLOPE('Material Modeler'!$B$10:$B$12,'Material Modeler'!$A$10:$A$12)*$L$10+INTERCEPT('Material Modeler'!$B$10:$B$12,'Material Modeler'!$A$10:$A$12))) /
           'Material Modeler'!C$20+(SLOPE('Material Modeler'!$B$10:$B$12,'Material Modeler'!$A$10:$A$12)*$L$10+INTERCEPT('Material Modeler'!$B$10:$B$12,'Material Modeler'!$A$10:$A$12))/'Material Modeler'!C$21
        )
)</f>
        <v>2.9610215260391533</v>
      </c>
      <c r="AD19" s="120">
        <f>('Material Modeler'!$M$1*($R$19-'Material Modeler'!$H$2)+1) * AVERAGE(
    (
       ('Material Modeler'!D$20*(100%-(SLOPE('Material Modeler'!$B$10:$B$12,'Material Modeler'!$A$10:$A$12)*$L$10+INTERCEPT('Material Modeler'!$B$10:$B$12,'Material Modeler'!$A$10:$A$12))) )
      +('Material Modeler'!D$21*(SLOPE('Material Modeler'!$B$10:$B$12,'Material Modeler'!$A$10:$A$12)*$L$10+INTERCEPT('Material Modeler'!$B$10:$B$12,'Material Modeler'!$A$10:$A$12)))
    ) / 100%,
    100% / (
           (100%-(SLOPE('Material Modeler'!$B$10:$B$12,'Material Modeler'!$A$10:$A$12)*$L$10+INTERCEPT('Material Modeler'!$B$10:$B$12,'Material Modeler'!$A$10:$A$12))) /
           'Material Modeler'!D$20+(SLOPE('Material Modeler'!$B$10:$B$12,'Material Modeler'!$A$10:$A$12)*$L$10+INTERCEPT('Material Modeler'!$B$10:$B$12,'Material Modeler'!$A$10:$A$12))/'Material Modeler'!D$21
        )
)</f>
        <v>2.9610215260391533</v>
      </c>
      <c r="AE19" s="120">
        <f>('Material Modeler'!$M$1*($R$19-'Material Modeler'!$H$2)+1) * AVERAGE(
    (
       ('Material Modeler'!E$20*(100%-(SLOPE('Material Modeler'!$B$10:$B$12,'Material Modeler'!$A$10:$A$12)*$L$10+INTERCEPT('Material Modeler'!$B$10:$B$12,'Material Modeler'!$A$10:$A$12))) )
      +('Material Modeler'!E$21*(SLOPE('Material Modeler'!$B$10:$B$12,'Material Modeler'!$A$10:$A$12)*$L$10+INTERCEPT('Material Modeler'!$B$10:$B$12,'Material Modeler'!$A$10:$A$12)))
    ) / 100%,
    100% / (
           (100%-(SLOPE('Material Modeler'!$B$10:$B$12,'Material Modeler'!$A$10:$A$12)*$L$10+INTERCEPT('Material Modeler'!$B$10:$B$12,'Material Modeler'!$A$10:$A$12))) /
           'Material Modeler'!E$20+(SLOPE('Material Modeler'!$B$10:$B$12,'Material Modeler'!$A$10:$A$12)*$L$10+INTERCEPT('Material Modeler'!$B$10:$B$12,'Material Modeler'!$A$10:$A$12))/'Material Modeler'!E$21
        )
)</f>
        <v>2.9627652160144926</v>
      </c>
      <c r="AF19" s="120">
        <f>('Material Modeler'!$M$1*($R$19-'Material Modeler'!$H$2)+1) * AVERAGE(
    (
       ('Material Modeler'!F$20*(100%-(SLOPE('Material Modeler'!$B$10:$B$12,'Material Modeler'!$A$10:$A$12)*$L$10+INTERCEPT('Material Modeler'!$B$10:$B$12,'Material Modeler'!$A$10:$A$12))) )
      +('Material Modeler'!F$21*(SLOPE('Material Modeler'!$B$10:$B$12,'Material Modeler'!$A$10:$A$12)*$L$10+INTERCEPT('Material Modeler'!$B$10:$B$12,'Material Modeler'!$A$10:$A$12)))
    ) / 100%,
    100% / (
           (100%-(SLOPE('Material Modeler'!$B$10:$B$12,'Material Modeler'!$A$10:$A$12)*$L$10+INTERCEPT('Material Modeler'!$B$10:$B$12,'Material Modeler'!$A$10:$A$12))) /
           'Material Modeler'!F$20+(SLOPE('Material Modeler'!$B$10:$B$12,'Material Modeler'!$A$10:$A$12)*$L$10+INTERCEPT('Material Modeler'!$B$10:$B$12,'Material Modeler'!$A$10:$A$12))/'Material Modeler'!F$21
        )
)</f>
        <v>2.9592733161823261</v>
      </c>
      <c r="AG19" s="120">
        <f>('Material Modeler'!$M$1*($R$19-'Material Modeler'!$H$2)+1) * AVERAGE(
    (
       ('Material Modeler'!G$20*(100%-(SLOPE('Material Modeler'!$B$10:$B$12,'Material Modeler'!$A$10:$A$12)*$L$10+INTERCEPT('Material Modeler'!$B$10:$B$12,'Material Modeler'!$A$10:$A$12))) )
      +('Material Modeler'!G$21*(SLOPE('Material Modeler'!$B$10:$B$12,'Material Modeler'!$A$10:$A$12)*$L$10+INTERCEPT('Material Modeler'!$B$10:$B$12,'Material Modeler'!$A$10:$A$12)))
    ) / 100%,
    100% / (
           (100%-(SLOPE('Material Modeler'!$B$10:$B$12,'Material Modeler'!$A$10:$A$12)*$L$10+INTERCEPT('Material Modeler'!$B$10:$B$12,'Material Modeler'!$A$10:$A$12))) /
           'Material Modeler'!G$20+(SLOPE('Material Modeler'!$B$10:$B$12,'Material Modeler'!$A$10:$A$12)*$L$10+INTERCEPT('Material Modeler'!$B$10:$B$12,'Material Modeler'!$A$10:$A$12))/'Material Modeler'!G$21
        )
)</f>
        <v>2.9557633831545438</v>
      </c>
      <c r="AH19" s="140">
        <f>('Material Modeler'!$M$1*($R$19-'Material Modeler'!$H$2)+1) * AVERAGE(
    (
       ('Material Modeler'!H$20*(100%-(SLOPE('Material Modeler'!$B$10:$B$12,'Material Modeler'!$A$10:$A$12)*$L$10+INTERCEPT('Material Modeler'!$B$10:$B$12,'Material Modeler'!$A$10:$A$12))) )
      +('Material Modeler'!H$21*(SLOPE('Material Modeler'!$B$10:$B$12,'Material Modeler'!$A$10:$A$12)*$L$10+INTERCEPT('Material Modeler'!$B$10:$B$12,'Material Modeler'!$A$10:$A$12)))
    ) / 100%,
    100% / (
           (100%-(SLOPE('Material Modeler'!$B$10:$B$12,'Material Modeler'!$A$10:$A$12)*$L$10+INTERCEPT('Material Modeler'!$B$10:$B$12,'Material Modeler'!$A$10:$A$12))) /
           'Material Modeler'!H$20+(SLOPE('Material Modeler'!$B$10:$B$12,'Material Modeler'!$A$10:$A$12)*$L$10+INTERCEPT('Material Modeler'!$B$10:$B$12,'Material Modeler'!$A$10:$A$12))/'Material Modeler'!H$21
        )
)</f>
        <v>2.9504648730301586</v>
      </c>
      <c r="AI19" s="58"/>
      <c r="AK19" s="181" t="s">
        <v>139</v>
      </c>
      <c r="AL19" s="255">
        <f>R19</f>
        <v>25</v>
      </c>
      <c r="AM19" s="184">
        <f>IMABS(IMDIV(IMSUB(I19,S19),1))</f>
        <v>6.1353641588909102E-2</v>
      </c>
      <c r="AN19" s="184">
        <f t="shared" ref="AN19:AR19" si="0">IMABS(IMDIV(IMSUB(J19,T19),1))</f>
        <v>6.1353641588909102E-2</v>
      </c>
      <c r="AO19" s="184">
        <f t="shared" si="0"/>
        <v>6.1010812449064498E-2</v>
      </c>
      <c r="AP19" s="184">
        <f t="shared" si="0"/>
        <v>6.1695916208275699E-2</v>
      </c>
      <c r="AQ19" s="184">
        <f t="shared" si="0"/>
        <v>6.2378799879972302E-2</v>
      </c>
      <c r="AR19" s="185">
        <f t="shared" si="0"/>
        <v>6.3398954108045302E-2</v>
      </c>
      <c r="AT19" s="181" t="s">
        <v>139</v>
      </c>
      <c r="AU19" s="255">
        <f>R19</f>
        <v>25</v>
      </c>
      <c r="AV19" s="184">
        <f>IMABS(IMDIV(IMSUB(S19,AC19),1))*SIGN(IMSUB(S19,AC19))</f>
        <v>6.0338916380977103E-2</v>
      </c>
      <c r="AW19" s="184">
        <f t="shared" ref="AW19:BA32" si="1">IMABS(IMDIV(IMSUB(T19,AD19),1))</f>
        <v>6.0338916380977103E-2</v>
      </c>
      <c r="AX19" s="184">
        <f t="shared" si="1"/>
        <v>6.00063980942021E-2</v>
      </c>
      <c r="AY19" s="184">
        <f t="shared" si="1"/>
        <v>6.06708574463974E-2</v>
      </c>
      <c r="AZ19" s="184">
        <f t="shared" si="1"/>
        <v>6.1333007728358299E-2</v>
      </c>
      <c r="BA19" s="185">
        <f t="shared" si="1"/>
        <v>6.2321902960437797E-2</v>
      </c>
    </row>
    <row r="20" spans="7:53" x14ac:dyDescent="0.55000000000000004">
      <c r="G20" s="195" t="s">
        <v>141</v>
      </c>
      <c r="H20" s="256"/>
      <c r="I20" s="123">
        <f>('Material Modeler'!$M$2*($R$19-'Material Modeler'!$H$2)+1) * (
   (
      (INTERCEPT('Material Modeler'!C16:C18,'Material Modeler'!$B16:$B18))
    * (100%-(SLOPE('Material Modeler'!$B$10:$B$12,'Material Modeler'!$A$10:$A$12)*$K$10+INTERCEPT('Material Modeler'!$B$10:$B$12,'Material Modeler'!$A$10:$A$12)))
   )
 + (
      (SLOPE('Material Modeler'!C16:C18,'Material Modeler'!$B16:$B18)*100%+'Material Modeler'!U20)
    * (SLOPE('Material Modeler'!$B$10:$B$12,'Material Modeler'!$A$10:$A$12)*$K$10+INTERCEPT('Material Modeler'!$B$10:$B$12,'Material Modeler'!$A$10:$A$12))
   ) / 100%
)</f>
        <v>2.0151462206277463E-3</v>
      </c>
      <c r="J20" s="123">
        <f>('Material Modeler'!$M$2*($R$19-'Material Modeler'!$H$2)+1) * (
   (
      (INTERCEPT('Material Modeler'!D16:D18,'Material Modeler'!$B16:$B18))
    * (100%-(SLOPE('Material Modeler'!$B$10:$B$12,'Material Modeler'!$A$10:$A$12)*$K$10+INTERCEPT('Material Modeler'!$B$10:$B$12,'Material Modeler'!$A$10:$A$12)))
   )
 + (
      (SLOPE('Material Modeler'!D16:D18,'Material Modeler'!$B16:$B18)*100%+'Material Modeler'!V20)
    * (SLOPE('Material Modeler'!$B$10:$B$12,'Material Modeler'!$A$10:$A$12)*$K$10+INTERCEPT('Material Modeler'!$B$10:$B$12,'Material Modeler'!$A$10:$A$12))
   ) / 100%
)</f>
        <v>2.0151462206277463E-3</v>
      </c>
      <c r="K20" s="123">
        <f>('Material Modeler'!$M$2*($R$19-'Material Modeler'!$H$2)+1) * (
   (
      (INTERCEPT('Material Modeler'!E16:E18,'Material Modeler'!$B16:$B18))
    * (100%-(SLOPE('Material Modeler'!$B$10:$B$12,'Material Modeler'!$A$10:$A$12)*$K$10+INTERCEPT('Material Modeler'!$B$10:$B$12,'Material Modeler'!$A$10:$A$12)))
   )
 + (
      (SLOPE('Material Modeler'!E16:E18,'Material Modeler'!$B16:$B18)*100%+'Material Modeler'!W20)
    * (SLOPE('Material Modeler'!$B$10:$B$12,'Material Modeler'!$A$10:$A$12)*$K$10+INTERCEPT('Material Modeler'!$B$10:$B$12,'Material Modeler'!$A$10:$A$12))
   ) / 100%
)</f>
        <v>2.0151462206277463E-3</v>
      </c>
      <c r="L20" s="123">
        <f>('Material Modeler'!$M$2*($R$19-'Material Modeler'!$H$2)+1) * (
   (
      (INTERCEPT('Material Modeler'!F16:F18,'Material Modeler'!$B16:$B18))
    * (100%-(SLOPE('Material Modeler'!$B$10:$B$12,'Material Modeler'!$A$10:$A$12)*$K$10+INTERCEPT('Material Modeler'!$B$10:$B$12,'Material Modeler'!$A$10:$A$12)))
   )
 + (
      (SLOPE('Material Modeler'!F16:F18,'Material Modeler'!$B16:$B18)*100%+'Material Modeler'!X20)
    * (SLOPE('Material Modeler'!$B$10:$B$12,'Material Modeler'!$A$10:$A$12)*$K$10+INTERCEPT('Material Modeler'!$B$10:$B$12,'Material Modeler'!$A$10:$A$12))
   ) / 100%
)</f>
        <v>2.0151462206277463E-3</v>
      </c>
      <c r="M20" s="123">
        <f>('Material Modeler'!$M$2*($R$19-'Material Modeler'!$H$2)+1) * (
   (
      (INTERCEPT('Material Modeler'!G16:G18,'Material Modeler'!$B16:$B18))
    * (100%-(SLOPE('Material Modeler'!$B$10:$B$12,'Material Modeler'!$A$10:$A$12)*$K$10+INTERCEPT('Material Modeler'!$B$10:$B$12,'Material Modeler'!$A$10:$A$12)))
   )
 + (
      (SLOPE('Material Modeler'!G16:G18,'Material Modeler'!$B16:$B18)*100%+'Material Modeler'!Y20)
    * (SLOPE('Material Modeler'!$B$10:$B$12,'Material Modeler'!$A$10:$A$12)*$K$10+INTERCEPT('Material Modeler'!$B$10:$B$12,'Material Modeler'!$A$10:$A$12))
   ) / 100%
)</f>
        <v>2.0151462206277463E-3</v>
      </c>
      <c r="N20" s="141">
        <f>('Material Modeler'!$M$2*($R$19-'Material Modeler'!$H$2)+1) * (
   (
      (INTERCEPT('Material Modeler'!H16:H18,'Material Modeler'!$B16:$B18))
    * (100%-(SLOPE('Material Modeler'!$B$10:$B$12,'Material Modeler'!$A$10:$A$12)*$K$10+INTERCEPT('Material Modeler'!$B$10:$B$12,'Material Modeler'!$A$10:$A$12)))
   )
 + (
      (SLOPE('Material Modeler'!H16:H18,'Material Modeler'!$B16:$B18)*100%+'Material Modeler'!Z20)
    * (SLOPE('Material Modeler'!$B$10:$B$12,'Material Modeler'!$A$10:$A$12)*$K$10+INTERCEPT('Material Modeler'!$B$10:$B$12,'Material Modeler'!$A$10:$A$12))
   ) / 100%
)</f>
        <v>2.0151462206277463E-3</v>
      </c>
      <c r="O20" s="58"/>
      <c r="Q20" s="195" t="s">
        <v>141</v>
      </c>
      <c r="R20" s="262"/>
      <c r="S20" s="123">
        <f>('Material Modeler'!$M$2*($R$19-'Material Modeler'!$H$2)+1) * (
   (
      (INTERCEPT('Material Modeler'!C16:C18,'Material Modeler'!$B16:$B18))
    * (100%-(SLOPE('Material Modeler'!$B$10:$B$12,'Material Modeler'!$A$10:$A$12)*$I$10+INTERCEPT('Material Modeler'!$B$10:$B$12,'Material Modeler'!$A$10:$A$12)))
   )
 + (
      (SLOPE('Material Modeler'!C16:C18,'Material Modeler'!$B16:$B18)*100%+'Material Modeler'!U20)
    * (SLOPE('Material Modeler'!$B$10:$B$12,'Material Modeler'!$A$10:$A$12)*$I$10+INTERCEPT('Material Modeler'!$B$10:$B$12,'Material Modeler'!$A$10:$A$12))
   ) / 100%
)</f>
        <v>1.7845167652859959E-3</v>
      </c>
      <c r="T20" s="123">
        <f>('Material Modeler'!$M$2*($R$19-'Material Modeler'!$H$2)+1) * (
   (
      (INTERCEPT('Material Modeler'!D16:D18,'Material Modeler'!$B16:$B18))
    * (100%-(SLOPE('Material Modeler'!$B$10:$B$12,'Material Modeler'!$A$10:$A$12)*$I$10+INTERCEPT('Material Modeler'!$B$10:$B$12,'Material Modeler'!$A$10:$A$12)))
   )
 + (
      (SLOPE('Material Modeler'!D16:D18,'Material Modeler'!$B16:$B18)*100%+'Material Modeler'!V20)
    * (SLOPE('Material Modeler'!$B$10:$B$12,'Material Modeler'!$A$10:$A$12)*$I$10+INTERCEPT('Material Modeler'!$B$10:$B$12,'Material Modeler'!$A$10:$A$12))
   ) / 100%
)</f>
        <v>1.7845167652859959E-3</v>
      </c>
      <c r="U20" s="123">
        <f>('Material Modeler'!$M$2*($R$19-'Material Modeler'!$H$2)+1) * (
   (
      (INTERCEPT('Material Modeler'!E16:E18,'Material Modeler'!$B16:$B18))
    * (100%-(SLOPE('Material Modeler'!$B$10:$B$12,'Material Modeler'!$A$10:$A$12)*$I$10+INTERCEPT('Material Modeler'!$B$10:$B$12,'Material Modeler'!$A$10:$A$12)))
   )
 + (
      (SLOPE('Material Modeler'!E16:E18,'Material Modeler'!$B16:$B18)*100%+'Material Modeler'!W20)
    * (SLOPE('Material Modeler'!$B$10:$B$12,'Material Modeler'!$A$10:$A$12)*$I$10+INTERCEPT('Material Modeler'!$B$10:$B$12,'Material Modeler'!$A$10:$A$12))
   ) / 100%
)</f>
        <v>1.7845167652859959E-3</v>
      </c>
      <c r="V20" s="123">
        <f>('Material Modeler'!$M$2*($R$19-'Material Modeler'!$H$2)+1) * (
   (
      (INTERCEPT('Material Modeler'!F16:F18,'Material Modeler'!$B16:$B18))
    * (100%-(SLOPE('Material Modeler'!$B$10:$B$12,'Material Modeler'!$A$10:$A$12)*$I$10+INTERCEPT('Material Modeler'!$B$10:$B$12,'Material Modeler'!$A$10:$A$12)))
   )
 + (
      (SLOPE('Material Modeler'!F16:F18,'Material Modeler'!$B16:$B18)*100%+'Material Modeler'!X20)
    * (SLOPE('Material Modeler'!$B$10:$B$12,'Material Modeler'!$A$10:$A$12)*$I$10+INTERCEPT('Material Modeler'!$B$10:$B$12,'Material Modeler'!$A$10:$A$12))
   ) / 100%
)</f>
        <v>1.7845167652859959E-3</v>
      </c>
      <c r="W20" s="123">
        <f>('Material Modeler'!$M$2*($R$19-'Material Modeler'!$H$2)+1) * (
   (
      (INTERCEPT('Material Modeler'!G16:G18,'Material Modeler'!$B16:$B18))
    * (100%-(SLOPE('Material Modeler'!$B$10:$B$12,'Material Modeler'!$A$10:$A$12)*$I$10+INTERCEPT('Material Modeler'!$B$10:$B$12,'Material Modeler'!$A$10:$A$12)))
   )
 + (
      (SLOPE('Material Modeler'!G16:G18,'Material Modeler'!$B16:$B18)*100%+'Material Modeler'!Y20)
    * (SLOPE('Material Modeler'!$B$10:$B$12,'Material Modeler'!$A$10:$A$12)*$I$10+INTERCEPT('Material Modeler'!$B$10:$B$12,'Material Modeler'!$A$10:$A$12))
   ) / 100%
)</f>
        <v>1.7845167652859959E-3</v>
      </c>
      <c r="X20" s="141">
        <f>('Material Modeler'!$M$2*($R$19-'Material Modeler'!$H$2)+1) * (
   (
      (INTERCEPT('Material Modeler'!H16:H18,'Material Modeler'!$B16:$B18))
    * (100%-(SLOPE('Material Modeler'!$B$10:$B$12,'Material Modeler'!$A$10:$A$12)*$I$10+INTERCEPT('Material Modeler'!$B$10:$B$12,'Material Modeler'!$A$10:$A$12)))
   )
 + (
      (SLOPE('Material Modeler'!H16:H18,'Material Modeler'!$B16:$B18)*100%+'Material Modeler'!Z20)
    * (SLOPE('Material Modeler'!$B$10:$B$12,'Material Modeler'!$A$10:$A$12)*$I$10+INTERCEPT('Material Modeler'!$B$10:$B$12,'Material Modeler'!$A$10:$A$12))
   ) / 100%
)</f>
        <v>1.7845167652859959E-3</v>
      </c>
      <c r="Y20" s="58"/>
      <c r="AA20" s="195" t="s">
        <v>141</v>
      </c>
      <c r="AB20" s="256"/>
      <c r="AC20" s="123">
        <f>('Material Modeler'!$M$2*($AB$19-'Material Modeler'!$H$2)+1) * (
   (
      (INTERCEPT('Material Modeler'!C16:C18,'Material Modeler'!$B16:$B18))
    * (100%-(SLOPE('Material Modeler'!$B$10:$B$12,'Material Modeler'!$A$10:$A$12)*$L$10+INTERCEPT('Material Modeler'!$B$10:$B$12,'Material Modeler'!$A$10:$A$12)))
   )
 + (
      (SLOPE('Material Modeler'!C16:C18,'Material Modeler'!$B16:$B18)*100%+'Material Modeler'!U20)
    * (SLOPE('Material Modeler'!$B$10:$B$12,'Material Modeler'!$A$10:$A$12)*$L$10+INTERCEPT('Material Modeler'!$B$10:$B$12,'Material Modeler'!$A$10:$A$12))
   ) / 100%
)</f>
        <v>1.5538873099442451E-3</v>
      </c>
      <c r="AD20" s="123">
        <f>('Material Modeler'!$M$2*($AB$19-'Material Modeler'!$H$2)+1) * (
   (
      (INTERCEPT('Material Modeler'!D16:D18,'Material Modeler'!$B16:$B18))
    * (100%-(SLOPE('Material Modeler'!$B$10:$B$12,'Material Modeler'!$A$10:$A$12)*$L$10+INTERCEPT('Material Modeler'!$B$10:$B$12,'Material Modeler'!$A$10:$A$12)))
   )
 + (
      (SLOPE('Material Modeler'!D16:D18,'Material Modeler'!$B16:$B18)*100%+'Material Modeler'!V20)
    * (SLOPE('Material Modeler'!$B$10:$B$12,'Material Modeler'!$A$10:$A$12)*$L$10+INTERCEPT('Material Modeler'!$B$10:$B$12,'Material Modeler'!$A$10:$A$12))
   ) / 100%
)</f>
        <v>1.5538873099442451E-3</v>
      </c>
      <c r="AE20" s="123">
        <f>('Material Modeler'!$M$2*($AB$19-'Material Modeler'!$H$2)+1) * (
   (
      (INTERCEPT('Material Modeler'!E16:E18,'Material Modeler'!$B16:$B18))
    * (100%-(SLOPE('Material Modeler'!$B$10:$B$12,'Material Modeler'!$A$10:$A$12)*$L$10+INTERCEPT('Material Modeler'!$B$10:$B$12,'Material Modeler'!$A$10:$A$12)))
   )
 + (
      (SLOPE('Material Modeler'!E16:E18,'Material Modeler'!$B16:$B18)*100%+'Material Modeler'!W20)
    * (SLOPE('Material Modeler'!$B$10:$B$12,'Material Modeler'!$A$10:$A$12)*$L$10+INTERCEPT('Material Modeler'!$B$10:$B$12,'Material Modeler'!$A$10:$A$12))
   ) / 100%
)</f>
        <v>1.5538873099442451E-3</v>
      </c>
      <c r="AF20" s="123">
        <f>('Material Modeler'!$M$2*($AB$19-'Material Modeler'!$H$2)+1) * (
   (
      (INTERCEPT('Material Modeler'!F16:F18,'Material Modeler'!$B16:$B18))
    * (100%-(SLOPE('Material Modeler'!$B$10:$B$12,'Material Modeler'!$A$10:$A$12)*$L$10+INTERCEPT('Material Modeler'!$B$10:$B$12,'Material Modeler'!$A$10:$A$12)))
   )
 + (
      (SLOPE('Material Modeler'!F16:F18,'Material Modeler'!$B16:$B18)*100%+'Material Modeler'!X20)
    * (SLOPE('Material Modeler'!$B$10:$B$12,'Material Modeler'!$A$10:$A$12)*$L$10+INTERCEPT('Material Modeler'!$B$10:$B$12,'Material Modeler'!$A$10:$A$12))
   ) / 100%
)</f>
        <v>1.5538873099442451E-3</v>
      </c>
      <c r="AG20" s="123">
        <f>('Material Modeler'!$M$2*($AB$19-'Material Modeler'!$H$2)+1) * (
   (
      (INTERCEPT('Material Modeler'!G16:G18,'Material Modeler'!$B16:$B18))
    * (100%-(SLOPE('Material Modeler'!$B$10:$B$12,'Material Modeler'!$A$10:$A$12)*$L$10+INTERCEPT('Material Modeler'!$B$10:$B$12,'Material Modeler'!$A$10:$A$12)))
   )
 + (
      (SLOPE('Material Modeler'!G16:G18,'Material Modeler'!$B16:$B18)*100%+'Material Modeler'!Y20)
    * (SLOPE('Material Modeler'!$B$10:$B$12,'Material Modeler'!$A$10:$A$12)*$L$10+INTERCEPT('Material Modeler'!$B$10:$B$12,'Material Modeler'!$A$10:$A$12))
   ) / 100%
)</f>
        <v>1.5538873099442451E-3</v>
      </c>
      <c r="AH20" s="141">
        <f>('Material Modeler'!$M$2*($AB$19-'Material Modeler'!$H$2)+1) * (
   (
      (INTERCEPT('Material Modeler'!H16:H18,'Material Modeler'!$B16:$B18))
    * (100%-(SLOPE('Material Modeler'!$B$10:$B$12,'Material Modeler'!$A$10:$A$12)*$L$10+INTERCEPT('Material Modeler'!$B$10:$B$12,'Material Modeler'!$A$10:$A$12)))
   )
 + (
      (SLOPE('Material Modeler'!H16:H18,'Material Modeler'!$B16:$B18)*100%+'Material Modeler'!Z20)
    * (SLOPE('Material Modeler'!$B$10:$B$12,'Material Modeler'!$A$10:$A$12)*$L$10+INTERCEPT('Material Modeler'!$B$10:$B$12,'Material Modeler'!$A$10:$A$12))
   ) / 100%
)</f>
        <v>1.5538873099442451E-3</v>
      </c>
      <c r="AI20" s="58"/>
      <c r="AK20" s="182" t="s">
        <v>141</v>
      </c>
      <c r="AL20" s="256"/>
      <c r="AM20" s="186">
        <f>IMABS(IMDIV(IMSUB(I20,S20),1))</f>
        <v>2.3062945534175E-4</v>
      </c>
      <c r="AN20" s="186">
        <f t="shared" ref="AN20" si="2">IMABS(IMDIV(IMSUB(J20,T20),1))</f>
        <v>2.3062945534175E-4</v>
      </c>
      <c r="AO20" s="186">
        <f t="shared" ref="AO20" si="3">IMABS(IMDIV(IMSUB(K20,U20),1))</f>
        <v>2.3062945534175E-4</v>
      </c>
      <c r="AP20" s="186">
        <f t="shared" ref="AP20" si="4">IMABS(IMDIV(IMSUB(L20,V20),1))</f>
        <v>2.3062945534175E-4</v>
      </c>
      <c r="AQ20" s="186">
        <f t="shared" ref="AQ20" si="5">IMABS(IMDIV(IMSUB(M20,W20),1))</f>
        <v>2.3062945534175E-4</v>
      </c>
      <c r="AR20" s="187">
        <f t="shared" ref="AR20" si="6">IMABS(IMDIV(IMSUB(N20,X20),1))</f>
        <v>2.3062945534175E-4</v>
      </c>
      <c r="AT20" s="182" t="s">
        <v>141</v>
      </c>
      <c r="AU20" s="256"/>
      <c r="AV20" s="186">
        <f t="shared" ref="AV20:AV32" si="7">IMABS(IMDIV(IMSUB(S20,AC20),1))</f>
        <v>2.30629455341751E-4</v>
      </c>
      <c r="AW20" s="186">
        <f t="shared" si="1"/>
        <v>2.30629455341751E-4</v>
      </c>
      <c r="AX20" s="186">
        <f t="shared" si="1"/>
        <v>2.30629455341751E-4</v>
      </c>
      <c r="AY20" s="186">
        <f t="shared" si="1"/>
        <v>2.30629455341751E-4</v>
      </c>
      <c r="AZ20" s="186">
        <f t="shared" si="1"/>
        <v>2.30629455341751E-4</v>
      </c>
      <c r="BA20" s="187">
        <f t="shared" si="1"/>
        <v>2.30629455341751E-4</v>
      </c>
    </row>
    <row r="21" spans="7:53" x14ac:dyDescent="0.55000000000000004">
      <c r="G21" s="62" t="s">
        <v>142</v>
      </c>
      <c r="H21" s="256"/>
      <c r="I21" s="113">
        <f>IF(I18=0,$K$11,SQRT(1/(('Material Modeler'!$H$1/(1+'Material Modeler'!$M$3*($H19-'Material Modeler'!$H$2)))*PI()*(I18*1000000000)*0.999991*0.0000004*PI()))*1000000)</f>
        <v>2.0615741316329186</v>
      </c>
      <c r="J21" s="113">
        <f>IF(J18=0,$K$11,SQRT(1/(('Material Modeler'!$H$1/(1+'Material Modeler'!$M$3*($H19-'Material Modeler'!$H$2)))*PI()*(J18*1000000000)*0.999991*0.0000004*PI()))*1000000)</f>
        <v>1.4577530483964047</v>
      </c>
      <c r="K21" s="113">
        <f>IF(K18=0,$K$11,SQRT(1/(('Material Modeler'!$H$1/(1+'Material Modeler'!$M$3*($H19-'Material Modeler'!$H$2)))*PI()*(K18*1000000000)*0.999991*0.0000004*PI()))*1000000)</f>
        <v>0.92196397979726119</v>
      </c>
      <c r="L21" s="113">
        <f>IF(L18=0,$K$11,SQRT(1/(('Material Modeler'!$H$1/(1+'Material Modeler'!$M$3*($H19-'Material Modeler'!$H$2)))*PI()*(L18*1000000000)*0.999991*0.0000004*PI()))*1000000)</f>
        <v>0.65192698212438038</v>
      </c>
      <c r="M21" s="113">
        <f>IF(M18=0,$K$11,SQRT(1/(('Material Modeler'!$H$1/(1+'Material Modeler'!$M$3*($H19-'Material Modeler'!$H$2)))*PI()*(M18*1000000000)*0.999991*0.0000004*PI()))*1000000)</f>
        <v>0.53229615191908741</v>
      </c>
      <c r="N21" s="142">
        <f>IF(N18=0,$K$11,SQRT(1/(('Material Modeler'!$H$1/(1+'Material Modeler'!$M$3*($H19-'Material Modeler'!$H$2)))*PI()*(N18*1000000000)*0.999991*0.0000004*PI()))*1000000)</f>
        <v>0.4609819898986306</v>
      </c>
      <c r="Q21" s="62" t="s">
        <v>142</v>
      </c>
      <c r="R21" s="262"/>
      <c r="S21" s="113">
        <f>IF(S18=0,$I$11,SQRT(1/(('Material Modeler'!$H$1/(1+'Material Modeler'!$M$3*($R$19-'Material Modeler'!$H$2)))*PI()*(S18*1000000000)*0.999991*0.0000004*PI()))*1000000)</f>
        <v>2.0615741316329186</v>
      </c>
      <c r="T21" s="113">
        <f>IF(T$18=0,$I$11,SQRT(1/(('Material Modeler'!$H$1/(1+'Material Modeler'!$M$3*($R$19-'Material Modeler'!$H$2)))*PI()*(T18*1000000000)*0.999991*0.0000004*PI()))*1000000)</f>
        <v>1.4577530483964047</v>
      </c>
      <c r="U21" s="113">
        <f>IF(U$18=0,$I$11,SQRT(1/(('Material Modeler'!$H$1/(1+'Material Modeler'!$M$3*($R$19-'Material Modeler'!$H$2)))*PI()*(U18*1000000000)*0.999991*0.0000004*PI()))*1000000)</f>
        <v>0.92196397979726119</v>
      </c>
      <c r="V21" s="113">
        <f>IF(V$18=0,$I$11,SQRT(1/(('Material Modeler'!$H$1/(1+'Material Modeler'!$M$3*($R$19-'Material Modeler'!$H$2)))*PI()*(V18*1000000000)*0.999991*0.0000004*PI()))*1000000)</f>
        <v>0.65192698212438038</v>
      </c>
      <c r="W21" s="113">
        <f>IF(W$18=0,$I$11,SQRT(1/(('Material Modeler'!$H$1/(1+'Material Modeler'!$M$3*($R$19-'Material Modeler'!$H$2)))*PI()*(W18*1000000000)*0.999991*0.0000004*PI()))*1000000)</f>
        <v>0.53229615191908741</v>
      </c>
      <c r="X21" s="142">
        <f>IF(X$18=0,$I$11,SQRT(1/(('Material Modeler'!$H$1/(1+'Material Modeler'!$M$3*($R$19-'Material Modeler'!$H$2)))*PI()*(X18*1000000000)*0.999991*0.0000004*PI()))*1000000)</f>
        <v>0.4609819898986306</v>
      </c>
      <c r="AA21" s="62" t="s">
        <v>142</v>
      </c>
      <c r="AB21" s="256"/>
      <c r="AC21" s="113">
        <f>IF(AC$18=0,$L$11,SQRT(1/(('Material Modeler'!$H$1/(1+'Material Modeler'!$M$3*($AB$19-'Material Modeler'!$H$2)))*PI()*(AC$18*1000000000)*0.999991*0.0000004*PI()))*1000000)</f>
        <v>2.0615741316329186</v>
      </c>
      <c r="AD21" s="113">
        <f>IF(AD$18=0,$L$11,SQRT(1/(('Material Modeler'!$H$1/(1+'Material Modeler'!$M$3*($AB$19-'Material Modeler'!$H$2)))*PI()*(AD$18*1000000000)*0.999991*0.0000004*PI()))*1000000)</f>
        <v>1.4577530483964047</v>
      </c>
      <c r="AE21" s="113">
        <f>IF(AE$18=0,$L$11,SQRT(1/(('Material Modeler'!$H$1/(1+'Material Modeler'!$M$3*($AB$19-'Material Modeler'!$H$2)))*PI()*(AE$18*1000000000)*0.999991*0.0000004*PI()))*1000000)</f>
        <v>0.92196397979726119</v>
      </c>
      <c r="AF21" s="113">
        <f>IF(AF$18=0,$L$11,SQRT(1/(('Material Modeler'!$H$1/(1+'Material Modeler'!$M$3*($AB$19-'Material Modeler'!$H$2)))*PI()*(AF$18*1000000000)*0.999991*0.0000004*PI()))*1000000)</f>
        <v>0.65192698212438038</v>
      </c>
      <c r="AG21" s="113">
        <f>IF(AG$18=0,$L$11,SQRT(1/(('Material Modeler'!$H$1/(1+'Material Modeler'!$M$3*($AB$19-'Material Modeler'!$H$2)))*PI()*(AG$18*1000000000)*0.999991*0.0000004*PI()))*1000000)</f>
        <v>0.53229615191908741</v>
      </c>
      <c r="AH21" s="142">
        <f>IF(AH$18=0,$L$11,SQRT(1/(('Material Modeler'!$H$1/(1+'Material Modeler'!$M$3*($AB$19-'Material Modeler'!$H$2)))*PI()*(AH$18*1000000000)*0.999991*0.0000004*PI()))*1000000)</f>
        <v>0.4609819898986306</v>
      </c>
      <c r="AK21" s="109" t="s">
        <v>142</v>
      </c>
      <c r="AL21" s="256"/>
      <c r="AM21" s="115">
        <f t="shared" ref="AM21:AM32" si="8">IMABS(IMDIV(IMSUB(S21,I21),1))*SIGN(IMDIV(IMSUB(S21,I21),1))</f>
        <v>0</v>
      </c>
      <c r="AN21" s="115">
        <f t="shared" ref="AN21:AR32" si="9">IMABS(IMDIV(IMSUB(T21,J21),1))*SIGN(IMDIV(IMSUB(T21,J21),1))</f>
        <v>0</v>
      </c>
      <c r="AO21" s="115">
        <f t="shared" si="9"/>
        <v>0</v>
      </c>
      <c r="AP21" s="115">
        <f t="shared" si="9"/>
        <v>0</v>
      </c>
      <c r="AQ21" s="115">
        <f t="shared" si="9"/>
        <v>0</v>
      </c>
      <c r="AR21" s="116">
        <f t="shared" si="9"/>
        <v>0</v>
      </c>
      <c r="AT21" s="109" t="s">
        <v>142</v>
      </c>
      <c r="AU21" s="256"/>
      <c r="AV21" s="115">
        <f t="shared" si="7"/>
        <v>0</v>
      </c>
      <c r="AW21" s="115">
        <f t="shared" si="1"/>
        <v>0</v>
      </c>
      <c r="AX21" s="115">
        <f t="shared" si="1"/>
        <v>0</v>
      </c>
      <c r="AY21" s="115">
        <f t="shared" si="1"/>
        <v>0</v>
      </c>
      <c r="AZ21" s="115">
        <f t="shared" si="1"/>
        <v>0</v>
      </c>
      <c r="BA21" s="116">
        <f t="shared" si="1"/>
        <v>0</v>
      </c>
    </row>
    <row r="22" spans="7:53" x14ac:dyDescent="0.55000000000000004">
      <c r="G22" s="143" t="s">
        <v>144</v>
      </c>
      <c r="H22" s="256"/>
      <c r="I22" s="119">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1/((0.000001*I$21)*('Material Modeler'!$H$1/(1+'Material Modeler'!$M$3*($H$19-'Material Modeler'!$H$2)))),
   _xlpm.alpha_ce, (2 * _xlpm.Rs * I$19 * IMABS(I$24)) / ((120*PI())^2 * (2*$K$10+$K$11)*0.000001)
           * ((($K$13/(2*$K$10+$K$11))-1)*_xlpm.dCfe_ϵ__ds_b + (1+$K$11/(2*$K$10+$K$11))*(_xlpm.dCfe_ϵ__dt_b+_xlpm.dCf_ϵ__dt_b) + 2*(($K$12/(2*$K$10+$K$11))+1-$K$11/(2*$K$10+$K$11))/(1-$K$11/(2*$K$10+$K$11))^2 ),
   _xlpm.Rsmooth_even, _xlpm.alpha_ce * (2*IMABS(I$24)),
   _xlpm.Rsmooth_even
)</f>
        <v>55.390781188993756</v>
      </c>
      <c r="J22" s="119">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1/((0.000001*J$21)*('Material Modeler'!$H$1/(1+'Material Modeler'!$M$3*($H$19-'Material Modeler'!$H$2)))),
   _xlpm.alpha_ce, (2 * _xlpm.Rs * J$19 * IMABS(J$24)) / ((120*PI())^2 * (2*$K$10+$K$11)*0.000001)
           * ((($K$13/(2*$K$10+$K$11))-1)*_xlpm.dCfe_ϵ__ds_b + (1+$K$11/(2*$K$10+$K$11))*(_xlpm.dCfe_ϵ__dt_b+_xlpm.dCf_ϵ__dt_b) + 2*(($K$12/(2*$K$10+$K$11))+1-$K$11/(2*$K$10+$K$11))/(1-$K$11/(2*$K$10+$K$11))^2 ),
   _xlpm.Rsmooth_even, _xlpm.alpha_ce * (2*IMABS(J$24)),
   _xlpm.Rsmooth_even
)</f>
        <v>78.334393987915504</v>
      </c>
      <c r="K22" s="119">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1/((0.000001*K$21)*('Material Modeler'!$H$1/(1+'Material Modeler'!$M$3*($H$19-'Material Modeler'!$H$2)))),
   _xlpm.alpha_ce, (2 * _xlpm.Rs * K$19 * IMABS(K$24)) / ((120*PI())^2 * (2*$K$10+$K$11)*0.000001)
           * ((($K$13/(2*$K$10+$K$11))-1)*_xlpm.dCfe_ϵ__ds_b + (1+$K$11/(2*$K$10+$K$11))*(_xlpm.dCfe_ϵ__dt_b+_xlpm.dCf_ϵ__dt_b) + 2*(($K$12/(2*$K$10+$K$11))+1-$K$11/(2*$K$10+$K$11))/(1-$K$11/(2*$K$10+$K$11))^2 ),
   _xlpm.Rsmooth_even, _xlpm.alpha_ce * (2*IMABS(K$24)),
   _xlpm.Rsmooth_even
)</f>
        <v>123.85976619991658</v>
      </c>
      <c r="L22" s="119">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1/((0.000001*L$21)*('Material Modeler'!$H$1/(1+'Material Modeler'!$M$3*($H$19-'Material Modeler'!$H$2)))),
   _xlpm.alpha_ce, (2 * _xlpm.Rs * L$19 * IMABS(L$24)) / ((120*PI())^2 * (2*$K$10+$K$11)*0.000001)
           * ((($K$13/(2*$K$10+$K$11))-1)*_xlpm.dCfe_ϵ__ds_b + (1+$K$11/(2*$K$10+$K$11))*(_xlpm.dCfe_ϵ__dt_b+_xlpm.dCf_ϵ__dt_b) + 2*(($K$12/(2*$K$10+$K$11))+1-$K$11/(2*$K$10+$K$11))/(1-$K$11/(2*$K$10+$K$11))^2 ),
   _xlpm.Rsmooth_even, _xlpm.alpha_ce * (2*IMABS(L$24)),
   _xlpm.Rsmooth_even
)</f>
        <v>175.16330170801561</v>
      </c>
      <c r="M22" s="119">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1/((0.000001*M$21)*('Material Modeler'!$H$1/(1+'Material Modeler'!$M$3*($H$19-'Material Modeler'!$H$2)))),
   _xlpm.alpha_ce, (2 * _xlpm.Rs * M$19 * IMABS(M$24)) / ((120*PI())^2 * (2*$K$10+$K$11)*0.000001)
           * ((($K$13/(2*$K$10+$K$11))-1)*_xlpm.dCfe_ϵ__ds_b + (1+$K$11/(2*$K$10+$K$11))*(_xlpm.dCfe_ϵ__dt_b+_xlpm.dCf_ϵ__dt_b) + 2*(($K$12/(2*$K$10+$K$11))+1-$K$11/(2*$K$10+$K$11))/(1-$K$11/(2*$K$10+$K$11))^2 ),
   _xlpm.Rsmooth_even, _xlpm.alpha_ce * (2*IMABS(M$24)),
   _xlpm.Rsmooth_even
)</f>
        <v>214.52757626404392</v>
      </c>
      <c r="N22" s="144">
        <f xml:space="preserve"> _xlfn.LET(
   _xlpm.Cf0__ϵ, 2*LN(2)/PI(),
   _xlpm.Cft__ϵ, 1/PI()*((2/(1-$K$11/(2*$K$10+$K$11)))*LN((1/(1-$K$11/(2*$K$10+$K$11)))+1)-((1/(1-$K$11/(2*$K$10+$K$11)))-1)*LN((1/(1-$K$11/(2*$K$10+$K$11)))^2-1)),
   _xlpm.Cfe0s__ϵ, (2/PI()) * LN(1 + TANH(PI()*$K$13/(2*(2*$K$10+$K$11)))),
   _xlpm.dCf_ϵ__dt_b, 1/PI()*(
       (2/(1-$K$11/(2*$K$10+$K$11))^2)*LN(1/(1-$K$11/(2*$K$10+$K$11))+1)
      +(2/(1-$K$11/(2*$K$10+$K$11)))*(1/((1/(1-$K$11/(2*$K$10+$K$11)))+1))*(1/(1-$K$11/(2*$K$10+$K$11))^2)
      -(1/(1-$K$11/(2*$K$10+$K$11))^2)*LN((1/(1-$K$11/(2*$K$10+$K$11))^2)-1)
      +((1/(1-$K$11/(2*$K$10+$K$11)))-1)*(2/(1-$K$11/(2*$K$10+$K$11))^3)/((1/(1-$K$11/(2*$K$10+$K$11))^2)-1) ),
   _xlpm.dCfe_ϵ__dt_b, _xlpm.Cfe0s__ϵ/_xlpm.Cf0__ϵ * _xlpm.dCf_ϵ__dt_b,
   _xlpm.dCfe_ϵ__ds_b, (_xlpm.Cft__ϵ / _xlpm.Cf0__ϵ) * (_xlfn.SECH(PI()*$K$13/(2*(2*$K$10+$K$11))))^2/(1 + TANH(PI()*$K$13/(2*(2*$K$10+$K$11)))),
   _xlpm.Rs, 1/((0.000001*N$21)*('Material Modeler'!$H$1/(1+'Material Modeler'!$M$3*($H$19-'Material Modeler'!$H$2)))),
   _xlpm.alpha_ce, (2 * _xlpm.Rs * N$19 * IMABS(N$24)) / ((120*PI())^2 * (2*$K$10+$K$11)*0.000001)
           * ((($K$13/(2*$K$10+$K$11))-1)*_xlpm.dCfe_ϵ__ds_b + (1+$K$11/(2*$K$10+$K$11))*(_xlpm.dCfe_ϵ__dt_b+_xlpm.dCf_ϵ__dt_b) + 2*(($K$12/(2*$K$10+$K$11))+1-$K$11/(2*$K$10+$K$11))/(1-$K$11/(2*$K$10+$K$11))^2 ),
   _xlpm.Rsmooth_even, _xlpm.alpha_ce * (2*IMABS(N$24)),
   _xlpm.Rsmooth_even
)</f>
        <v>247.71875988912822</v>
      </c>
      <c r="O22" s="251" t="s">
        <v>145</v>
      </c>
      <c r="Q22" s="143" t="s">
        <v>144</v>
      </c>
      <c r="R22" s="262"/>
      <c r="S22" s="119">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1/((0.000001*S$21)*('Material Modeler'!$H$1/(1+'Material Modeler'!$M$3*($R$19-'Material Modeler'!$H$2)))),
   _xlpm.alpha_ce, (2 * _xlpm.Rs * S$19 * IMABS(S$24)) / ((120*PI())^2 * (2*$I$10+$I$11)*0.000001)
           * ((($I$13/(2*$I$10+$I$11))-1)*_xlpm.dCfe_ϵ__ds_b + (1+$I$11/(2*$I$10+$I$11))*(_xlpm.dCfe_ϵ__dt_b+_xlpm.dCf_ϵ__dt_b) + 2*(($I$12/(2*$I$10+$I$11))+1-$I$11/(2*$I$10+$I$11))/(1-$I$11/(2*$I$10+$I$11))^2 ),
   _xlpm.Rsmooth_even, _xlpm.alpha_ce * (2*IMABS(S$24)),
   _xlpm.Rsmooth_even
)</f>
        <v>59.330166254390932</v>
      </c>
      <c r="T22" s="119">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1/((0.000001*T$21)*('Material Modeler'!$H$1/(1+'Material Modeler'!$M$3*($R$19-'Material Modeler'!$H$2)))),
   _xlpm.alpha_ce, (2 * _xlpm.Rs * T$19 * IMABS(T$24)) / ((120*PI())^2 * (2*$I$10+$I$11)*0.000001)
           * ((($I$13/(2*$I$10+$I$11))-1)*_xlpm.dCfe_ϵ__ds_b + (1+$I$11/(2*$I$10+$I$11))*(_xlpm.dCfe_ϵ__dt_b+_xlpm.dCf_ϵ__dt_b) + 2*(($I$12/(2*$I$10+$I$11))+1-$I$11/(2*$I$10+$I$11))/(1-$I$11/(2*$I$10+$I$11))^2 ),
   _xlpm.Rsmooth_even, _xlpm.alpha_ce * (2*IMABS(T$24)),
   _xlpm.Rsmooth_even
)</f>
        <v>83.905525774810201</v>
      </c>
      <c r="U22" s="119">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1/((0.000001*U$21)*('Material Modeler'!$H$1/(1+'Material Modeler'!$M$3*($R$19-'Material Modeler'!$H$2)))),
   _xlpm.alpha_ce, (2 * _xlpm.Rs * U$19 * IMABS(U$24)) / ((120*PI())^2 * (2*$I$10+$I$11)*0.000001)
           * ((($I$13/(2*$I$10+$I$11))-1)*_xlpm.dCfe_ϵ__ds_b + (1+$I$11/(2*$I$10+$I$11))*(_xlpm.dCfe_ϵ__dt_b+_xlpm.dCf_ϵ__dt_b) + 2*(($I$12/(2*$I$10+$I$11))+1-$I$11/(2*$I$10+$I$11))/(1-$I$11/(2*$I$10+$I$11))^2 ),
   _xlpm.Rsmooth_even, _xlpm.alpha_ce * (2*IMABS(U$24)),
   _xlpm.Rsmooth_even
)</f>
        <v>132.66693614291691</v>
      </c>
      <c r="V22" s="119">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1/((0.000001*V$21)*('Material Modeler'!$H$1/(1+'Material Modeler'!$M$3*($R$19-'Material Modeler'!$H$2)))),
   _xlpm.alpha_ce, (2 * _xlpm.Rs * V$19 * IMABS(V$24)) / ((120*PI())^2 * (2*$I$10+$I$11)*0.000001)
           * ((($I$13/(2*$I$10+$I$11))-1)*_xlpm.dCfe_ϵ__ds_b + (1+$I$11/(2*$I$10+$I$11))*(_xlpm.dCfe_ϵ__dt_b+_xlpm.dCf_ϵ__dt_b) + 2*(($I$12/(2*$I$10+$I$11))+1-$I$11/(2*$I$10+$I$11))/(1-$I$11/(2*$I$10+$I$11))^2 ),
   _xlpm.Rsmooth_even, _xlpm.alpha_ce * (2*IMABS(V$24)),
   _xlpm.Rsmooth_even
)</f>
        <v>187.62257681592331</v>
      </c>
      <c r="W22" s="119">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1/((0.000001*W$21)*('Material Modeler'!$H$1/(1+'Material Modeler'!$M$3*($R$19-'Material Modeler'!$H$2)))),
   _xlpm.alpha_ce, (2 * _xlpm.Rs * W$19 * IMABS(W$24)) / ((120*PI())^2 * (2*$I$10+$I$11)*0.000001)
           * ((($I$13/(2*$I$10+$I$11))-1)*_xlpm.dCfe_ϵ__ds_b + (1+$I$11/(2*$I$10+$I$11))*(_xlpm.dCfe_ϵ__dt_b+_xlpm.dCf_ϵ__dt_b) + 2*(($I$12/(2*$I$10+$I$11))+1-$I$11/(2*$I$10+$I$11))/(1-$I$11/(2*$I$10+$I$11))^2 ),
   _xlpm.Rsmooth_even, _xlpm.alpha_ce * (2*IMABS(W$24)),
   _xlpm.Rsmooth_even
)</f>
        <v>229.78521826369109</v>
      </c>
      <c r="X22" s="144">
        <f xml:space="preserve"> _xlfn.LET(
   _xlpm.Cf0__ϵ, 2*LN(2)/PI(),
   _xlpm.Cft__ϵ, 1/PI()*((2/(1-$I$11/(2*$I$10+$I$11)))*LN((1/(1-$I$11/(2*$I$10+$I$11)))+1)-((1/(1-$I$11/(2*$I$10+$I$11)))-1)*LN((1/(1-$I$11/(2*$I$10+$I$11)))^2-1)),
   _xlpm.Cfe0s__ϵ, (2/PI()) * LN(1 + TANH(PI()*$I$13/(2*(2*$I$10+$I$11)))),
   _xlpm.dCf_ϵ__dt_b, 1/PI()*(
       (2/(1-$I$11/(2*$I$10+$I$11))^2)*LN(1/(1-$I$11/(2*$I$10+$I$11))+1)
      +(2/(1-$I$11/(2*$I$10+$I$11)))*(1/((1/(1-$I$11/(2*$I$10+$I$11)))+1))*(1/(1-$I$11/(2*$I$10+$I$11))^2)
      -(1/(1-$I$11/(2*$I$10+$I$11))^2)*LN((1/(1-$I$11/(2*$I$10+$I$11))^2)-1)
      +((1/(1-$I$11/(2*$I$10+$I$11)))-1)*(2/(1-$I$11/(2*$I$10+$I$11))^3)/((1/(1-$I$11/(2*$I$10+$I$11))^2)-1) ),
   _xlpm.dCfe_ϵ__dt_b, _xlpm.Cfe0s__ϵ/_xlpm.Cf0__ϵ * _xlpm.dCf_ϵ__dt_b,
   _xlpm.dCfe_ϵ__ds_b, (_xlpm.Cft__ϵ / _xlpm.Cf0__ϵ) * (_xlfn.SECH(PI()*$I$13/(2*(2*$I$10+$I$11))))^2/(1 + TANH(PI()*$I$13/(2*(2*$I$10+$I$11)))),
   _xlpm.Rs, 1/((0.000001*X$21)*('Material Modeler'!$H$1/(1+'Material Modeler'!$M$3*($R$19-'Material Modeler'!$H$2)))),
   _xlpm.alpha_ce, (2 * _xlpm.Rs * X$19 * IMABS(X$24)) / ((120*PI())^2 * (2*$I$10+$I$11)*0.000001)
           * ((($I$13/(2*$I$10+$I$11))-1)*_xlpm.dCfe_ϵ__ds_b + (1+$I$11/(2*$I$10+$I$11))*(_xlpm.dCfe_ϵ__dt_b+_xlpm.dCf_ϵ__dt_b) + 2*(($I$12/(2*$I$10+$I$11))+1-$I$11/(2*$I$10+$I$11))/(1-$I$11/(2*$I$10+$I$11))^2 ),
   _xlpm.Rsmooth_even, _xlpm.alpha_ce * (2*IMABS(X$24)),
   _xlpm.Rsmooth_even
)</f>
        <v>265.3365034204985</v>
      </c>
      <c r="Y22" s="251" t="s">
        <v>145</v>
      </c>
      <c r="AA22" s="143" t="s">
        <v>144</v>
      </c>
      <c r="AB22" s="256"/>
      <c r="AC22" s="119">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1/((0.000001*AC$21)*('Material Modeler'!$H$1/(1+'Material Modeler'!$M$3*($AB$19-'Material Modeler'!$H$2)))),
   _xlpm.alpha_ce, (2 * _xlpm.Rs * AC$19 * IMABS(AC$24)) / ((120*PI())^2 * (2*$L$10+$L$11)*0.000001)
           * ((($L$13/(2*$L$10+$L$11))-1)*_xlpm.dCfe_ϵ__ds_b + (1+$L$11/(2*$L$10+$L$11))*(_xlpm.dCfe_ϵ__dt_b+_xlpm.dCf_ϵ__dt_b) + 2*(($L$12/(2*$L$10+$L$11))+1-$L$11/(2*$L$10+$L$11))/(1-$L$11/(2*$L$10+$L$11))^2 ),
   _xlpm.Rsmooth_even, _xlpm.alpha_ce * (2*IMABS(AC$24)),
   _xlpm.Rsmooth_even
)</f>
        <v>63.48347728258608</v>
      </c>
      <c r="AD22" s="119">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1/((0.000001*AD$21)*('Material Modeler'!$H$1/(1+'Material Modeler'!$M$3*($AB$19-'Material Modeler'!$H$2)))),
   _xlpm.alpha_ce, (2 * _xlpm.Rs * AD$19 * IMABS(AD$24)) / ((120*PI())^2 * (2*$L$10+$L$11)*0.000001)
           * ((($L$13/(2*$L$10+$L$11))-1)*_xlpm.dCfe_ϵ__ds_b + (1+$L$11/(2*$L$10+$L$11))*(_xlpm.dCfe_ϵ__dt_b+_xlpm.dCf_ϵ__dt_b) + 2*(($L$12/(2*$L$10+$L$11))+1-$L$11/(2*$L$10+$L$11))/(1-$L$11/(2*$L$10+$L$11))^2 ),
   _xlpm.Rsmooth_even, _xlpm.alpha_ce * (2*IMABS(AD$24)),
   _xlpm.Rsmooth_even
)</f>
        <v>89.779194559637531</v>
      </c>
      <c r="AE22" s="119">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1/((0.000001*AE$21)*('Material Modeler'!$H$1/(1+'Material Modeler'!$M$3*($AB$19-'Material Modeler'!$H$2)))),
   _xlpm.alpha_ce, (2 * _xlpm.Rs * AE$19 * IMABS(AE$24)) / ((120*PI())^2 * (2*$L$10+$L$11)*0.000001)
           * ((($L$13/(2*$L$10+$L$11))-1)*_xlpm.dCfe_ϵ__ds_b + (1+$L$11/(2*$L$10+$L$11))*(_xlpm.dCfe_ϵ__dt_b+_xlpm.dCf_ϵ__dt_b) + 2*(($L$12/(2*$L$10+$L$11))+1-$L$11/(2*$L$10+$L$11))/(1-$L$11/(2*$L$10+$L$11))^2 ),
   _xlpm.Rsmooth_even, _xlpm.alpha_ce * (2*IMABS(AE$24)),
   _xlpm.Rsmooth_even
)</f>
        <v>141.95642691519299</v>
      </c>
      <c r="AF22" s="119">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1/((0.000001*AF$21)*('Material Modeler'!$H$1/(1+'Material Modeler'!$M$3*($AB$19-'Material Modeler'!$H$2)))),
   _xlpm.alpha_ce, (2 * _xlpm.Rs * AF$19 * IMABS(AF$24)) / ((120*PI())^2 * (2*$L$10+$L$11)*0.000001)
           * ((($L$13/(2*$L$10+$L$11))-1)*_xlpm.dCfe_ϵ__ds_b + (1+$L$11/(2*$L$10+$L$11))*(_xlpm.dCfe_ϵ__dt_b+_xlpm.dCf_ϵ__dt_b) + 2*(($L$12/(2*$L$10+$L$11))+1-$L$11/(2*$L$10+$L$11))/(1-$L$11/(2*$L$10+$L$11))^2 ),
   _xlpm.Rsmooth_even, _xlpm.alpha_ce * (2*IMABS(AF$24)),
   _xlpm.Rsmooth_even
)</f>
        <v>200.75282464655405</v>
      </c>
      <c r="AG22" s="119">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1/((0.000001*AG$21)*('Material Modeler'!$H$1/(1+'Material Modeler'!$M$3*($AB$19-'Material Modeler'!$H$2)))),
   _xlpm.alpha_ce, (2 * _xlpm.Rs * AG$19 * IMABS(AG$24)) / ((120*PI())^2 * (2*$L$10+$L$11)*0.000001)
           * ((($L$13/(2*$L$10+$L$11))-1)*_xlpm.dCfe_ϵ__ds_b + (1+$L$11/(2*$L$10+$L$11))*(_xlpm.dCfe_ϵ__dt_b+_xlpm.dCf_ϵ__dt_b) + 2*(($L$12/(2*$L$10+$L$11))+1-$L$11/(2*$L$10+$L$11))/(1-$L$11/(2*$L$10+$L$11))^2 ),
   _xlpm.Rsmooth_even, _xlpm.alpha_ce * (2*IMABS(AG$24)),
   _xlpm.Rsmooth_even
)</f>
        <v>245.87056552172672</v>
      </c>
      <c r="AH22" s="144">
        <f xml:space="preserve"> _xlfn.LET(
   _xlpm.Cf0__ϵ, 2*LN(2)/PI(),
   _xlpm.Cft__ϵ, 1/PI()*((2/(1-$L$11/(2*$L$10+$L$11)))*LN((1/(1-$L$11/(2*$L$10+$L$11)))+1)-((1/(1-$L$11/(2*$L$10+$L$11)))-1)*LN((1/(1-$L$11/(2*$L$10+$L$11)))^2-1)),
   _xlpm.Cfe0s__ϵ, (2/PI()) * LN(1 + TANH(PI()*$L$13/(2*(2*$L$10+$L$11)))),
   _xlpm.dCf_ϵ__dt_b, 1/PI()*(
       (2/(1-$L$11/(2*$L$10+$L$11))^2)*LN(1/(1-$L$11/(2*$L$10+$L$11))+1)
      +(2/(1-$L$11/(2*$L$10+$L$11)))*(1/((1/(1-$L$11/(2*$L$10+$L$11)))+1))*(1/(1-$L$11/(2*$L$10+$L$11))^2)
      -(1/(1-$L$11/(2*$L$10+$L$11))^2)*LN((1/(1-$L$11/(2*$L$10+$L$11))^2)-1)
      +((1/(1-$L$11/(2*$L$10+$L$11)))-1)*(2/(1-$L$11/(2*$L$10+$L$11))^3)/((1/(1-$L$11/(2*$L$10+$L$11))^2)-1) ),
   _xlpm.dCfe_ϵ__dt_b, _xlpm.Cfe0s__ϵ/_xlpm.Cf0__ϵ * _xlpm.dCf_ϵ__dt_b,
   _xlpm.dCfe_ϵ__ds_b, (_xlpm.Cft__ϵ / _xlpm.Cf0__ϵ) * (_xlfn.SECH(PI()*$L$13/(2*(2*$L$10+$L$11))))^2/(1 + TANH(PI()*$L$13/(2*(2*$L$10+$L$11)))),
   _xlpm.Rs, 1/((0.000001*AH$21)*('Material Modeler'!$H$1/(1+'Material Modeler'!$M$3*($AB$19-'Material Modeler'!$H$2)))),
   _xlpm.alpha_ce, (2 * _xlpm.Rs * AH$19 * IMABS(AH$24)) / ((120*PI())^2 * (2*$L$10+$L$11)*0.000001)
           * ((($L$13/(2*$L$10+$L$11))-1)*_xlpm.dCfe_ϵ__ds_b + (1+$L$11/(2*$L$10+$L$11))*(_xlpm.dCfe_ϵ__dt_b+_xlpm.dCf_ϵ__dt_b) + 2*(($L$12/(2*$L$10+$L$11))+1-$L$11/(2*$L$10+$L$11))/(1-$L$11/(2*$L$10+$L$11))^2 ),
   _xlpm.Rsmooth_even, _xlpm.alpha_ce * (2*IMABS(AH$24)),
   _xlpm.Rsmooth_even
)</f>
        <v>283.90908170971136</v>
      </c>
      <c r="AI22" s="251" t="s">
        <v>145</v>
      </c>
      <c r="AK22" s="143" t="s">
        <v>144</v>
      </c>
      <c r="AL22" s="256"/>
      <c r="AM22" s="188">
        <f t="shared" si="8"/>
        <v>3.9393850653971798</v>
      </c>
      <c r="AN22" s="188">
        <f t="shared" si="9"/>
        <v>5.5711317868946999</v>
      </c>
      <c r="AO22" s="188">
        <f t="shared" si="9"/>
        <v>8.8071699430003303</v>
      </c>
      <c r="AP22" s="188">
        <f t="shared" si="9"/>
        <v>12.4592751079077</v>
      </c>
      <c r="AQ22" s="188">
        <f t="shared" si="9"/>
        <v>15.2576419996472</v>
      </c>
      <c r="AR22" s="189">
        <f t="shared" si="9"/>
        <v>17.617743531370301</v>
      </c>
      <c r="AT22" s="143" t="s">
        <v>144</v>
      </c>
      <c r="AU22" s="256"/>
      <c r="AV22" s="188">
        <f t="shared" si="7"/>
        <v>4.1533110281951497</v>
      </c>
      <c r="AW22" s="188">
        <f t="shared" si="1"/>
        <v>5.8736687848273297</v>
      </c>
      <c r="AX22" s="188">
        <f t="shared" si="1"/>
        <v>9.2894907722760802</v>
      </c>
      <c r="AY22" s="188">
        <f t="shared" si="1"/>
        <v>13.130247830630699</v>
      </c>
      <c r="AZ22" s="188">
        <f t="shared" si="1"/>
        <v>16.085347258035601</v>
      </c>
      <c r="BA22" s="189">
        <f t="shared" si="1"/>
        <v>18.572578289212899</v>
      </c>
    </row>
    <row r="23" spans="7:53" x14ac:dyDescent="0.55000000000000004">
      <c r="G23" s="143" t="s">
        <v>147</v>
      </c>
      <c r="H23" s="256"/>
      <c r="I23" s="119">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1/((0.000001*I$21)*('Material Modeler'!$H$1/(1+'Material Modeler'!$M$3*($H$19-'Material Modeler'!$H$2)))),
   _xlpm.alpha_co, ((2*_xlpm.Rs*I$19*IMABS(I$25))/(((2*$K$10+$K$11)*0.000001)*(120*PI())^2)) * (($K$13/(2*$K$10+$K$11)-1)*_xlpm.dCfo_ϵ__ds_b + (1+$K$11/(2*$K$10+$K$11))*(_xlpm.dCfo_ϵ__dt_b + _xlpm.dCf_ϵ__dt_b) + 2*($K$12/(2*$K$10+$K$11)+1-$K$11/(2*$K$10+$K$11))/(1-$K$11/(2*$K$10+$K$11))^2 ),
   _xlpm.Rsmooth_odd, _xlpm.alpha_co * (2*IMABS(I$25)),
   _xlpm.Rsmooth_odd
)</f>
        <v>47.891404827540569</v>
      </c>
      <c r="J23" s="119">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1/((0.000001*J$21)*('Material Modeler'!$H$1/(1+'Material Modeler'!$M$3*($H$19-'Material Modeler'!$H$2)))),
   _xlpm.alpha_co, ((2*_xlpm.Rs*J$19*IMABS(J$25))/(((2*$K$10+$K$11)*0.000001)*(120*PI())^2)) * (($K$13/(2*$K$10+$K$11)-1)*_xlpm.dCfo_ϵ__ds_b + (1+$K$11/(2*$K$10+$K$11))*(_xlpm.dCfo_ϵ__dt_b + _xlpm.dCf_ϵ__dt_b) + 2*($K$12/(2*$K$10+$K$11)+1-$K$11/(2*$K$10+$K$11))/(1-$K$11/(2*$K$10+$K$11))^2 ),
   _xlpm.Rsmooth_odd, _xlpm.alpha_co * (2*IMABS(J$25)),
   _xlpm.Rsmooth_odd
)</f>
        <v>67.728674228208206</v>
      </c>
      <c r="K23" s="119">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1/((0.000001*K$21)*('Material Modeler'!$H$1/(1+'Material Modeler'!$M$3*($H$19-'Material Modeler'!$H$2)))),
   _xlpm.alpha_co, ((2*_xlpm.Rs*K$19*IMABS(K$25))/(((2*$K$10+$K$11)*0.000001)*(120*PI())^2)) * (($K$13/(2*$K$10+$K$11)-1)*_xlpm.dCfo_ϵ__ds_b + (1+$K$11/(2*$K$10+$K$11))*(_xlpm.dCfo_ϵ__dt_b + _xlpm.dCf_ϵ__dt_b) + 2*($K$12/(2*$K$10+$K$11)+1-$K$11/(2*$K$10+$K$11))/(1-$K$11/(2*$K$10+$K$11))^2 ),
   _xlpm.Rsmooth_odd, _xlpm.alpha_co * (2*IMABS(K$25)),
   _xlpm.Rsmooth_odd
)</f>
        <v>107.08682070374455</v>
      </c>
      <c r="L23" s="119">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1/((0.000001*L$21)*('Material Modeler'!$H$1/(1+'Material Modeler'!$M$3*($H$19-'Material Modeler'!$H$2)))),
   _xlpm.alpha_co, ((2*_xlpm.Rs*L$19*IMABS(L$25))/(((2*$K$10+$K$11)*0.000001)*(120*PI())^2)) * (($K$13/(2*$K$10+$K$11)-1)*_xlpm.dCfo_ϵ__ds_b + (1+$K$11/(2*$K$10+$K$11))*(_xlpm.dCfo_ϵ__dt_b + _xlpm.dCf_ϵ__dt_b) + 2*($K$12/(2*$K$10+$K$11)+1-$K$11/(2*$K$10+$K$11))/(1-$K$11/(2*$K$10+$K$11))^2 ),
   _xlpm.Rsmooth_odd, _xlpm.alpha_co * (2*IMABS(L$25)),
   _xlpm.Rsmooth_odd
)</f>
        <v>151.4410558877928</v>
      </c>
      <c r="M23" s="119">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1/((0.000001*M$21)*('Material Modeler'!$H$1/(1+'Material Modeler'!$M$3*($H$19-'Material Modeler'!$H$2)))),
   _xlpm.alpha_co, ((2*_xlpm.Rs*M$19*IMABS(M$25))/(((2*$K$10+$K$11)*0.000001)*(120*PI())^2)) * (($K$13/(2*$K$10+$K$11)-1)*_xlpm.dCfo_ϵ__ds_b + (1+$K$11/(2*$K$10+$K$11))*(_xlpm.dCfo_ϵ__dt_b + _xlpm.dCf_ϵ__dt_b) + 2*($K$12/(2*$K$10+$K$11)+1-$K$11/(2*$K$10+$K$11))/(1-$K$11/(2*$K$10+$K$11))^2 ),
   _xlpm.Rsmooth_odd, _xlpm.alpha_co * (2*IMABS(M$25)),
   _xlpm.Rsmooth_odd
)</f>
        <v>185.48038593642579</v>
      </c>
      <c r="N23" s="144">
        <f xml:space="preserve"> _xlfn.LET(
   _xlpm.Cf0__ϵ, 2*LN(2)/PI(),
   _xlpm.Cft__ϵ, 1/PI()*((2/(1-$K$11/(2*$K$10+$K$11)))*LN((1/(1-$K$11/(2*$K$10+$K$11)))+1)-((1/(1-$K$11/(2*$K$10+$K$11)))-1)*LN((1/(1-$K$11/(2*$K$10+$K$11)))^2-1)),
   _xlpm.Cfo0s__ϵ, (2/PI()) * LN(1 + _xlfn.COTH(PI()*$K$13/(2*(2*$K$10+$K$11)))),
   _xlpm.dCf_ϵ__dt_b, (1/PI()) * (
       (2/(1-$K$11/(2*$K$10+$K$11))^2)*LN(1/(1-$K$11/(2*$K$10+$K$11))+1)
      +(2/(1-$K$11/(2*$K$10+$K$11)))*(1/((1/(1-$K$11/(2*$K$10+$K$11)))+1))*(1/(1-$K$11/(2*$K$10+$K$11))^2)
      -(1/(1-$K$11/(2*$K$10+$K$11))^2)*LN((1/(1-$K$11/(2*$K$10+$K$11))^2)-1)
      +((1/(1-$K$11/(2*$K$10+$K$11)))-1)*(2/(1-$K$11/(2*$K$10+$K$11))^3)/((1/(1-$K$11/(2*$K$10+$K$11))^2)-1) ),
   _xlpm.dCfo_ϵ__dt_b, _xlpm.Cfo0s__ϵ/_xlpm.Cf0__ϵ * _xlpm.dCf_ϵ__dt_b,
   _xlpm.dCfo_ϵ__ds_b, - (_xlpm.Cft__ϵ / _xlpm.Cf0__ϵ) * (_xlfn.CSCH(PI()*$K$13/(2*(2*$K$10+$K$11))))^2/(1 + _xlfn.COTH(PI()*$K$13/(2*(2*$K$10+$K$11)))),
   _xlpm.Rs, 1/((0.000001*N$21)*('Material Modeler'!$H$1/(1+'Material Modeler'!$M$3*($H$19-'Material Modeler'!$H$2)))),
   _xlpm.alpha_co, ((2*_xlpm.Rs*N$19*IMABS(N$25))/(((2*$K$10+$K$11)*0.000001)*(120*PI())^2)) * (($K$13/(2*$K$10+$K$11)-1)*_xlpm.dCfo_ϵ__ds_b + (1+$K$11/(2*$K$10+$K$11))*(_xlpm.dCfo_ϵ__dt_b + _xlpm.dCf_ϵ__dt_b) + 2*($K$12/(2*$K$10+$K$11)+1-$K$11/(2*$K$10+$K$11))/(1-$K$11/(2*$K$10+$K$11))^2 ),
   _xlpm.Rsmooth_odd, _xlpm.alpha_co * (2*IMABS(N$25)),
   _xlpm.Rsmooth_odd
)</f>
        <v>214.15818741419091</v>
      </c>
      <c r="O23" s="251"/>
      <c r="Q23" s="143" t="s">
        <v>147</v>
      </c>
      <c r="R23" s="262"/>
      <c r="S23" s="119">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1/((0.000001*S$21)*('Material Modeler'!$H$1/(1+'Material Modeler'!$M$3*($R$19-'Material Modeler'!$H$2)))),
   _xlpm.alpha_co, ((2*_xlpm.Rs*S$19*IMABS(S$25))/(((2*$I$10+$I$11)*0.000001)*(120*PI())^2)) * (($I$13/(2*$I$10+$I$11)-1)*_xlpm.dCfo_ϵ__ds_b + (1+$I$11/(2*$I$10+$I$11))*(_xlpm.dCfo_ϵ__dt_b + _xlpm.dCf_ϵ__dt_b) + 2*($I$12/(2*$I$10+$I$11)+1-$I$11/(2*$I$10+$I$11))/(1-$I$11/(2*$I$10+$I$11))^2 ),
   _xlpm.Rsmooth_odd, _xlpm.alpha_co * (2*IMABS(S$25)),
   _xlpm.Rsmooth_odd
)</f>
        <v>51.523226660616373</v>
      </c>
      <c r="T23" s="119">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1/((0.000001*T$21)*('Material Modeler'!$H$1/(1+'Material Modeler'!$M$3*($R$19-'Material Modeler'!$H$2)))),
   _xlpm.alpha_co, ((2*_xlpm.Rs*T$19*IMABS(T$25))/(((2*$I$10+$I$11)*0.000001)*(120*PI())^2)) * (($I$13/(2*$I$10+$I$11)-1)*_xlpm.dCfo_ϵ__ds_b + (1+$I$11/(2*$I$10+$I$11))*(_xlpm.dCfo_ϵ__dt_b + _xlpm.dCf_ϵ__dt_b) + 2*($I$12/(2*$I$10+$I$11)+1-$I$11/(2*$I$10+$I$11))/(1-$I$11/(2*$I$10+$I$11))^2 ),
   _xlpm.Rsmooth_odd, _xlpm.alpha_co * (2*IMABS(T$25)),
   _xlpm.Rsmooth_odd
)</f>
        <v>72.864845920666724</v>
      </c>
      <c r="U23" s="119">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1/((0.000001*U$21)*('Material Modeler'!$H$1/(1+'Material Modeler'!$M$3*($R$19-'Material Modeler'!$H$2)))),
   _xlpm.alpha_co, ((2*_xlpm.Rs*U$19*IMABS(U$25))/(((2*$I$10+$I$11)*0.000001)*(120*PI())^2)) * (($I$13/(2*$I$10+$I$11)-1)*_xlpm.dCfo_ϵ__ds_b + (1+$I$11/(2*$I$10+$I$11))*(_xlpm.dCfo_ϵ__dt_b + _xlpm.dCf_ϵ__dt_b) + 2*($I$12/(2*$I$10+$I$11)+1-$I$11/(2*$I$10+$I$11))/(1-$I$11/(2*$I$10+$I$11))^2 ),
   _xlpm.Rsmooth_odd, _xlpm.alpha_co * (2*IMABS(U$25)),
   _xlpm.Rsmooth_odd
)</f>
        <v>115.20787248491047</v>
      </c>
      <c r="V23" s="119">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1/((0.000001*V$21)*('Material Modeler'!$H$1/(1+'Material Modeler'!$M$3*($R$19-'Material Modeler'!$H$2)))),
   _xlpm.alpha_co, ((2*_xlpm.Rs*V$19*IMABS(V$25))/(((2*$I$10+$I$11)*0.000001)*(120*PI())^2)) * (($I$13/(2*$I$10+$I$11)-1)*_xlpm.dCfo_ϵ__ds_b + (1+$I$11/(2*$I$10+$I$11))*(_xlpm.dCfo_ϵ__dt_b + _xlpm.dCf_ϵ__dt_b) + 2*($I$12/(2*$I$10+$I$11)+1-$I$11/(2*$I$10+$I$11))/(1-$I$11/(2*$I$10+$I$11))^2 ),
   _xlpm.Rsmooth_odd, _xlpm.alpha_co * (2*IMABS(V$25)),
   _xlpm.Rsmooth_odd
)</f>
        <v>162.92611002430536</v>
      </c>
      <c r="W23" s="119">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1/((0.000001*W$21)*('Material Modeler'!$H$1/(1+'Material Modeler'!$M$3*($R$19-'Material Modeler'!$H$2)))),
   _xlpm.alpha_co, ((2*_xlpm.Rs*W$19*IMABS(W$25))/(((2*$I$10+$I$11)*0.000001)*(120*PI())^2)) * (($I$13/(2*$I$10+$I$11)-1)*_xlpm.dCfo_ϵ__ds_b + (1+$I$11/(2*$I$10+$I$11))*(_xlpm.dCfo_ϵ__dt_b + _xlpm.dCf_ϵ__dt_b) + 2*($I$12/(2*$I$10+$I$11)+1-$I$11/(2*$I$10+$I$11))/(1-$I$11/(2*$I$10+$I$11))^2 ),
   _xlpm.Rsmooth_odd, _xlpm.alpha_co * (2*IMABS(W$25)),
   _xlpm.Rsmooth_odd
)</f>
        <v>199.54632612411581</v>
      </c>
      <c r="X23" s="144">
        <f xml:space="preserve"> _xlfn.LET(
   _xlpm.Cf0__ϵ, 2*LN(2)/PI(),
   _xlpm.Cft__ϵ, 1/PI()*((2/(1-$I$11/(2*$I$10+$I$11)))*LN((1/(1-$I$11/(2*$I$10+$I$11)))+1)-((1/(1-$I$11/(2*$I$10+$I$11)))-1)*LN((1/(1-$I$11/(2*$I$10+$I$11)))^2-1)),
   _xlpm.Cfo0s__ϵ, (2/PI()) * LN(1 + _xlfn.COTH(PI()*$I$13/(2*(2*$I$10+$I$11)))),
   _xlpm.dCf_ϵ__dt_b, (1/PI()) * (
       (2/(1-$I$11/(2*$I$10+$I$11))^2)*LN(1/(1-$I$11/(2*$I$10+$I$11))+1)
      +(2/(1-$I$11/(2*$I$10+$I$11)))*(1/((1/(1-$I$11/(2*$I$10+$I$11)))+1))*(1/(1-$I$11/(2*$I$10+$I$11))^2)
      -(1/(1-$I$11/(2*$I$10+$I$11))^2)*LN((1/(1-$I$11/(2*$I$10+$I$11))^2)-1)
      +((1/(1-$I$11/(2*$I$10+$I$11)))-1)*(2/(1-$I$11/(2*$I$10+$I$11))^3)/((1/(1-$I$11/(2*$I$10+$I$11))^2)-1) ),
   _xlpm.dCfo_ϵ__dt_b, _xlpm.Cfo0s__ϵ/_xlpm.Cf0__ϵ * _xlpm.dCf_ϵ__dt_b,
   _xlpm.dCfo_ϵ__ds_b, - (_xlpm.Cft__ϵ / _xlpm.Cf0__ϵ) * (_xlfn.CSCH(PI()*$I$13/(2*(2*$I$10+$I$11))))^2/(1 + _xlfn.COTH(PI()*$I$13/(2*(2*$I$10+$I$11)))),
   _xlpm.Rs, 1/((0.000001*X$21)*('Material Modeler'!$H$1/(1+'Material Modeler'!$M$3*($R$19-'Material Modeler'!$H$2)))),
   _xlpm.alpha_co, ((2*_xlpm.Rs*X$19*IMABS(X$25))/(((2*$I$10+$I$11)*0.000001)*(120*PI())^2)) * (($I$13/(2*$I$10+$I$11)-1)*_xlpm.dCfo_ϵ__ds_b + (1+$I$11/(2*$I$10+$I$11))*(_xlpm.dCfo_ϵ__dt_b + _xlpm.dCf_ϵ__dt_b) + 2*($I$12/(2*$I$10+$I$11)+1-$I$11/(2*$I$10+$I$11))/(1-$I$11/(2*$I$10+$I$11))^2 ),
   _xlpm.Rsmooth_odd, _xlpm.alpha_co * (2*IMABS(X$25)),
   _xlpm.Rsmooth_odd
)</f>
        <v>230.41866802858485</v>
      </c>
      <c r="Y23" s="251"/>
      <c r="AA23" s="143" t="s">
        <v>147</v>
      </c>
      <c r="AB23" s="256"/>
      <c r="AC23" s="119">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1/((0.000001*AC$21)*('Material Modeler'!$H$1/(1+'Material Modeler'!$M$3*($AB$19-'Material Modeler'!$H$2)))),
   _xlpm.alpha_co, ((2*_xlpm.Rs*AC$19*IMABS(AC$25))/(((2*$L$10+$L$11)*0.000001)*(120*PI())^2)) * (($L$13/(2*$L$10+$L$11)-1)*_xlpm.dCfo_ϵ__ds_b + (1+$L$11/(2*$L$10+$L$11))*(_xlpm.dCfo_ϵ__dt_b + _xlpm.dCf_ϵ__dt_b) + 2*($L$12/(2*$L$10+$L$11)+1-$L$11/(2*$L$10+$L$11))/(1-$L$11/(2*$L$10+$L$11))^2 ),
   _xlpm.Rsmooth_odd, _xlpm.alpha_co * (2*IMABS(AC$25)),
   _xlpm.Rsmooth_odd
)</f>
        <v>56.543929069528645</v>
      </c>
      <c r="AD23" s="119">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1/((0.000001*AD$21)*('Material Modeler'!$H$1/(1+'Material Modeler'!$M$3*($AB$19-'Material Modeler'!$H$2)))),
   _xlpm.alpha_co, ((2*_xlpm.Rs*AD$19*IMABS(AD$25))/(((2*$L$10+$L$11)*0.000001)*(120*PI())^2)) * (($L$13/(2*$L$10+$L$11)-1)*_xlpm.dCfo_ϵ__ds_b + (1+$L$11/(2*$L$10+$L$11))*(_xlpm.dCfo_ϵ__dt_b + _xlpm.dCf_ϵ__dt_b) + 2*($L$12/(2*$L$10+$L$11)+1-$L$11/(2*$L$10+$L$11))/(1-$L$11/(2*$L$10+$L$11))^2 ),
   _xlpm.Rsmooth_odd, _xlpm.alpha_co * (2*IMABS(AD$25)),
   _xlpm.Rsmooth_odd
)</f>
        <v>79.965191359989717</v>
      </c>
      <c r="AE23" s="119">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1/((0.000001*AE$21)*('Material Modeler'!$H$1/(1+'Material Modeler'!$M$3*($AB$19-'Material Modeler'!$H$2)))),
   _xlpm.alpha_co, ((2*_xlpm.Rs*AE$19*IMABS(AE$25))/(((2*$L$10+$L$11)*0.000001)*(120*PI())^2)) * (($L$13/(2*$L$10+$L$11)-1)*_xlpm.dCfo_ϵ__ds_b + (1+$L$11/(2*$L$10+$L$11))*(_xlpm.dCfo_ϵ__dt_b + _xlpm.dCf_ϵ__dt_b) + 2*($L$12/(2*$L$10+$L$11)+1-$L$11/(2*$L$10+$L$11))/(1-$L$11/(2*$L$10+$L$11))^2 ),
   _xlpm.Rsmooth_odd, _xlpm.alpha_co * (2*IMABS(AE$25)),
   _xlpm.Rsmooth_odd
)</f>
        <v>126.4339985860539</v>
      </c>
      <c r="AF23" s="119">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1/((0.000001*AF$21)*('Material Modeler'!$H$1/(1+'Material Modeler'!$M$3*($AB$19-'Material Modeler'!$H$2)))),
   _xlpm.alpha_co, ((2*_xlpm.Rs*AF$19*IMABS(AF$25))/(((2*$L$10+$L$11)*0.000001)*(120*PI())^2)) * (($L$13/(2*$L$10+$L$11)-1)*_xlpm.dCfo_ϵ__ds_b + (1+$L$11/(2*$L$10+$L$11))*(_xlpm.dCfo_ϵ__dt_b + _xlpm.dCf_ϵ__dt_b) + 2*($L$12/(2*$L$10+$L$11)+1-$L$11/(2*$L$10+$L$11))/(1-$L$11/(2*$L$10+$L$11))^2 ),
   _xlpm.Rsmooth_odd, _xlpm.alpha_co * (2*IMABS(AF$25)),
   _xlpm.Rsmooth_odd
)</f>
        <v>178.80380261280064</v>
      </c>
      <c r="AG23" s="119">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1/((0.000001*AG$21)*('Material Modeler'!$H$1/(1+'Material Modeler'!$M$3*($AB$19-'Material Modeler'!$H$2)))),
   _xlpm.alpha_co, ((2*_xlpm.Rs*AG$19*IMABS(AG$25))/(((2*$L$10+$L$11)*0.000001)*(120*PI())^2)) * (($L$13/(2*$L$10+$L$11)-1)*_xlpm.dCfo_ϵ__ds_b + (1+$L$11/(2*$L$10+$L$11))*(_xlpm.dCfo_ϵ__dt_b + _xlpm.dCf_ϵ__dt_b) + 2*($L$12/(2*$L$10+$L$11)+1-$L$11/(2*$L$10+$L$11))/(1-$L$11/(2*$L$10+$L$11))^2 ),
   _xlpm.Rsmooth_odd, _xlpm.alpha_co * (2*IMABS(AG$25)),
   _xlpm.Rsmooth_odd
)</f>
        <v>218.99396575625016</v>
      </c>
      <c r="AH23" s="144">
        <f xml:space="preserve"> _xlfn.LET(
   _xlpm.Cf0__ϵ, 2*LN(2)/PI(),
   _xlpm.Cft__ϵ, 1/PI()*((2/(1-$L$11/(2*$L$10+$L$11)))*LN((1/(1-$L$11/(2*$L$10+$L$11)))+1)-((1/(1-$L$11/(2*$L$10+$L$11)))-1)*LN((1/(1-$L$11/(2*$L$10+$L$11)))^2-1)),
   _xlpm.Cfo0s__ϵ, (2/PI()) * LN(1 + _xlfn.COTH(PI()*$L$13/(2*(2*$L$10+$L$11)))),
   _xlpm.dCf_ϵ__dt_b, (1/PI()) * (
       (2/(1-$L$11/(2*$L$10+$L$11))^2)*LN(1/(1-$L$11/(2*$L$10+$L$11))+1)
      +(2/(1-$L$11/(2*$L$10+$L$11)))*(1/((1/(1-$L$11/(2*$L$10+$L$11)))+1))*(1/(1-$L$11/(2*$L$10+$L$11))^2)
      -(1/(1-$L$11/(2*$L$10+$L$11))^2)*LN((1/(1-$L$11/(2*$L$10+$L$11))^2)-1)
      +((1/(1-$L$11/(2*$L$10+$L$11)))-1)*(2/(1-$L$11/(2*$L$10+$L$11))^3)/((1/(1-$L$11/(2*$L$10+$L$11))^2)-1) ),
   _xlpm.dCfo_ϵ__dt_b, _xlpm.Cfo0s__ϵ/_xlpm.Cf0__ϵ * _xlpm.dCf_ϵ__dt_b,
   _xlpm.dCfo_ϵ__ds_b, - (_xlpm.Cft__ϵ / _xlpm.Cf0__ϵ) * (_xlfn.CSCH(PI()*$L$13/(2*(2*$L$10+$L$11))))^2/(1 + _xlfn.COTH(PI()*$L$13/(2*(2*$L$10+$L$11)))),
   _xlpm.Rs, 1/((0.000001*AH$21)*('Material Modeler'!$H$1/(1+'Material Modeler'!$M$3*($AB$19-'Material Modeler'!$H$2)))),
   _xlpm.alpha_co, ((2*_xlpm.Rs*AH$19*IMABS(AH$25))/(((2*$L$10+$L$11)*0.000001)*(120*PI())^2)) * (($L$13/(2*$L$10+$L$11)-1)*_xlpm.dCfo_ϵ__ds_b + (1+$L$11/(2*$L$10+$L$11))*(_xlpm.dCfo_ϵ__dt_b + _xlpm.dCf_ϵ__dt_b) + 2*($L$12/(2*$L$10+$L$11)+1-$L$11/(2*$L$10+$L$11))/(1-$L$11/(2*$L$10+$L$11))^2 ),
   _xlpm.Rsmooth_odd, _xlpm.alpha_co * (2*IMABS(AH$25)),
   _xlpm.Rsmooth_odd
)</f>
        <v>252.86810257200662</v>
      </c>
      <c r="AI23" s="251"/>
      <c r="AK23" s="143" t="s">
        <v>147</v>
      </c>
      <c r="AL23" s="256"/>
      <c r="AM23" s="188">
        <f t="shared" si="8"/>
        <v>3.6318218330757999</v>
      </c>
      <c r="AN23" s="188">
        <f t="shared" si="9"/>
        <v>5.1361716924585199</v>
      </c>
      <c r="AO23" s="188">
        <f t="shared" si="9"/>
        <v>8.1210517811659209</v>
      </c>
      <c r="AP23" s="188">
        <f t="shared" si="9"/>
        <v>11.4850541365126</v>
      </c>
      <c r="AQ23" s="188">
        <f t="shared" si="9"/>
        <v>14.06594018769</v>
      </c>
      <c r="AR23" s="189">
        <f t="shared" si="9"/>
        <v>16.260480614393899</v>
      </c>
      <c r="AT23" s="143" t="s">
        <v>147</v>
      </c>
      <c r="AU23" s="256"/>
      <c r="AV23" s="188">
        <f t="shared" si="7"/>
        <v>5.0207024089122703</v>
      </c>
      <c r="AW23" s="188">
        <f t="shared" si="1"/>
        <v>7.1003454393229903</v>
      </c>
      <c r="AX23" s="188">
        <f t="shared" si="1"/>
        <v>11.2261261011434</v>
      </c>
      <c r="AY23" s="188">
        <f t="shared" si="1"/>
        <v>15.8776925884953</v>
      </c>
      <c r="AZ23" s="188">
        <f t="shared" si="1"/>
        <v>19.447639632134401</v>
      </c>
      <c r="BA23" s="189">
        <f t="shared" si="1"/>
        <v>22.449434543421798</v>
      </c>
    </row>
    <row r="24" spans="7:53" x14ac:dyDescent="0.55000000000000004">
      <c r="G24" s="143" t="s">
        <v>149</v>
      </c>
      <c r="H24" s="256"/>
      <c r="I24" s="134" t="str">
        <f t="shared" ref="I24:N24" si="10">_xlfn.LET(
   _xlpm.decimal_digits, 3,
   _xlpm.k, _xlfn.SECH((PI()*$K$12)/(4*$K$10)),
   _xlpm.k_, TANH((PI()*$K$12)/(4*$K$10)),
   _xlpm.ke, TANH((PI()*$K$12)/(4*$K$10))*TANH(PI()*($K$12+$K$13)/(4*$K$10)),
   _xlpm.ke_, SQRT(1-_xlpm.ke^2),
   _xlpm.ϵr, COMPLEX(I$19, I$19*I$20),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1/PI()*((2/(1-$K$11/(2*$K$10+$K$11)))*LN((1/(1-$K$11/(2*$K$10+$K$11)))+1)-((($K$11/(2*$K$10+$K$11))/(1-$K$11/(2*$K$10+$K$11))))*LN((1/(1-$K$11/(2*$K$10+$K$11)))^2-1)),
   _xlpm.Cf0__ϵ, 1/PI()*2*LN(2),
   _xlpm.Zo_even_wts, IMDIV(1, IMSUB(IMDIV(1,_xlpm.Zo_wt), IMPRODUCT((_xlpm.Cft__ϵ/_xlpm.Cf0__ϵ),(IMSUB(IMDIV(1,_xlpm.Zo_w0),IMDIV(1,_xlpm.Zo_even_w0s)))) ) ),
   _xlpm.result, _xlpm.Zo_even_wts,
   COMPLEX(ROUND(IMREAL(_xlpm.result),_xlpm.decimal_digits), ROUND(IMAGINARY(_xlpm.result),_xlpm.decimal_digits))
)</f>
        <v>60.865-0.061i</v>
      </c>
      <c r="J24" s="134" t="str">
        <f t="shared" si="10"/>
        <v>60.865-0.061i</v>
      </c>
      <c r="K24" s="134" t="str">
        <f t="shared" si="10"/>
        <v>60.855-0.061i</v>
      </c>
      <c r="L24" s="134" t="str">
        <f t="shared" si="10"/>
        <v>60.876-0.061i</v>
      </c>
      <c r="M24" s="134" t="str">
        <f t="shared" si="10"/>
        <v>60.897-0.061i</v>
      </c>
      <c r="N24" s="145" t="str">
        <f t="shared" si="10"/>
        <v>60.93-0.061i</v>
      </c>
      <c r="O24" s="251"/>
      <c r="Q24" s="143" t="s">
        <v>149</v>
      </c>
      <c r="R24" s="262"/>
      <c r="S24" s="134" t="str">
        <f t="shared" ref="S24:X24" si="11">_xlfn.LET(
   _xlpm.decimal_digits, 3,
   _xlpm.k, _xlfn.SECH((PI()*$I$12)/(4*$I$10)),
   _xlpm.k_, TANH((PI()*$I$12)/(4*$I$10)),
   _xlpm.ke, TANH((PI()*$I$12)/(4*$I$10))*TANH(PI()*($I$12+$I$13)/(4*$I$10)),
   _xlpm.ke_, SQRT(1-_xlpm.ke^2),
   _xlpm.ϵr, COMPLEX(S$19, S$19*S$20),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1/PI()*((2/(1-$I$11/(2*$I$10+$I$11)))*LN((1/(1-$I$11/(2*$I$10+$I$11)))+1)-((($I$11/(2*$I$10+$I$11))/(1-$I$11/(2*$I$10+$I$11))))*LN((1/(1-$I$11/(2*$I$10+$I$11)))^2-1)),
   _xlpm.Cf0__ϵ, 1/PI()*2*LN(2),
   _xlpm.Zo_even_wts, IMDIV(1, IMSUB(IMDIV(1,_xlpm.Zo_wt), IMPRODUCT((_xlpm.Cft__ϵ/_xlpm.Cf0__ϵ),(IMSUB(IMDIV(1,_xlpm.Zo_w0),IMDIV(1,_xlpm.Zo_even_w0s)))) ) ),
   _xlpm.result, _xlpm.Zo_even_wts,
   COMPLEX(ROUND(IMREAL(_xlpm.result),_xlpm.decimal_digits), ROUND(IMAGINARY(_xlpm.result),_xlpm.decimal_digits))
)</f>
        <v>69.265-0.062i</v>
      </c>
      <c r="T24" s="134" t="str">
        <f t="shared" si="11"/>
        <v>69.265-0.062i</v>
      </c>
      <c r="U24" s="134" t="str">
        <f t="shared" si="11"/>
        <v>69.249-0.062i</v>
      </c>
      <c r="V24" s="134" t="str">
        <f t="shared" si="11"/>
        <v>69.282-0.062i</v>
      </c>
      <c r="W24" s="134" t="str">
        <f t="shared" si="11"/>
        <v>69.314-0.062i</v>
      </c>
      <c r="X24" s="145" t="str">
        <f t="shared" si="11"/>
        <v>69.364-0.062i</v>
      </c>
      <c r="Y24" s="251"/>
      <c r="AA24" s="143" t="s">
        <v>149</v>
      </c>
      <c r="AB24" s="256"/>
      <c r="AC24" s="134" t="str">
        <f t="shared" ref="AC24:AH24" si="12">_xlfn.LET(
   _xlpm.decimal_digits, 3,
   _xlpm.k, _xlfn.SECH((PI()*$L$12)/(4*$L$10)),
   _xlpm.k_, TANH((PI()*$L$12)/(4*$L$10)),
   _xlpm.ke, TANH((PI()*$L$12)/(4*$L$10))*TANH(PI()*($L$12+$L$13)/(4*$L$10)),
   _xlpm.ke_, SQRT(1-_xlpm.ke^2),
   _xlpm.ϵr, COMPLEX(AC$19, AC$19*AC$20),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_xlpm.Zo_even_w0s, IMDIV( (30*PI()) * (
     (1+(1/4)*_xlpm.ke_^2+(9/64)*_xlpm.ke_^4+(25/256)*_xlpm.ke_^6+(1225/16384)*_xlpm.ke_^8+(3969/65536)*_xlpm.ke_^10+(11025/262144)*_xlpm.ke_^12)/
     (1+(1/4)*_xlpm.ke^2 +(9/64)*_xlpm.ke^4 +(25/256)*_xlpm.ke^6 +(1225/16384)*_xlpm.ke^8 +(3969/65536)*_xlpm.ke^10 +(11025/262144)*_xlpm.ke^12)), IMSQRT(_xlpm.ϵr) ),
   _xlpm.Cft__ϵ, 1/PI()*((2/(1-$L$11/(2*$L$10+$L$11)))*LN((1/(1-$L$11/(2*$L$10+$L$11)))+1)-((($L$11/(2*$L$10+$L$11))/(1-$L$11/(2*$L$10+$L$11))))*LN((1/(1-$L$11/(2*$L$10+$L$11)))^2-1)),
   _xlpm.Cf0__ϵ, 1/PI()*2*LN(2),
   _xlpm.Zo_even_wts, IMDIV(1, IMSUB(IMDIV(1,_xlpm.Zo_wt), IMPRODUCT((_xlpm.Cft__ϵ/_xlpm.Cf0__ϵ),(IMSUB(IMDIV(1,_xlpm.Zo_w0),IMDIV(1,_xlpm.Zo_even_w0s)))) ) ),
   _xlpm.result, _xlpm.Zo_even_wts,
   COMPLEX(ROUND(IMREAL(_xlpm.result),_xlpm.decimal_digits), ROUND(IMAGINARY(_xlpm.result),_xlpm.decimal_digits))
)</f>
        <v>77.588-0.06i</v>
      </c>
      <c r="AD24" s="134" t="str">
        <f t="shared" si="12"/>
        <v>77.588-0.06i</v>
      </c>
      <c r="AE24" s="134" t="str">
        <f t="shared" si="12"/>
        <v>77.566-0.06i</v>
      </c>
      <c r="AF24" s="134" t="str">
        <f t="shared" si="12"/>
        <v>77.611-0.06i</v>
      </c>
      <c r="AG24" s="134" t="str">
        <f t="shared" si="12"/>
        <v>77.657-0.06i</v>
      </c>
      <c r="AH24" s="145" t="str">
        <f t="shared" si="12"/>
        <v>77.727-0.06i</v>
      </c>
      <c r="AI24" s="251"/>
      <c r="AK24" s="143" t="s">
        <v>149</v>
      </c>
      <c r="AL24" s="256"/>
      <c r="AM24" s="190" t="str">
        <f>IMSUB(S24,I24)</f>
        <v>8.4-0.001i</v>
      </c>
      <c r="AN24" s="190" t="str">
        <f t="shared" ref="AN24:AR24" si="13">IMSUB(T24,J24)</f>
        <v>8.4-0.001i</v>
      </c>
      <c r="AO24" s="190" t="str">
        <f t="shared" si="13"/>
        <v>8.394-0.001i</v>
      </c>
      <c r="AP24" s="190" t="str">
        <f t="shared" si="13"/>
        <v>8.406-0.001i</v>
      </c>
      <c r="AQ24" s="190" t="str">
        <f t="shared" si="13"/>
        <v>8.41699999999999-0.001i</v>
      </c>
      <c r="AR24" s="191" t="str">
        <f t="shared" si="13"/>
        <v>8.434-0.001i</v>
      </c>
      <c r="AT24" s="143" t="s">
        <v>149</v>
      </c>
      <c r="AU24" s="256"/>
      <c r="AV24" s="190" t="str">
        <f>IMSUB(AC24,S24)</f>
        <v>8.32299999999999+0.002i</v>
      </c>
      <c r="AW24" s="190" t="str">
        <f t="shared" ref="AW24" si="14">IMSUB(AD24,T24)</f>
        <v>8.32299999999999+0.002i</v>
      </c>
      <c r="AX24" s="190" t="str">
        <f t="shared" ref="AX24" si="15">IMSUB(AE24,U24)</f>
        <v>8.31700000000001+0.002i</v>
      </c>
      <c r="AY24" s="190" t="str">
        <f t="shared" ref="AY24" si="16">IMSUB(AF24,V24)</f>
        <v>8.32900000000001+0.002i</v>
      </c>
      <c r="AZ24" s="190" t="str">
        <f t="shared" ref="AZ24" si="17">IMSUB(AG24,W24)</f>
        <v>8.343+0.002i</v>
      </c>
      <c r="BA24" s="191" t="str">
        <f t="shared" ref="BA24" si="18">IMSUB(AH24,X24)</f>
        <v>8.363+0.002i</v>
      </c>
    </row>
    <row r="25" spans="7:53" x14ac:dyDescent="0.55000000000000004">
      <c r="G25" s="143" t="s">
        <v>152</v>
      </c>
      <c r="H25" s="256"/>
      <c r="I25" s="134" t="str">
        <f>_xlfn.LET(
   _xlpm.decimal_digits, 3,
   _xlpm.k, _xlfn.SECH((PI()*$K$12)/(4*$K$10)),
   _xlpm.k_, TANH((PI()*$K$12)/(4*$K$10)),
   _xlpm.ko, TANH((PI()*$K$12)/(4*$K$10))*_xlfn.COTH(PI()*($K$12+$K$13)/(4*$K$10)),
   _xlpm.ko_, SQRT(1-_xlpm.ko^2),
   _xlpm.ϵr, COMPLEX(I$19, I$19*I$20),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44.253-0.043i</v>
      </c>
      <c r="J25" s="134" t="str">
        <f t="shared" ref="J25:N25" si="19">_xlfn.LET(
   _xlpm.decimal_digits, 3,
   _xlpm.k, _xlfn.SECH((PI()*$K$12)/(4*$K$10)),
   _xlpm.k_, TANH((PI()*$K$12)/(4*$K$10)),
   _xlpm.ko, TANH((PI()*$K$12)/(4*$K$10))*_xlfn.COTH(PI()*($K$12+$K$13)/(4*$K$10)),
   _xlpm.ko_, SQRT(1-_xlpm.ko^2),
   _xlpm.ϵr, COMPLEX(J$19, J$19*J$20),
   _xlpm.dw_t, 1/PI()*(1-0.5*LN((1/(2*(2*$K$10+$K$11)/$K$11+1))^2 + ((1/(4*PI()))/($K$12/$K$11+1.1))^(6/(3 + 2*$K$11/(2*$K$10+$K$11))))),
   _xlpm.w_,  $K$12 + _xlpm.dw_t*$K$11,
   _xlpm.Zo_wt, IMDIV( (60*PI()) * LN(1+0.5*(8/PI()*(2*$K$10+$K$11)/_xlpm.w_)*((8/PI()*(2*$K$10+$K$11)/_xlpm.w_)+SQRT((8/PI()*(2*$K$10+$K$11)/_xlpm.w_)^2+6.27))),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1/PI()*((2/(1-$K$11/(2*$K$10+$K$11)))*LN((1/(1-$K$11/(2*$K$10+$K$11)))+1)-((($K$11/(2*$K$10+$K$11))/(1-$K$11/(2*$K$10+$K$11))))*LN((1/(1-$K$11/(2*$K$10+$K$11)))^2-1)),
   _xlpm.Cf0__ϵ, 1/PI()*2*LN(2),
   _xlpm.Zo_odd_wts, IF($K$13/$K$11&gt;=5,
                  IMDIV(1,IMSUM(IMDIV(1,_xlpm.Zo_wt), IMPRODUCT((_xlpm.Cft__ϵ/_xlpm.Cf0__ϵ),(IMSUB(IMDIV(1,_xlpm.Zo_odd_w0s), IMDIV(1,_xlpm.Zo_w0)))))),
                  IMDIV(1,IMSUM(IMDIV(1,_xlpm.Zo_odd_w0s), IMSUB(IMDIV(1,_xlpm.Zo_wt),IMDIV(1,_xlpm.Zo_w0)), - 2/(120*PI())*(_xlpm.Cft__ϵ-_xlpm.Cf0__ϵ), (2*$K$11)/(120*PI()*$K$13))) ),
   _xlpm.result, IMPRODUCT(_xlpm.Zo_odd_wts, 46.78/49.23),
   COMPLEX(ROUND(IMREAL(_xlpm.result),_xlpm.decimal_digits), ROUND(IMAGINARY(_xlpm.result),_xlpm.decimal_digits))
)</f>
        <v>44.253-0.043i</v>
      </c>
      <c r="K25" s="134" t="str">
        <f t="shared" si="19"/>
        <v>44.245-0.043i</v>
      </c>
      <c r="L25" s="134" t="str">
        <f t="shared" si="19"/>
        <v>44.26-0.043i</v>
      </c>
      <c r="M25" s="134" t="str">
        <f t="shared" si="19"/>
        <v>44.276-0.043i</v>
      </c>
      <c r="N25" s="145" t="str">
        <f t="shared" si="19"/>
        <v>44.298-0.043i</v>
      </c>
      <c r="O25" s="251"/>
      <c r="Q25" s="143" t="s">
        <v>152</v>
      </c>
      <c r="R25" s="262"/>
      <c r="S25" s="134" t="str">
        <f>_xlfn.LET(
   _xlpm.decimal_digits, 3,
   _xlpm.k, _xlfn.SECH((PI()*$I$12)/(4*$I$10)),
   _xlpm.k_, TANH((PI()*$I$12)/(4*$I$10)),
   _xlpm.ko, TANH((PI()*$I$12)/(4*$I$10))*_xlfn.COTH(PI()*($I$12+$I$13)/(4*$I$10)),
   _xlpm.ko_, SQRT(1-_xlpm.ko^2),
   _xlpm.ϵr, COMPLEX(S$19, S$19*S$20),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49.95-0.045i</v>
      </c>
      <c r="T25" s="134" t="str">
        <f t="shared" ref="T25:X25" si="20">_xlfn.LET(
   _xlpm.decimal_digits, 3,
   _xlpm.k, _xlfn.SECH((PI()*$I$12)/(4*$I$10)),
   _xlpm.k_, TANH((PI()*$I$12)/(4*$I$10)),
   _xlpm.ko, TANH((PI()*$I$12)/(4*$I$10))*_xlfn.COTH(PI()*($I$12+$I$13)/(4*$I$10)),
   _xlpm.ko_, SQRT(1-_xlpm.ko^2),
   _xlpm.ϵr, COMPLEX(T$19, T$19*T$20),
   _xlpm.dw_t, 1/PI()*(1-0.5*LN((1/(2*(2*$I$10+$I$11)/$I$11+1))^2 + ((1/(4*PI()))/($I$12/$I$11+1.1))^(6/(3 + 2*$I$11/(2*$I$10+$I$11))))),
   _xlpm.w_,  $I$12 + _xlpm.dw_t*$I$11,
   _xlpm.Zo_wt, IMDIV( (60*PI()) * LN(1+0.5*(8/PI()*(2*$I$10+$I$11)/_xlpm.w_)*((8/PI()*(2*$I$10+$I$11)/_xlpm.w_)+SQRT((8/PI()*(2*$I$10+$I$11)/_xlpm.w_)^2+6.27))),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1/PI()*((2/(1-$I$11/(2*$I$10+$I$11)))*LN((1/(1-$I$11/(2*$I$10+$I$11)))+1)-((($I$11/(2*$I$10+$I$11))/(1-$I$11/(2*$I$10+$I$11))))*LN((1/(1-$I$11/(2*$I$10+$I$11)))^2-1)),
   _xlpm.Cf0__ϵ, 1/PI()*2*LN(2),
   _xlpm.Zo_odd_wts, IF($I$13/$I$11&gt;=5,
                  IMDIV(1,IMSUM(IMDIV(1,_xlpm.Zo_wt), IMPRODUCT((_xlpm.Cft__ϵ/_xlpm.Cf0__ϵ),(IMSUB(IMDIV(1,_xlpm.Zo_odd_w0s), IMDIV(1,_xlpm.Zo_w0)))))),
                  IMDIV(1,IMSUM(IMDIV(1,_xlpm.Zo_odd_w0s), IMSUB(IMDIV(1,_xlpm.Zo_wt),IMDIV(1,_xlpm.Zo_w0)), - 2/(120*PI())*(_xlpm.Cft__ϵ-_xlpm.Cf0__ϵ), (2*$I$11)/(120*PI()*$I$13))) ),
   _xlpm.result, IMPRODUCT(_xlpm.Zo_odd_wts, 46.78/49.23),
   COMPLEX(ROUND(IMREAL(_xlpm.result),_xlpm.decimal_digits), ROUND(IMAGINARY(_xlpm.result),_xlpm.decimal_digits))
)</f>
        <v>49.95-0.045i</v>
      </c>
      <c r="U25" s="134" t="str">
        <f t="shared" si="20"/>
        <v>49.938-0.045i</v>
      </c>
      <c r="V25" s="134" t="str">
        <f t="shared" si="20"/>
        <v>49.961-0.045i</v>
      </c>
      <c r="W25" s="134" t="str">
        <f t="shared" si="20"/>
        <v>49.985-0.045i</v>
      </c>
      <c r="X25" s="145" t="str">
        <f t="shared" si="20"/>
        <v>50.021-0.045i</v>
      </c>
      <c r="Y25" s="251"/>
      <c r="AA25" s="143" t="s">
        <v>152</v>
      </c>
      <c r="AB25" s="256"/>
      <c r="AC25" s="134" t="str">
        <f>_xlfn.LET(
   _xlpm.decimal_digits, 3,
   _xlpm.k, _xlfn.SECH((PI()*$L$12)/(4*$L$10)),
   _xlpm.k_, TANH((PI()*$L$12)/(4*$L$10)),
   _xlpm.ko, TANH((PI()*$L$12)/(4*$L$10))*_xlfn.COTH(PI()*($L$12+$L$13)/(4*$L$10)),
   _xlpm.ko_, SQRT(1-_xlpm.ko^2),
   _xlpm.ϵr, COMPLEX(AC$19, AC$19*AC$20),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56.199-0.044i</v>
      </c>
      <c r="AD25" s="134" t="str">
        <f t="shared" ref="AD25:AH25" si="21">_xlfn.LET(
   _xlpm.decimal_digits, 3,
   _xlpm.k, _xlfn.SECH((PI()*$L$12)/(4*$L$10)),
   _xlpm.k_, TANH((PI()*$L$12)/(4*$L$10)),
   _xlpm.ko, TANH((PI()*$L$12)/(4*$L$10))*_xlfn.COTH(PI()*($L$12+$L$13)/(4*$L$10)),
   _xlpm.ko_, SQRT(1-_xlpm.ko^2),
   _xlpm.ϵr, COMPLEX(AD$19, AD$19*AD$20),
   _xlpm.dw_t, 1/PI()*(1-0.5*LN((1/(2*(2*$L$10+$L$11)/$L$11+1))^2 + ((1/(4*PI()))/($L$12/$L$11+1.1))^(6/(3 + 2*$L$11/(2*$L$10+$L$11))))),
   _xlpm.w_,  $L$12 + _xlpm.dw_t*$L$11,
   _xlpm.Zo_wt, IMDIV( (60*PI()) * LN(1+0.5*(8/PI()*(2*$L$10+$L$11)/_xlpm.w_)*((8/PI()*(2*$L$10+$L$11)/_xlpm.w_)+SQRT((8/PI()*(2*$L$10+$L$11)/_xlpm.w_)^2+6.27))),
                 (IMPRODUCT(2*PI(),IMSQRT(_xlpm.ϵr))) ),
   _xlpm.Zo_w0, IMDIV( (30*PI()) * (
     (1+(1/4)*_xlpm.k^2 +(9/64)*_xlpm.k^4 +(25/256)*_xlpm.k^6 +(1225/16384)*_xlpm.k^8 +(3969/65536)*_xlpm.k^10 +(11025/262144)*_xlpm.k_^12)/
     (1+(1/4)*_xlpm.k_^2+(9/64)*_xlpm.k_^4+(25/256)*_xlpm.k_^6+(1225/16384)*_xlpm.k_^8+(3969/65536)*_xlpm.k_^10+(11025/262144)*_xlpm.k^12)), IMSQRT(_xlpm.ϵr) ),
   _xlpm.Zo_odd_w0s, IMDIV( (30*PI()) * (
     (1+(1/4)*_xlpm.ko_^2+(9/64)*_xlpm.ko_^4+(25/256)*_xlpm.ko_^6+(1225/16384)*_xlpm.ko_^8+(3969/65536)*_xlpm.ko_^10+(11025/262144)*_xlpm.ko_^12)/
     (1+(1/4)*_xlpm.ko^2 +(9/64)*_xlpm.ko^4 +(25/256)*_xlpm.ko^6 +(1225/16384)*_xlpm.ko^8 +(3969/65536)*_xlpm.ko^10 +(11025/262144)*_xlpm.ko^12)), IMSQRT(_xlpm.ϵr) ),
   _xlpm.Cft__ϵ, 1/PI()*((2/(1-$L$11/(2*$L$10+$L$11)))*LN((1/(1-$L$11/(2*$L$10+$L$11)))+1)-((($L$11/(2*$L$10+$L$11))/(1-$L$11/(2*$L$10+$L$11))))*LN((1/(1-$L$11/(2*$L$10+$L$11)))^2-1)),
   _xlpm.Cf0__ϵ, 1/PI()*2*LN(2),
   _xlpm.Zo_odd_wts, IF($L$13/$L$11&gt;=5,
                  IMDIV(1,IMSUM(IMDIV(1,_xlpm.Zo_wt), IMPRODUCT((_xlpm.Cft__ϵ/_xlpm.Cf0__ϵ),(IMSUB(IMDIV(1,_xlpm.Zo_odd_w0s), IMDIV(1,_xlpm.Zo_w0)))))),
                  IMDIV(1,IMSUM(IMDIV(1,_xlpm.Zo_odd_w0s), IMSUB(IMDIV(1,_xlpm.Zo_wt),IMDIV(1,_xlpm.Zo_w0)), - 2/(120*PI())*(_xlpm.Cft__ϵ-_xlpm.Cf0__ϵ), (2*$L$11)/(120*PI()*$L$13))) ),
   _xlpm.result, IMPRODUCT(_xlpm.Zo_odd_wts, 46.78/49.23),
   COMPLEX(ROUND(IMREAL(_xlpm.result),_xlpm.decimal_digits), ROUND(IMAGINARY(_xlpm.result),_xlpm.decimal_digits))
)</f>
        <v>56.199-0.044i</v>
      </c>
      <c r="AE25" s="134" t="str">
        <f t="shared" si="21"/>
        <v>56.182-0.044i</v>
      </c>
      <c r="AF25" s="134" t="str">
        <f t="shared" si="21"/>
        <v>56.215-0.044i</v>
      </c>
      <c r="AG25" s="134" t="str">
        <f t="shared" si="21"/>
        <v>56.249-0.044i</v>
      </c>
      <c r="AH25" s="145" t="str">
        <f t="shared" si="21"/>
        <v>56.299-0.044i</v>
      </c>
      <c r="AI25" s="251"/>
      <c r="AK25" s="143" t="s">
        <v>152</v>
      </c>
      <c r="AL25" s="256"/>
      <c r="AM25" s="190" t="str">
        <f>IMSUB(S25,I25)</f>
        <v>5.697-0.002i</v>
      </c>
      <c r="AN25" s="190" t="str">
        <f t="shared" ref="AN25" si="22">IMSUB(T25,J25)</f>
        <v>5.697-0.002i</v>
      </c>
      <c r="AO25" s="190" t="str">
        <f t="shared" ref="AO25" si="23">IMSUB(U25,K25)</f>
        <v>5.693-0.002i</v>
      </c>
      <c r="AP25" s="190" t="str">
        <f t="shared" ref="AP25" si="24">IMSUB(V25,L25)</f>
        <v>5.701-0.002i</v>
      </c>
      <c r="AQ25" s="190" t="str">
        <f t="shared" ref="AQ25" si="25">IMSUB(W25,M25)</f>
        <v>5.709-0.002i</v>
      </c>
      <c r="AR25" s="191" t="str">
        <f t="shared" ref="AR25" si="26">IMSUB(X25,N25)</f>
        <v>5.723-0.002i</v>
      </c>
      <c r="AT25" s="143" t="s">
        <v>152</v>
      </c>
      <c r="AU25" s="256"/>
      <c r="AV25" s="190" t="str">
        <f>IMSUB(AC25,S25)</f>
        <v>6.249+0.001i</v>
      </c>
      <c r="AW25" s="190" t="str">
        <f t="shared" ref="AW25:BA25" si="27">IMSUB(AD25,T25)</f>
        <v>6.249+0.001i</v>
      </c>
      <c r="AX25" s="190" t="str">
        <f t="shared" si="27"/>
        <v>6.244+0.001i</v>
      </c>
      <c r="AY25" s="190" t="str">
        <f t="shared" si="27"/>
        <v>6.254+0.001i</v>
      </c>
      <c r="AZ25" s="190" t="str">
        <f t="shared" si="27"/>
        <v>6.264+0.001i</v>
      </c>
      <c r="BA25" s="191" t="str">
        <f t="shared" si="27"/>
        <v>6.278+0.001i</v>
      </c>
    </row>
    <row r="26" spans="7:53" x14ac:dyDescent="0.55000000000000004">
      <c r="G26" s="62" t="s">
        <v>153</v>
      </c>
      <c r="H26" s="256"/>
      <c r="I26" s="59">
        <f t="shared" ref="I26:N26" si="28">2*IMABS(I25)</f>
        <v>88.506041782468159</v>
      </c>
      <c r="J26" s="59">
        <f t="shared" si="28"/>
        <v>88.506041782468159</v>
      </c>
      <c r="K26" s="59">
        <f t="shared" si="28"/>
        <v>88.4900417900229</v>
      </c>
      <c r="L26" s="59">
        <f t="shared" si="28"/>
        <v>88.52004177585998</v>
      </c>
      <c r="M26" s="59">
        <f t="shared" si="28"/>
        <v>88.552041760763501</v>
      </c>
      <c r="N26" s="64">
        <f t="shared" si="28"/>
        <v>88.596041740023594</v>
      </c>
      <c r="O26" s="58"/>
      <c r="Q26" s="62" t="s">
        <v>153</v>
      </c>
      <c r="R26" s="262"/>
      <c r="S26" s="59">
        <f>2*IMABS(S25)</f>
        <v>99.900040540532316</v>
      </c>
      <c r="T26" s="59">
        <f t="shared" ref="T26" si="29">2*IMABS(T25)</f>
        <v>99.900040540532316</v>
      </c>
      <c r="U26" s="59">
        <f t="shared" ref="U26" si="30">2*IMABS(U25)</f>
        <v>99.876040550274126</v>
      </c>
      <c r="V26" s="59">
        <f t="shared" ref="V26" si="31">2*IMABS(V25)</f>
        <v>99.922040531606427</v>
      </c>
      <c r="W26" s="59">
        <f t="shared" ref="W26" si="32">2*IMABS(W25)</f>
        <v>99.970040512145445</v>
      </c>
      <c r="X26" s="64">
        <f t="shared" ref="X26" si="33">2*IMABS(X25)</f>
        <v>100.04204048298894</v>
      </c>
      <c r="Y26" s="58"/>
      <c r="AA26" s="62" t="s">
        <v>153</v>
      </c>
      <c r="AB26" s="256"/>
      <c r="AC26" s="59">
        <f>2*IMABS(AC25)</f>
        <v>112.39803444900625</v>
      </c>
      <c r="AD26" s="59">
        <f t="shared" ref="AD26" si="34">2*IMABS(AD25)</f>
        <v>112.39803444900625</v>
      </c>
      <c r="AE26" s="59">
        <f t="shared" ref="AE26" si="35">2*IMABS(AE25)</f>
        <v>112.36403445943013</v>
      </c>
      <c r="AF26" s="59">
        <f t="shared" ref="AF26" si="36">2*IMABS(AF25)</f>
        <v>112.43003443920134</v>
      </c>
      <c r="AG26" s="59">
        <f t="shared" ref="AG26" si="37">2*IMABS(AG25)</f>
        <v>112.49803441838439</v>
      </c>
      <c r="AH26" s="64">
        <f t="shared" ref="AH26" si="38">2*IMABS(AH25)</f>
        <v>112.5980343878169</v>
      </c>
      <c r="AI26" s="58"/>
      <c r="AK26" s="109" t="s">
        <v>153</v>
      </c>
      <c r="AL26" s="256"/>
      <c r="AM26" s="115">
        <f t="shared" si="8"/>
        <v>11.3939987580642</v>
      </c>
      <c r="AN26" s="115">
        <f t="shared" si="9"/>
        <v>11.3939987580642</v>
      </c>
      <c r="AO26" s="115">
        <f t="shared" si="9"/>
        <v>11.3859987602512</v>
      </c>
      <c r="AP26" s="115">
        <f t="shared" si="9"/>
        <v>11.4019987557464</v>
      </c>
      <c r="AQ26" s="115">
        <f t="shared" si="9"/>
        <v>11.4179987513819</v>
      </c>
      <c r="AR26" s="116">
        <f t="shared" si="9"/>
        <v>11.445998742965299</v>
      </c>
      <c r="AT26" s="109" t="s">
        <v>153</v>
      </c>
      <c r="AU26" s="256"/>
      <c r="AV26" s="115">
        <f t="shared" si="7"/>
        <v>12.4979939084739</v>
      </c>
      <c r="AW26" s="115">
        <f t="shared" si="1"/>
        <v>12.4979939084739</v>
      </c>
      <c r="AX26" s="115">
        <f t="shared" si="1"/>
        <v>12.487993909156</v>
      </c>
      <c r="AY26" s="115">
        <f t="shared" si="1"/>
        <v>12.5079939075949</v>
      </c>
      <c r="AZ26" s="115">
        <f t="shared" si="1"/>
        <v>12.527993906238899</v>
      </c>
      <c r="BA26" s="116">
        <f t="shared" si="1"/>
        <v>12.555993904828</v>
      </c>
    </row>
    <row r="27" spans="7:53" x14ac:dyDescent="0.55000000000000004">
      <c r="G27" s="62" t="s">
        <v>155</v>
      </c>
      <c r="H27" s="256"/>
      <c r="I27" s="59">
        <f t="shared" ref="I27:N27" si="39">IMABS(I24)/2</f>
        <v>30.432515283821026</v>
      </c>
      <c r="J27" s="59">
        <f t="shared" si="39"/>
        <v>30.432515283821026</v>
      </c>
      <c r="K27" s="59">
        <f t="shared" si="39"/>
        <v>30.427515286332532</v>
      </c>
      <c r="L27" s="59">
        <f t="shared" si="39"/>
        <v>30.438015281059307</v>
      </c>
      <c r="M27" s="59">
        <f t="shared" si="39"/>
        <v>30.448515275789724</v>
      </c>
      <c r="N27" s="64">
        <f t="shared" si="39"/>
        <v>30.465015267516282</v>
      </c>
      <c r="O27" s="58"/>
      <c r="Q27" s="62" t="s">
        <v>155</v>
      </c>
      <c r="R27" s="262"/>
      <c r="S27" s="59">
        <f>IMABS(S24)/2</f>
        <v>34.632513874248289</v>
      </c>
      <c r="T27" s="59">
        <f t="shared" ref="T27:X27" si="40">IMABS(T24)/2</f>
        <v>34.632513874248289</v>
      </c>
      <c r="U27" s="59">
        <f t="shared" si="40"/>
        <v>34.624513877453936</v>
      </c>
      <c r="V27" s="59">
        <f t="shared" si="40"/>
        <v>34.641013870843906</v>
      </c>
      <c r="W27" s="59">
        <f t="shared" si="40"/>
        <v>34.657013864440195</v>
      </c>
      <c r="X27" s="64">
        <f t="shared" si="40"/>
        <v>34.682013854446225</v>
      </c>
      <c r="Y27" s="58"/>
      <c r="AA27" s="62" t="s">
        <v>155</v>
      </c>
      <c r="AB27" s="256"/>
      <c r="AC27" s="59">
        <f>IMABS(AC24)/2</f>
        <v>38.794011599730183</v>
      </c>
      <c r="AD27" s="59">
        <f t="shared" ref="AD27:AH27" si="41">IMABS(AD24)/2</f>
        <v>38.794011599730183</v>
      </c>
      <c r="AE27" s="59">
        <f t="shared" si="41"/>
        <v>38.783011603020206</v>
      </c>
      <c r="AF27" s="59">
        <f t="shared" si="41"/>
        <v>38.805511596292611</v>
      </c>
      <c r="AG27" s="59">
        <f t="shared" si="41"/>
        <v>38.828511589423563</v>
      </c>
      <c r="AH27" s="64">
        <f t="shared" si="41"/>
        <v>38.863511578986277</v>
      </c>
      <c r="AI27" s="58"/>
      <c r="AK27" s="109" t="s">
        <v>155</v>
      </c>
      <c r="AL27" s="256"/>
      <c r="AM27" s="115">
        <f t="shared" si="8"/>
        <v>4.1999985904272599</v>
      </c>
      <c r="AN27" s="115">
        <f t="shared" si="9"/>
        <v>4.1999985904272599</v>
      </c>
      <c r="AO27" s="115">
        <f t="shared" si="9"/>
        <v>4.1969985911213996</v>
      </c>
      <c r="AP27" s="115">
        <f t="shared" si="9"/>
        <v>4.2029985897845998</v>
      </c>
      <c r="AQ27" s="115">
        <f t="shared" si="9"/>
        <v>4.2084985886504702</v>
      </c>
      <c r="AR27" s="116">
        <f t="shared" si="9"/>
        <v>4.2169985869299396</v>
      </c>
      <c r="AT27" s="109" t="s">
        <v>155</v>
      </c>
      <c r="AU27" s="256"/>
      <c r="AV27" s="115">
        <f t="shared" si="7"/>
        <v>4.1614977254818903</v>
      </c>
      <c r="AW27" s="115">
        <f t="shared" si="1"/>
        <v>4.1614977254818903</v>
      </c>
      <c r="AX27" s="115">
        <f t="shared" si="1"/>
        <v>4.1584977255662698</v>
      </c>
      <c r="AY27" s="115">
        <f t="shared" si="1"/>
        <v>4.1644977254487001</v>
      </c>
      <c r="AZ27" s="115">
        <f t="shared" si="1"/>
        <v>4.1714977249833698</v>
      </c>
      <c r="BA27" s="116">
        <f t="shared" si="1"/>
        <v>4.1814977245400504</v>
      </c>
    </row>
    <row r="28" spans="7:53" x14ac:dyDescent="0.55000000000000004">
      <c r="G28" s="62" t="s">
        <v>157</v>
      </c>
      <c r="H28" s="256"/>
      <c r="I28" s="59">
        <f t="shared" ref="I28:N28" si="42">(IMABS(I24)+IMABS(I25))/2</f>
        <v>52.559025729438062</v>
      </c>
      <c r="J28" s="59">
        <f t="shared" si="42"/>
        <v>52.559025729438062</v>
      </c>
      <c r="K28" s="59">
        <f t="shared" si="42"/>
        <v>52.550025733838254</v>
      </c>
      <c r="L28" s="59">
        <f t="shared" si="42"/>
        <v>52.568025725024299</v>
      </c>
      <c r="M28" s="59">
        <f t="shared" si="42"/>
        <v>52.586525715980599</v>
      </c>
      <c r="N28" s="64">
        <f t="shared" si="42"/>
        <v>52.614025702522184</v>
      </c>
      <c r="Q28" s="62" t="s">
        <v>157</v>
      </c>
      <c r="R28" s="262"/>
      <c r="S28" s="59">
        <f>(IMABS(S24)+IMABS(S25))/2</f>
        <v>59.607524009381365</v>
      </c>
      <c r="T28" s="59">
        <f t="shared" ref="T28:X28" si="43">(IMABS(T24)+IMABS(T25))/2</f>
        <v>59.607524009381365</v>
      </c>
      <c r="U28" s="59">
        <f t="shared" si="43"/>
        <v>59.593524015022467</v>
      </c>
      <c r="V28" s="59">
        <f t="shared" si="43"/>
        <v>59.621524003745513</v>
      </c>
      <c r="W28" s="59">
        <f t="shared" si="43"/>
        <v>59.64952399247656</v>
      </c>
      <c r="X28" s="64">
        <f t="shared" si="43"/>
        <v>59.69252397519346</v>
      </c>
      <c r="AA28" s="62" t="s">
        <v>157</v>
      </c>
      <c r="AB28" s="256"/>
      <c r="AC28" s="59">
        <f>(IMABS(AC24)+IMABS(AC25))/2</f>
        <v>66.893520211981752</v>
      </c>
      <c r="AD28" s="59">
        <f t="shared" ref="AD28:AH28" si="44">(IMABS(AD24)+IMABS(AD25))/2</f>
        <v>66.893520211981752</v>
      </c>
      <c r="AE28" s="59">
        <f t="shared" si="44"/>
        <v>66.874020217877742</v>
      </c>
      <c r="AF28" s="59">
        <f t="shared" si="44"/>
        <v>66.913020206092938</v>
      </c>
      <c r="AG28" s="59">
        <f t="shared" si="44"/>
        <v>66.953020194019658</v>
      </c>
      <c r="AH28" s="64">
        <f t="shared" si="44"/>
        <v>67.013020175940497</v>
      </c>
      <c r="AK28" s="109" t="s">
        <v>157</v>
      </c>
      <c r="AL28" s="256"/>
      <c r="AM28" s="115">
        <f t="shared" si="8"/>
        <v>7.0484982799433</v>
      </c>
      <c r="AN28" s="115">
        <f t="shared" si="9"/>
        <v>7.0484982799433</v>
      </c>
      <c r="AO28" s="115">
        <f t="shared" si="9"/>
        <v>7.0434982811842097</v>
      </c>
      <c r="AP28" s="115">
        <f t="shared" si="9"/>
        <v>7.0534982787212099</v>
      </c>
      <c r="AQ28" s="115">
        <f t="shared" si="9"/>
        <v>7.0629982764959598</v>
      </c>
      <c r="AR28" s="116">
        <f t="shared" si="9"/>
        <v>7.07849827267128</v>
      </c>
      <c r="AT28" s="109" t="s">
        <v>157</v>
      </c>
      <c r="AU28" s="256"/>
      <c r="AV28" s="115">
        <f t="shared" si="7"/>
        <v>7.2859962026003897</v>
      </c>
      <c r="AW28" s="115">
        <f t="shared" si="1"/>
        <v>7.2859962026003897</v>
      </c>
      <c r="AX28" s="115">
        <f t="shared" si="1"/>
        <v>7.2804962028552804</v>
      </c>
      <c r="AY28" s="115">
        <f t="shared" si="1"/>
        <v>7.2914962023474201</v>
      </c>
      <c r="AZ28" s="115">
        <f t="shared" si="1"/>
        <v>7.3034962015431004</v>
      </c>
      <c r="BA28" s="116">
        <f t="shared" si="1"/>
        <v>7.3204962007470398</v>
      </c>
    </row>
    <row r="29" spans="7:53" x14ac:dyDescent="0.55000000000000004">
      <c r="G29" s="62" t="s">
        <v>159</v>
      </c>
      <c r="H29" s="256"/>
      <c r="I29" s="59">
        <f t="shared" ref="I29:N29" si="45">(IMABS(I24)-IMABS(I25))/2</f>
        <v>8.3060048382039859</v>
      </c>
      <c r="J29" s="59">
        <f t="shared" si="45"/>
        <v>8.3060048382039859</v>
      </c>
      <c r="K29" s="59">
        <f t="shared" si="45"/>
        <v>8.3050048388268074</v>
      </c>
      <c r="L29" s="59">
        <f t="shared" si="45"/>
        <v>8.3080048370943125</v>
      </c>
      <c r="M29" s="59">
        <f t="shared" si="45"/>
        <v>8.3105048355988487</v>
      </c>
      <c r="N29" s="64">
        <f t="shared" si="45"/>
        <v>8.3160048325103837</v>
      </c>
      <c r="Q29" s="62" t="s">
        <v>159</v>
      </c>
      <c r="R29" s="262"/>
      <c r="S29" s="59">
        <f>(IMABS(S24)-IMABS(S25))/2</f>
        <v>9.6575037391152101</v>
      </c>
      <c r="T29" s="59">
        <f t="shared" ref="T29:X29" si="46">(IMABS(T24)-IMABS(T25))/2</f>
        <v>9.6575037391152101</v>
      </c>
      <c r="U29" s="59">
        <f t="shared" si="46"/>
        <v>9.655503739885404</v>
      </c>
      <c r="V29" s="59">
        <f t="shared" si="46"/>
        <v>9.6605037379422996</v>
      </c>
      <c r="W29" s="59">
        <f t="shared" si="46"/>
        <v>9.6645037364038338</v>
      </c>
      <c r="X29" s="64">
        <f t="shared" si="46"/>
        <v>9.6715037336989909</v>
      </c>
      <c r="AA29" s="62" t="s">
        <v>159</v>
      </c>
      <c r="AB29" s="256"/>
      <c r="AC29" s="59">
        <f>(IMABS(AC24)-IMABS(AC25))/2</f>
        <v>10.694502987478621</v>
      </c>
      <c r="AD29" s="59">
        <f t="shared" ref="AD29:AH29" si="47">(IMABS(AD24)-IMABS(AD25))/2</f>
        <v>10.694502987478621</v>
      </c>
      <c r="AE29" s="59">
        <f t="shared" si="47"/>
        <v>10.692002988162674</v>
      </c>
      <c r="AF29" s="59">
        <f t="shared" si="47"/>
        <v>10.698002986492277</v>
      </c>
      <c r="AG29" s="59">
        <f t="shared" si="47"/>
        <v>10.704002984827465</v>
      </c>
      <c r="AH29" s="64">
        <f t="shared" si="47"/>
        <v>10.714002982032053</v>
      </c>
      <c r="AK29" s="109" t="s">
        <v>159</v>
      </c>
      <c r="AL29" s="256"/>
      <c r="AM29" s="115">
        <f t="shared" si="8"/>
        <v>1.3514989009112199</v>
      </c>
      <c r="AN29" s="115">
        <f t="shared" si="9"/>
        <v>1.3514989009112199</v>
      </c>
      <c r="AO29" s="115">
        <f t="shared" si="9"/>
        <v>1.3504989010585999</v>
      </c>
      <c r="AP29" s="115">
        <f t="shared" si="9"/>
        <v>1.35249890084799</v>
      </c>
      <c r="AQ29" s="115">
        <f t="shared" si="9"/>
        <v>1.35399890080499</v>
      </c>
      <c r="AR29" s="116">
        <f t="shared" si="9"/>
        <v>1.3554989011886101</v>
      </c>
      <c r="AT29" s="109" t="s">
        <v>159</v>
      </c>
      <c r="AU29" s="256"/>
      <c r="AV29" s="115">
        <f t="shared" si="7"/>
        <v>1.0369992483634101</v>
      </c>
      <c r="AW29" s="115">
        <f t="shared" si="1"/>
        <v>1.0369992483634101</v>
      </c>
      <c r="AX29" s="115">
        <f t="shared" si="1"/>
        <v>1.0364992482772699</v>
      </c>
      <c r="AY29" s="115">
        <f t="shared" si="1"/>
        <v>1.0374992485499801</v>
      </c>
      <c r="AZ29" s="115">
        <f t="shared" si="1"/>
        <v>1.0394992484236301</v>
      </c>
      <c r="BA29" s="116">
        <f t="shared" si="1"/>
        <v>1.04249924833306</v>
      </c>
    </row>
    <row r="30" spans="7:53" x14ac:dyDescent="0.55000000000000004">
      <c r="G30" s="62" t="s">
        <v>161</v>
      </c>
      <c r="H30" s="256"/>
      <c r="I30" s="129">
        <f t="shared" ref="I30:N30" si="48">I29/I28</f>
        <v>0.15803194071673654</v>
      </c>
      <c r="J30" s="129">
        <f t="shared" si="48"/>
        <v>0.15803194071673654</v>
      </c>
      <c r="K30" s="129">
        <f t="shared" si="48"/>
        <v>0.1580399766289555</v>
      </c>
      <c r="L30" s="129">
        <f t="shared" si="48"/>
        <v>0.15804293051735058</v>
      </c>
      <c r="M30" s="129">
        <f t="shared" si="48"/>
        <v>0.15803487152742926</v>
      </c>
      <c r="N30" s="146">
        <f t="shared" si="48"/>
        <v>0.15805680560405655</v>
      </c>
      <c r="Q30" s="62" t="s">
        <v>161</v>
      </c>
      <c r="R30" s="262"/>
      <c r="S30" s="129">
        <f>S29/S28</f>
        <v>0.16201819987683533</v>
      </c>
      <c r="T30" s="129">
        <f t="shared" ref="T30" si="49">T29/T28</f>
        <v>0.16201819987683533</v>
      </c>
      <c r="U30" s="129">
        <f t="shared" ref="U30" si="50">U29/U28</f>
        <v>0.16202270128296867</v>
      </c>
      <c r="V30" s="129">
        <f t="shared" ref="V30" si="51">V29/V28</f>
        <v>0.16203047304418808</v>
      </c>
      <c r="W30" s="129">
        <f t="shared" ref="W30" si="52">W29/W28</f>
        <v>0.1620214729227813</v>
      </c>
      <c r="X30" s="146">
        <f t="shared" ref="X30" si="53">X29/X28</f>
        <v>0.16202202704174809</v>
      </c>
      <c r="AA30" s="62" t="s">
        <v>161</v>
      </c>
      <c r="AB30" s="256"/>
      <c r="AC30" s="129">
        <f>AC29/AC28</f>
        <v>0.15987352666728183</v>
      </c>
      <c r="AD30" s="129">
        <f t="shared" ref="AD30" si="54">AD29/AD28</f>
        <v>0.15987352666728183</v>
      </c>
      <c r="AE30" s="129">
        <f t="shared" ref="AE30" si="55">AE29/AE28</f>
        <v>0.15988276094853845</v>
      </c>
      <c r="AF30" s="129">
        <f t="shared" ref="AF30" si="56">AF29/AF28</f>
        <v>0.15987924253818306</v>
      </c>
      <c r="AG30" s="129">
        <f t="shared" ref="AG30" si="57">AG29/AG28</f>
        <v>0.1598733403483352</v>
      </c>
      <c r="AH30" s="146">
        <f t="shared" ref="AH30" si="58">AH29/AH28</f>
        <v>0.15987942274356218</v>
      </c>
      <c r="AK30" s="109" t="s">
        <v>161</v>
      </c>
      <c r="AL30" s="256"/>
      <c r="AM30" s="192">
        <f t="shared" si="8"/>
        <v>3.9862591600987899E-3</v>
      </c>
      <c r="AN30" s="192">
        <f t="shared" si="9"/>
        <v>3.9862591600987899E-3</v>
      </c>
      <c r="AO30" s="192">
        <f t="shared" si="9"/>
        <v>3.98272465401317E-3</v>
      </c>
      <c r="AP30" s="192">
        <f t="shared" si="9"/>
        <v>3.9875425268375E-3</v>
      </c>
      <c r="AQ30" s="192">
        <f t="shared" si="9"/>
        <v>3.9866013953520404E-3</v>
      </c>
      <c r="AR30" s="193">
        <f t="shared" si="9"/>
        <v>3.9652214376915398E-3</v>
      </c>
      <c r="AT30" s="109" t="s">
        <v>161</v>
      </c>
      <c r="AU30" s="256"/>
      <c r="AV30" s="192">
        <f t="shared" si="7"/>
        <v>2.1446732095535001E-3</v>
      </c>
      <c r="AW30" s="192">
        <f t="shared" si="1"/>
        <v>2.1446732095535001E-3</v>
      </c>
      <c r="AX30" s="192">
        <f t="shared" si="1"/>
        <v>2.13994033443021E-3</v>
      </c>
      <c r="AY30" s="192">
        <f t="shared" si="1"/>
        <v>2.1512305060050201E-3</v>
      </c>
      <c r="AZ30" s="192">
        <f t="shared" si="1"/>
        <v>2.1481325744461001E-3</v>
      </c>
      <c r="BA30" s="193">
        <f t="shared" si="1"/>
        <v>2.1426042981859102E-3</v>
      </c>
    </row>
    <row r="31" spans="7:53" x14ac:dyDescent="0.55000000000000004">
      <c r="G31" s="62" t="s">
        <v>163</v>
      </c>
      <c r="H31" s="256"/>
      <c r="I31" s="113">
        <f t="shared" ref="I31:N31" si="59">(IMABS(I24)-IMABS(I25))/(2*(IMABS(I24)+IMABS(I25)))</f>
        <v>7.901597035836827E-2</v>
      </c>
      <c r="J31" s="113">
        <f t="shared" si="59"/>
        <v>7.901597035836827E-2</v>
      </c>
      <c r="K31" s="113">
        <f t="shared" si="59"/>
        <v>7.9019988314477749E-2</v>
      </c>
      <c r="L31" s="113">
        <f t="shared" si="59"/>
        <v>7.9021465258675289E-2</v>
      </c>
      <c r="M31" s="113">
        <f t="shared" si="59"/>
        <v>7.901743576371463E-2</v>
      </c>
      <c r="N31" s="142">
        <f t="shared" si="59"/>
        <v>7.9028402802028275E-2</v>
      </c>
      <c r="P31" s="58"/>
      <c r="Q31" s="62" t="s">
        <v>163</v>
      </c>
      <c r="R31" s="262"/>
      <c r="S31" s="113">
        <f>(IMABS(S24)-IMABS(S25))/(2*(IMABS(S24)+IMABS(S25)))</f>
        <v>8.1009099938417664E-2</v>
      </c>
      <c r="T31" s="113">
        <f t="shared" ref="T31:X31" si="60">(IMABS(T24)-IMABS(T25))/(2*(IMABS(T24)+IMABS(T25)))</f>
        <v>8.1009099938417664E-2</v>
      </c>
      <c r="U31" s="113">
        <f t="shared" si="60"/>
        <v>8.1011350641484334E-2</v>
      </c>
      <c r="V31" s="113">
        <f t="shared" si="60"/>
        <v>8.1015236522094039E-2</v>
      </c>
      <c r="W31" s="113">
        <f t="shared" si="60"/>
        <v>8.1010736461390648E-2</v>
      </c>
      <c r="X31" s="142">
        <f t="shared" si="60"/>
        <v>8.1011013520874045E-2</v>
      </c>
      <c r="AA31" s="62" t="s">
        <v>163</v>
      </c>
      <c r="AB31" s="256"/>
      <c r="AC31" s="113">
        <f>(IMABS(AC24)-IMABS(AC25))/(2*(IMABS(AC24)+IMABS(AC25)))</f>
        <v>7.9936763333640914E-2</v>
      </c>
      <c r="AD31" s="113">
        <f t="shared" ref="AD31:AH31" si="61">(IMABS(AD24)-IMABS(AD25))/(2*(IMABS(AD24)+IMABS(AD25)))</f>
        <v>7.9936763333640914E-2</v>
      </c>
      <c r="AE31" s="113">
        <f t="shared" si="61"/>
        <v>7.9941380474269227E-2</v>
      </c>
      <c r="AF31" s="113">
        <f t="shared" si="61"/>
        <v>7.9939621269091529E-2</v>
      </c>
      <c r="AG31" s="113">
        <f t="shared" si="61"/>
        <v>7.9936670174167598E-2</v>
      </c>
      <c r="AH31" s="142">
        <f t="shared" si="61"/>
        <v>7.9939711371781089E-2</v>
      </c>
      <c r="AK31" s="109" t="s">
        <v>163</v>
      </c>
      <c r="AL31" s="256"/>
      <c r="AM31" s="115">
        <f t="shared" si="8"/>
        <v>1.9931295800493902E-3</v>
      </c>
      <c r="AN31" s="115">
        <f t="shared" si="9"/>
        <v>1.9931295800493902E-3</v>
      </c>
      <c r="AO31" s="115">
        <f t="shared" si="9"/>
        <v>1.9913623270065798E-3</v>
      </c>
      <c r="AP31" s="115">
        <f t="shared" si="9"/>
        <v>1.99377126341875E-3</v>
      </c>
      <c r="AQ31" s="115">
        <f t="shared" si="9"/>
        <v>1.9933006976760202E-3</v>
      </c>
      <c r="AR31" s="116">
        <f t="shared" si="9"/>
        <v>1.9826107188457699E-3</v>
      </c>
      <c r="AT31" s="109" t="s">
        <v>163</v>
      </c>
      <c r="AU31" s="256"/>
      <c r="AV31" s="115">
        <f t="shared" si="7"/>
        <v>1.0723366047767501E-3</v>
      </c>
      <c r="AW31" s="115">
        <f t="shared" si="1"/>
        <v>1.0723366047767501E-3</v>
      </c>
      <c r="AX31" s="115">
        <f t="shared" si="1"/>
        <v>1.06997016721511E-3</v>
      </c>
      <c r="AY31" s="115">
        <f t="shared" si="1"/>
        <v>1.07561525300251E-3</v>
      </c>
      <c r="AZ31" s="115">
        <f t="shared" si="1"/>
        <v>1.0740662872230501E-3</v>
      </c>
      <c r="BA31" s="116">
        <f t="shared" si="1"/>
        <v>1.0713021490929601E-3</v>
      </c>
    </row>
    <row r="32" spans="7:53" x14ac:dyDescent="0.55000000000000004">
      <c r="G32" s="62" t="s">
        <v>165</v>
      </c>
      <c r="H32" s="257"/>
      <c r="I32" s="113">
        <f t="shared" ref="I32:N32" si="62">1/SQRT(I19)</f>
        <v>0.56955199405655432</v>
      </c>
      <c r="J32" s="113">
        <f t="shared" si="62"/>
        <v>0.56955199405655432</v>
      </c>
      <c r="K32" s="113">
        <f t="shared" si="62"/>
        <v>0.56945332799424397</v>
      </c>
      <c r="L32" s="113">
        <f t="shared" si="62"/>
        <v>0.5696512337824241</v>
      </c>
      <c r="M32" s="113">
        <f t="shared" si="62"/>
        <v>0.56985143360286072</v>
      </c>
      <c r="N32" s="142">
        <f t="shared" si="62"/>
        <v>0.57015603208799881</v>
      </c>
      <c r="Q32" s="62" t="s">
        <v>165</v>
      </c>
      <c r="R32" s="263"/>
      <c r="S32" s="113">
        <f>1/SQRT(S19)</f>
        <v>0.57530577105051239</v>
      </c>
      <c r="T32" s="113">
        <f t="shared" ref="T32:X32" si="63">1/SQRT(T19)</f>
        <v>0.57530577105051239</v>
      </c>
      <c r="U32" s="113">
        <f t="shared" si="63"/>
        <v>0.57517146550328879</v>
      </c>
      <c r="V32" s="113">
        <f t="shared" si="63"/>
        <v>0.5754406563425073</v>
      </c>
      <c r="W32" s="113">
        <f t="shared" si="63"/>
        <v>0.5757121663061624</v>
      </c>
      <c r="X32" s="142">
        <f t="shared" si="63"/>
        <v>0.57612378041592394</v>
      </c>
      <c r="AA32" s="62" t="s">
        <v>165</v>
      </c>
      <c r="AB32" s="257"/>
      <c r="AC32" s="113">
        <f>1/SQRT(AC19)</f>
        <v>0.58113792407177056</v>
      </c>
      <c r="AD32" s="113">
        <f t="shared" ref="AD32:AH32" si="64">1/SQRT(AD19)</f>
        <v>0.58113792407177056</v>
      </c>
      <c r="AE32" s="113">
        <f t="shared" si="64"/>
        <v>0.58096688900206106</v>
      </c>
      <c r="AF32" s="113">
        <f t="shared" si="64"/>
        <v>0.5813095542217932</v>
      </c>
      <c r="AG32" s="113">
        <f t="shared" si="64"/>
        <v>0.58165460082629805</v>
      </c>
      <c r="AH32" s="142">
        <f t="shared" si="64"/>
        <v>0.58217664066198815</v>
      </c>
      <c r="AK32" s="109" t="s">
        <v>165</v>
      </c>
      <c r="AL32" s="257"/>
      <c r="AM32" s="115">
        <f t="shared" si="8"/>
        <v>5.7537769939580699E-3</v>
      </c>
      <c r="AN32" s="115">
        <f t="shared" si="9"/>
        <v>5.7537769939580699E-3</v>
      </c>
      <c r="AO32" s="115">
        <f t="shared" si="9"/>
        <v>5.7181375090448201E-3</v>
      </c>
      <c r="AP32" s="115">
        <f t="shared" si="9"/>
        <v>5.7894225600831897E-3</v>
      </c>
      <c r="AQ32" s="115">
        <f t="shared" si="9"/>
        <v>5.8607327033016699E-3</v>
      </c>
      <c r="AR32" s="116">
        <f t="shared" si="9"/>
        <v>5.9677483279251299E-3</v>
      </c>
      <c r="AT32" s="109" t="s">
        <v>165</v>
      </c>
      <c r="AU32" s="257"/>
      <c r="AV32" s="115">
        <f t="shared" si="7"/>
        <v>5.8321530212581702E-3</v>
      </c>
      <c r="AW32" s="115">
        <f t="shared" si="1"/>
        <v>5.8321530212581702E-3</v>
      </c>
      <c r="AX32" s="115">
        <f t="shared" si="1"/>
        <v>5.7954234987722701E-3</v>
      </c>
      <c r="AY32" s="115">
        <f t="shared" si="1"/>
        <v>5.8688978792859102E-3</v>
      </c>
      <c r="AZ32" s="115">
        <f t="shared" si="1"/>
        <v>5.9424345201356497E-3</v>
      </c>
      <c r="BA32" s="116">
        <f t="shared" si="1"/>
        <v>6.0528602460642204E-3</v>
      </c>
    </row>
    <row r="33" spans="7:53" x14ac:dyDescent="0.55000000000000004">
      <c r="G33" s="252" t="str">
        <f>_xlfn.CONCAT("Attenuation and Propagation Constants at Temp = ",$R$19,"°C (dB/m)")</f>
        <v>Attenuation and Propagation Constants at Temp = 25°C (dB/m)</v>
      </c>
      <c r="H33" s="253"/>
      <c r="I33" s="253"/>
      <c r="J33" s="253"/>
      <c r="K33" s="253"/>
      <c r="L33" s="253"/>
      <c r="M33" s="253"/>
      <c r="N33" s="254"/>
      <c r="Q33" s="252" t="str">
        <f>_xlfn.CONCAT("Attenuation and Propagation Constants at Temp = ",$R$19,"°C (dB/m)")</f>
        <v>Attenuation and Propagation Constants at Temp = 25°C (dB/m)</v>
      </c>
      <c r="R33" s="253"/>
      <c r="S33" s="253"/>
      <c r="T33" s="253"/>
      <c r="U33" s="253"/>
      <c r="V33" s="253"/>
      <c r="W33" s="253"/>
      <c r="X33" s="254"/>
      <c r="AA33" s="252" t="str">
        <f>_xlfn.CONCAT("Attenuation and Propagation Constants at Temp = ",$R$19,"°C (dB/m)")</f>
        <v>Attenuation and Propagation Constants at Temp = 25°C (dB/m)</v>
      </c>
      <c r="AB33" s="253"/>
      <c r="AC33" s="253"/>
      <c r="AD33" s="253"/>
      <c r="AE33" s="253"/>
      <c r="AF33" s="253"/>
      <c r="AG33" s="253"/>
      <c r="AH33" s="254"/>
      <c r="AK33" s="258" t="str">
        <f>_xlfn.CONCAT("Attenuation and Propagation Constants at Temp = ",$R$19,"°C (dB/m)")</f>
        <v>Attenuation and Propagation Constants at Temp = 25°C (dB/m)</v>
      </c>
      <c r="AL33" s="253"/>
      <c r="AM33" s="253"/>
      <c r="AN33" s="253"/>
      <c r="AO33" s="253"/>
      <c r="AP33" s="253"/>
      <c r="AQ33" s="253"/>
      <c r="AR33" s="259"/>
      <c r="AT33" s="258" t="str">
        <f>_xlfn.CONCAT("Attenuation and Propagation Constants at Temp = ",$R$19,"°C (dB/m)")</f>
        <v>Attenuation and Propagation Constants at Temp = 25°C (dB/m)</v>
      </c>
      <c r="AU33" s="253"/>
      <c r="AV33" s="253"/>
      <c r="AW33" s="253"/>
      <c r="AX33" s="253"/>
      <c r="AY33" s="253"/>
      <c r="AZ33" s="253"/>
      <c r="BA33" s="259"/>
    </row>
    <row r="34" spans="7:53" x14ac:dyDescent="0.55000000000000004">
      <c r="G34" s="83" t="s">
        <v>168</v>
      </c>
      <c r="H34" s="255">
        <f>H19</f>
        <v>25</v>
      </c>
      <c r="I34" s="117">
        <f t="shared" ref="I34:N34" si="65">20*LOG(EXP(1))*(2*PI()/(2*0.299795637693216))*SQRT(I19)*(S$18)*I20</f>
        <v>0.32204166116194544</v>
      </c>
      <c r="J34" s="117">
        <f t="shared" si="65"/>
        <v>0.64408332232389087</v>
      </c>
      <c r="K34" s="117">
        <f t="shared" si="65"/>
        <v>1.6104872977924298</v>
      </c>
      <c r="L34" s="117">
        <f t="shared" si="65"/>
        <v>3.2198555784069018</v>
      </c>
      <c r="M34" s="117">
        <f t="shared" si="65"/>
        <v>4.8280865713825536</v>
      </c>
      <c r="N34" s="147">
        <f t="shared" si="65"/>
        <v>6.4340096381112035</v>
      </c>
      <c r="Q34" s="83" t="s">
        <v>168</v>
      </c>
      <c r="R34" s="255">
        <f>R19</f>
        <v>25</v>
      </c>
      <c r="S34" s="117">
        <f t="shared" ref="S34:X34" si="66">20*LOG(EXP(1))*(2*PI()/(2*0.299795637693216))*SQRT(S19)*(S$18)*S20</f>
        <v>0.28233243409014946</v>
      </c>
      <c r="T34" s="117">
        <f t="shared" si="66"/>
        <v>0.56466486818029893</v>
      </c>
      <c r="U34" s="117">
        <f t="shared" si="66"/>
        <v>1.4119918009551595</v>
      </c>
      <c r="V34" s="117">
        <f t="shared" si="66"/>
        <v>2.8226625438527084</v>
      </c>
      <c r="W34" s="117">
        <f t="shared" si="66"/>
        <v>4.2319970340983604</v>
      </c>
      <c r="X34" s="147">
        <f t="shared" si="66"/>
        <v>5.6386312875173923</v>
      </c>
      <c r="AA34" s="83" t="s">
        <v>168</v>
      </c>
      <c r="AB34" s="255">
        <f>AB19</f>
        <v>25</v>
      </c>
      <c r="AC34" s="117">
        <f t="shared" ref="AC34:AH34" si="67">20*LOG(EXP(1))*(2*PI()/(2*0.299795637693216))*SQRT(AC19)*(S$18)*AC20</f>
        <v>0.24337679788398087</v>
      </c>
      <c r="AD34" s="117">
        <f t="shared" si="67"/>
        <v>0.48675359576796173</v>
      </c>
      <c r="AE34" s="117">
        <f t="shared" si="67"/>
        <v>1.2172422367518931</v>
      </c>
      <c r="AF34" s="117">
        <f t="shared" si="67"/>
        <v>2.433049415106777</v>
      </c>
      <c r="AG34" s="117">
        <f t="shared" si="67"/>
        <v>3.6474091382224536</v>
      </c>
      <c r="AH34" s="147">
        <f t="shared" si="67"/>
        <v>4.8588513248730294</v>
      </c>
      <c r="AK34" s="108" t="s">
        <v>168</v>
      </c>
      <c r="AL34" s="255">
        <f>AL19</f>
        <v>25</v>
      </c>
      <c r="AM34" s="184">
        <f t="shared" ref="AM34:AM41" si="68">IMABS(IMDIV(IMSUB(I34,S34),1))</f>
        <v>3.9709227071795999E-2</v>
      </c>
      <c r="AN34" s="117">
        <f t="shared" ref="AN34:AN41" si="69">IMABS(IMDIV(IMSUB(J34,T34),1))</f>
        <v>7.9418454143591902E-2</v>
      </c>
      <c r="AO34" s="117">
        <f t="shared" ref="AO34:AO41" si="70">IMABS(IMDIV(IMSUB(K34,U34),1))</f>
        <v>0.19849549683727</v>
      </c>
      <c r="AP34" s="117">
        <f t="shared" ref="AP34:AP41" si="71">IMABS(IMDIV(IMSUB(L34,V34),1))</f>
        <v>0.39719303455419303</v>
      </c>
      <c r="AQ34" s="117">
        <f t="shared" ref="AQ34:AQ41" si="72">IMABS(IMDIV(IMSUB(M34,W34),1))</f>
        <v>0.59608953728419301</v>
      </c>
      <c r="AR34" s="118">
        <f t="shared" ref="AR34:AR41" si="73">IMABS(IMDIV(IMSUB(N34,X34),1))</f>
        <v>0.79537835059381101</v>
      </c>
      <c r="AT34" s="108" t="s">
        <v>168</v>
      </c>
      <c r="AU34" s="255">
        <f>AU19</f>
        <v>25</v>
      </c>
      <c r="AV34" s="184">
        <f>IMABS(IMDIV(IMSUB(S34,AC34),1))</f>
        <v>3.8955636206168598E-2</v>
      </c>
      <c r="AW34" s="117">
        <f t="shared" ref="AW34:BA43" si="74">IMABS(IMDIV(IMSUB(T34,AD34),1))</f>
        <v>7.7911272412337196E-2</v>
      </c>
      <c r="AX34" s="117">
        <f t="shared" si="74"/>
        <v>0.194749564203266</v>
      </c>
      <c r="AY34" s="117">
        <f t="shared" si="74"/>
        <v>0.38961312874593101</v>
      </c>
      <c r="AZ34" s="117">
        <f t="shared" si="74"/>
        <v>0.58458789587590698</v>
      </c>
      <c r="BA34" s="118">
        <f t="shared" si="74"/>
        <v>0.779779962644363</v>
      </c>
    </row>
    <row r="35" spans="7:53" x14ac:dyDescent="0.55000000000000004">
      <c r="G35" s="62" t="s">
        <v>169</v>
      </c>
      <c r="H35" s="256"/>
      <c r="I35" s="113">
        <f t="shared" ref="I35:N36" si="75">20*LOG(EXP(1))*I22/(2*IMABS(I24))</f>
        <v>3.9523368992571215</v>
      </c>
      <c r="J35" s="113">
        <f t="shared" si="75"/>
        <v>5.5894484459970482</v>
      </c>
      <c r="K35" s="113">
        <f t="shared" si="75"/>
        <v>8.8393042422712806</v>
      </c>
      <c r="L35" s="113">
        <f t="shared" si="75"/>
        <v>12.496290356205208</v>
      </c>
      <c r="M35" s="113">
        <f t="shared" si="75"/>
        <v>15.299291565397494</v>
      </c>
      <c r="N35" s="142">
        <f t="shared" si="75"/>
        <v>17.656792478039005</v>
      </c>
      <c r="Q35" s="62" t="s">
        <v>169</v>
      </c>
      <c r="R35" s="256"/>
      <c r="S35" s="113">
        <f>20*LOG(EXP(1))*S22/(2*IMABS(S24))</f>
        <v>3.7200250475960837</v>
      </c>
      <c r="T35" s="113">
        <f t="shared" ref="T35:X35" si="76">20*LOG(EXP(1))*T22/(2*IMABS(T24))</f>
        <v>5.260909874678001</v>
      </c>
      <c r="U35" s="113">
        <f t="shared" si="76"/>
        <v>8.3201916569574443</v>
      </c>
      <c r="V35" s="113">
        <f t="shared" si="76"/>
        <v>11.76112369219744</v>
      </c>
      <c r="W35" s="113">
        <f t="shared" si="76"/>
        <v>14.397439534923318</v>
      </c>
      <c r="X35" s="142">
        <f t="shared" si="76"/>
        <v>16.61295964049862</v>
      </c>
      <c r="AA35" s="62" t="s">
        <v>169</v>
      </c>
      <c r="AB35" s="256"/>
      <c r="AC35" s="113">
        <f>20*LOG(EXP(1))*AC22/(2*IMABS(AC24))</f>
        <v>3.5534510017068373</v>
      </c>
      <c r="AD35" s="113">
        <f t="shared" ref="AD35:AH35" si="77">20*LOG(EXP(1))*AD22/(2*IMABS(AD24))</f>
        <v>5.0253385998420708</v>
      </c>
      <c r="AE35" s="113">
        <f t="shared" si="77"/>
        <v>7.9481827650498316</v>
      </c>
      <c r="AF35" s="113">
        <f t="shared" si="77"/>
        <v>11.233693409007794</v>
      </c>
      <c r="AG35" s="113">
        <f t="shared" si="77"/>
        <v>13.750234749869158</v>
      </c>
      <c r="AH35" s="142">
        <f t="shared" si="77"/>
        <v>15.863227811793541</v>
      </c>
      <c r="AK35" s="109" t="s">
        <v>169</v>
      </c>
      <c r="AL35" s="256"/>
      <c r="AM35" s="113">
        <f t="shared" si="68"/>
        <v>0.23231185166103799</v>
      </c>
      <c r="AN35" s="113">
        <f t="shared" si="69"/>
        <v>0.32853857131904701</v>
      </c>
      <c r="AO35" s="113">
        <f t="shared" si="70"/>
        <v>0.51911258531383597</v>
      </c>
      <c r="AP35" s="113">
        <f t="shared" si="71"/>
        <v>0.73516666400776698</v>
      </c>
      <c r="AQ35" s="113">
        <f t="shared" si="72"/>
        <v>0.90185203047417595</v>
      </c>
      <c r="AR35" s="114">
        <f t="shared" si="73"/>
        <v>1.04383283754039</v>
      </c>
      <c r="AT35" s="109" t="s">
        <v>169</v>
      </c>
      <c r="AU35" s="256"/>
      <c r="AV35" s="113">
        <f t="shared" ref="AV35:AV43" si="78">IMABS(IMDIV(IMSUB(S35,AC35),1))</f>
        <v>0.16657404588924599</v>
      </c>
      <c r="AW35" s="113">
        <f t="shared" si="74"/>
        <v>0.23557127483592999</v>
      </c>
      <c r="AX35" s="113">
        <f t="shared" si="74"/>
        <v>0.37200889190761299</v>
      </c>
      <c r="AY35" s="113">
        <f t="shared" si="74"/>
        <v>0.52743028318964702</v>
      </c>
      <c r="AZ35" s="113">
        <f t="shared" si="74"/>
        <v>0.64720478505416101</v>
      </c>
      <c r="BA35" s="114">
        <f t="shared" si="74"/>
        <v>0.74973182870507804</v>
      </c>
    </row>
    <row r="36" spans="7:53" x14ac:dyDescent="0.55000000000000004">
      <c r="G36" s="62" t="s">
        <v>172</v>
      </c>
      <c r="H36" s="256"/>
      <c r="I36" s="113">
        <f t="shared" si="75"/>
        <v>4.7000119829820743</v>
      </c>
      <c r="J36" s="113">
        <f t="shared" si="75"/>
        <v>6.6468206896493154</v>
      </c>
      <c r="K36" s="113">
        <f t="shared" si="75"/>
        <v>10.511287908882593</v>
      </c>
      <c r="L36" s="113">
        <f t="shared" si="75"/>
        <v>14.859915017258004</v>
      </c>
      <c r="M36" s="113">
        <f t="shared" si="75"/>
        <v>18.193393740395379</v>
      </c>
      <c r="N36" s="142">
        <f t="shared" si="75"/>
        <v>20.995908445053921</v>
      </c>
      <c r="Q36" s="62" t="s">
        <v>172</v>
      </c>
      <c r="R36" s="256"/>
      <c r="S36" s="113">
        <f>20*LOG(EXP(1))*S23/(2*IMABS(S25))</f>
        <v>4.4797285181235758</v>
      </c>
      <c r="T36" s="113">
        <f t="shared" ref="T36:X36" si="79">20*LOG(EXP(1))*T23/(2*IMABS(T25))</f>
        <v>6.3352928260798906</v>
      </c>
      <c r="U36" s="113">
        <f t="shared" si="79"/>
        <v>10.019248463664246</v>
      </c>
      <c r="V36" s="113">
        <f t="shared" si="79"/>
        <v>14.162623214071855</v>
      </c>
      <c r="W36" s="113">
        <f t="shared" si="79"/>
        <v>17.337567910506465</v>
      </c>
      <c r="X36" s="142">
        <f t="shared" si="79"/>
        <v>20.005500801301103</v>
      </c>
      <c r="AA36" s="62" t="s">
        <v>172</v>
      </c>
      <c r="AB36" s="256"/>
      <c r="AC36" s="113">
        <f>20*LOG(EXP(1))*AC23/(2*IMABS(AC25))</f>
        <v>4.3695988991989498</v>
      </c>
      <c r="AD36" s="113">
        <f t="shared" ref="AD36:AH36" si="80">20*LOG(EXP(1))*AD23/(2*IMABS(AD25))</f>
        <v>6.1795460253777019</v>
      </c>
      <c r="AE36" s="113">
        <f t="shared" si="80"/>
        <v>9.7735166194503744</v>
      </c>
      <c r="AF36" s="113">
        <f t="shared" si="80"/>
        <v>13.813658459750835</v>
      </c>
      <c r="AG36" s="113">
        <f t="shared" si="80"/>
        <v>16.908361357557485</v>
      </c>
      <c r="AH36" s="142">
        <f t="shared" si="80"/>
        <v>19.50641895188366</v>
      </c>
      <c r="AK36" s="109" t="s">
        <v>172</v>
      </c>
      <c r="AL36" s="256"/>
      <c r="AM36" s="113">
        <f t="shared" si="68"/>
        <v>0.22028346485849901</v>
      </c>
      <c r="AN36" s="113">
        <f t="shared" si="69"/>
        <v>0.31152786356942502</v>
      </c>
      <c r="AO36" s="113">
        <f t="shared" si="70"/>
        <v>0.49203944521834803</v>
      </c>
      <c r="AP36" s="113">
        <f t="shared" si="71"/>
        <v>0.69729180318614903</v>
      </c>
      <c r="AQ36" s="113">
        <f t="shared" si="72"/>
        <v>0.85582582988891398</v>
      </c>
      <c r="AR36" s="114">
        <f t="shared" si="73"/>
        <v>0.99040764375281798</v>
      </c>
      <c r="AT36" s="109" t="s">
        <v>172</v>
      </c>
      <c r="AU36" s="256"/>
      <c r="AV36" s="113">
        <f t="shared" si="78"/>
        <v>0.110129618924626</v>
      </c>
      <c r="AW36" s="113">
        <f t="shared" si="74"/>
        <v>0.15574680070218899</v>
      </c>
      <c r="AX36" s="113">
        <f t="shared" si="74"/>
        <v>0.24573184421387101</v>
      </c>
      <c r="AY36" s="113">
        <f t="shared" si="74"/>
        <v>0.34896475432101998</v>
      </c>
      <c r="AZ36" s="113">
        <f t="shared" si="74"/>
        <v>0.42920655294898002</v>
      </c>
      <c r="BA36" s="114">
        <f t="shared" si="74"/>
        <v>0.49908184941744299</v>
      </c>
    </row>
    <row r="37" spans="7:53" x14ac:dyDescent="0.55000000000000004">
      <c r="G37" s="62" t="s">
        <v>175</v>
      </c>
      <c r="H37" s="256"/>
      <c r="I37" s="113">
        <f>I35*(1+(2/PI())*ATAN(1.4*('Material Modeler'!$H$3/I21)^2))</f>
        <v>4.0217708889966675</v>
      </c>
      <c r="J37" s="113">
        <f>J35*(1+(2/PI())*ATAN(1.4*('Material Modeler'!$H$3/J21)^2))</f>
        <v>5.7856881009830978</v>
      </c>
      <c r="K37" s="113">
        <f>K35*(1+(2/PI())*ATAN(1.4*('Material Modeler'!$H$3/K21)^2))</f>
        <v>9.6110630735842548</v>
      </c>
      <c r="L37" s="113">
        <f>L35*(1+(2/PI())*ATAN(1.4*('Material Modeler'!$H$3/L21)^2))</f>
        <v>14.638825442276936</v>
      </c>
      <c r="M37" s="113">
        <f>M35*(1+(2/PI())*ATAN(1.4*('Material Modeler'!$H$3/M21)^2))</f>
        <v>19.122649741683809</v>
      </c>
      <c r="N37" s="142">
        <f>N35*(1+(2/PI())*ATAN(1.4*('Material Modeler'!$H$3/N21)^2))</f>
        <v>23.326758689176881</v>
      </c>
      <c r="Q37" s="62" t="s">
        <v>175</v>
      </c>
      <c r="R37" s="256"/>
      <c r="S37" s="113">
        <f>S35*(1+(2/PI())*ATAN(1.4*('Material Modeler'!$H$3/S21)^2))</f>
        <v>3.7853778218077632</v>
      </c>
      <c r="T37" s="113">
        <f>T35*(1+(2/PI())*ATAN(1.4*('Material Modeler'!$H$3/T21)^2))</f>
        <v>5.4456148860389844</v>
      </c>
      <c r="U37" s="113">
        <f>U35*(1+(2/PI())*ATAN(1.4*('Material Modeler'!$H$3/U21)^2))</f>
        <v>9.0466268167255723</v>
      </c>
      <c r="V37" s="113">
        <f>V35*(1+(2/PI())*ATAN(1.4*('Material Modeler'!$H$3/V21)^2))</f>
        <v>13.777611741360747</v>
      </c>
      <c r="W37" s="113">
        <f>W35*(1+(2/PI())*ATAN(1.4*('Material Modeler'!$H$3/W21)^2))</f>
        <v>17.995421044598974</v>
      </c>
      <c r="X37" s="142">
        <f>X35*(1+(2/PI())*ATAN(1.4*('Material Modeler'!$H$3/X21)^2))</f>
        <v>21.947729245214838</v>
      </c>
      <c r="AA37" s="62" t="s">
        <v>175</v>
      </c>
      <c r="AB37" s="256"/>
      <c r="AC37" s="113">
        <f>AC35*(1+(2/PI())*ATAN(1.4*('Material Modeler'!$H$3/AC21)^2))</f>
        <v>3.6158774311032955</v>
      </c>
      <c r="AD37" s="113">
        <f>AD35*(1+(2/PI())*ATAN(1.4*('Material Modeler'!$H$3/AD21)^2))</f>
        <v>5.2017729515583557</v>
      </c>
      <c r="AE37" s="113">
        <f>AE35*(1+(2/PI())*ATAN(1.4*('Material Modeler'!$H$3/AE21)^2))</f>
        <v>8.6421378630633612</v>
      </c>
      <c r="AF37" s="113">
        <f>AF35*(1+(2/PI())*ATAN(1.4*('Material Modeler'!$H$3/AF21)^2))</f>
        <v>13.159751590187966</v>
      </c>
      <c r="AG37" s="113">
        <f>AG35*(1+(2/PI())*ATAN(1.4*('Material Modeler'!$H$3/AG21)^2))</f>
        <v>17.186477025012866</v>
      </c>
      <c r="AH37" s="142">
        <f>AH35*(1+(2/PI())*ATAN(1.4*('Material Modeler'!$H$3/AH21)^2))</f>
        <v>20.957242809382805</v>
      </c>
      <c r="AK37" s="109" t="s">
        <v>175</v>
      </c>
      <c r="AL37" s="256"/>
      <c r="AM37" s="113">
        <f t="shared" si="68"/>
        <v>0.23639306718890399</v>
      </c>
      <c r="AN37" s="113">
        <f t="shared" si="69"/>
        <v>0.34007321494411302</v>
      </c>
      <c r="AO37" s="113">
        <f t="shared" si="70"/>
        <v>0.56443625685868204</v>
      </c>
      <c r="AP37" s="113">
        <f t="shared" si="71"/>
        <v>0.86121370091618799</v>
      </c>
      <c r="AQ37" s="113">
        <f t="shared" si="72"/>
        <v>1.12722869708483</v>
      </c>
      <c r="AR37" s="114">
        <f t="shared" si="73"/>
        <v>1.3790294439620401</v>
      </c>
      <c r="AT37" s="109" t="s">
        <v>175</v>
      </c>
      <c r="AU37" s="256"/>
      <c r="AV37" s="113">
        <f t="shared" si="78"/>
        <v>0.16950039070446801</v>
      </c>
      <c r="AW37" s="113">
        <f t="shared" si="74"/>
        <v>0.24384193448062899</v>
      </c>
      <c r="AX37" s="113">
        <f t="shared" si="74"/>
        <v>0.40448895366221099</v>
      </c>
      <c r="AY37" s="113">
        <f t="shared" si="74"/>
        <v>0.61786015117278104</v>
      </c>
      <c r="AZ37" s="113">
        <f t="shared" si="74"/>
        <v>0.80894401958610695</v>
      </c>
      <c r="BA37" s="114">
        <f t="shared" si="74"/>
        <v>0.990486435832032</v>
      </c>
    </row>
    <row r="38" spans="7:53" x14ac:dyDescent="0.55000000000000004">
      <c r="G38" s="62" t="s">
        <v>176</v>
      </c>
      <c r="H38" s="256"/>
      <c r="I38" s="113">
        <f>I36*(1+(2/PI())*ATAN(1.4*('Material Modeler'!$H$3/I21)^2))</f>
        <v>4.7825810028101809</v>
      </c>
      <c r="J38" s="113">
        <f>J36*(1+(2/PI())*ATAN(1.4*('Material Modeler'!$H$3/J21)^2))</f>
        <v>6.8801835717821778</v>
      </c>
      <c r="K38" s="113">
        <f>K36*(1+(2/PI())*ATAN(1.4*('Material Modeler'!$H$3/K21)^2))</f>
        <v>11.429027478628297</v>
      </c>
      <c r="L38" s="113">
        <f>L36*(1+(2/PI())*ATAN(1.4*('Material Modeler'!$H$3/L21)^2))</f>
        <v>17.407702271953948</v>
      </c>
      <c r="M38" s="113">
        <f>M36*(1+(2/PI())*ATAN(1.4*('Material Modeler'!$H$3/M21)^2))</f>
        <v>22.74000038648747</v>
      </c>
      <c r="N38" s="142">
        <f>N36*(1+(2/PI())*ATAN(1.4*('Material Modeler'!$H$3/N21)^2))</f>
        <v>27.738134792430781</v>
      </c>
      <c r="Q38" s="62" t="s">
        <v>176</v>
      </c>
      <c r="R38" s="256"/>
      <c r="S38" s="113">
        <f>S36*(1+(2/PI())*ATAN(1.4*('Material Modeler'!$H$3/S21)^2))</f>
        <v>4.5584276350996129</v>
      </c>
      <c r="T38" s="113">
        <f>T36*(1+(2/PI())*ATAN(1.4*('Material Modeler'!$H$3/T21)^2))</f>
        <v>6.5577182926419582</v>
      </c>
      <c r="U38" s="113">
        <f>U36*(1+(2/PI())*ATAN(1.4*('Material Modeler'!$H$3/U21)^2))</f>
        <v>10.894028115208965</v>
      </c>
      <c r="V38" s="113">
        <f>V36*(1+(2/PI())*ATAN(1.4*('Material Modeler'!$H$3/V21)^2))</f>
        <v>16.590857216484835</v>
      </c>
      <c r="W38" s="113">
        <f>W36*(1+(2/PI())*ATAN(1.4*('Material Modeler'!$H$3/W21)^2))</f>
        <v>21.67030003370343</v>
      </c>
      <c r="X38" s="142">
        <f>X36*(1+(2/PI())*ATAN(1.4*('Material Modeler'!$H$3/X21)^2))</f>
        <v>26.429686491955309</v>
      </c>
      <c r="AA38" s="62" t="s">
        <v>176</v>
      </c>
      <c r="AB38" s="256"/>
      <c r="AC38" s="113">
        <f>AC36*(1+(2/PI())*ATAN(1.4*('Material Modeler'!$H$3/AC21)^2))</f>
        <v>4.446363277556963</v>
      </c>
      <c r="AD38" s="113">
        <f>AD36*(1+(2/PI())*ATAN(1.4*('Material Modeler'!$H$3/AD21)^2))</f>
        <v>6.3965033856086579</v>
      </c>
      <c r="AE38" s="113">
        <f>AE36*(1+(2/PI())*ATAN(1.4*('Material Modeler'!$H$3/AE21)^2))</f>
        <v>10.626841446530522</v>
      </c>
      <c r="AF38" s="113">
        <f>AF36*(1+(2/PI())*ATAN(1.4*('Material Modeler'!$H$3/AF21)^2))</f>
        <v>16.182061167545736</v>
      </c>
      <c r="AG38" s="113">
        <f>AG36*(1+(2/PI())*ATAN(1.4*('Material Modeler'!$H$3/AG21)^2))</f>
        <v>21.133832933655356</v>
      </c>
      <c r="AH38" s="142">
        <f>AH36*(1+(2/PI())*ATAN(1.4*('Material Modeler'!$H$3/AH21)^2))</f>
        <v>25.770338998236461</v>
      </c>
      <c r="AK38" s="109" t="s">
        <v>176</v>
      </c>
      <c r="AL38" s="256"/>
      <c r="AM38" s="113">
        <f t="shared" si="68"/>
        <v>0.22415336771056801</v>
      </c>
      <c r="AN38" s="113">
        <f t="shared" si="69"/>
        <v>0.32246527914022</v>
      </c>
      <c r="AO38" s="113">
        <f t="shared" si="70"/>
        <v>0.53499936341933296</v>
      </c>
      <c r="AP38" s="113">
        <f t="shared" si="71"/>
        <v>0.81684505546911301</v>
      </c>
      <c r="AQ38" s="113">
        <f t="shared" si="72"/>
        <v>1.0697003527840401</v>
      </c>
      <c r="AR38" s="114">
        <f t="shared" si="73"/>
        <v>1.3084483004754699</v>
      </c>
      <c r="AT38" s="109" t="s">
        <v>176</v>
      </c>
      <c r="AU38" s="256"/>
      <c r="AV38" s="113">
        <f t="shared" si="78"/>
        <v>0.11206435754265</v>
      </c>
      <c r="AW38" s="113">
        <f t="shared" si="74"/>
        <v>0.16121490703329999</v>
      </c>
      <c r="AX38" s="113">
        <f t="shared" si="74"/>
        <v>0.26718666867844298</v>
      </c>
      <c r="AY38" s="113">
        <f t="shared" si="74"/>
        <v>0.40879604893909899</v>
      </c>
      <c r="AZ38" s="113">
        <f t="shared" si="74"/>
        <v>0.53646710004807496</v>
      </c>
      <c r="BA38" s="114">
        <f t="shared" si="74"/>
        <v>0.65934749371884704</v>
      </c>
    </row>
    <row r="39" spans="7:53" x14ac:dyDescent="0.55000000000000004">
      <c r="G39" s="148" t="s">
        <v>180</v>
      </c>
      <c r="H39" s="256"/>
      <c r="I39" s="113">
        <f t="shared" ref="I39:N39" si="81">(I37+I34)</f>
        <v>4.3438125501586127</v>
      </c>
      <c r="J39" s="113">
        <f t="shared" si="81"/>
        <v>6.4297714233069883</v>
      </c>
      <c r="K39" s="113">
        <f t="shared" si="81"/>
        <v>11.221550371376685</v>
      </c>
      <c r="L39" s="113">
        <f t="shared" si="81"/>
        <v>17.858681020683839</v>
      </c>
      <c r="M39" s="113">
        <f t="shared" si="81"/>
        <v>23.950736313066361</v>
      </c>
      <c r="N39" s="142">
        <f t="shared" si="81"/>
        <v>29.760768327288083</v>
      </c>
      <c r="Q39" s="148" t="s">
        <v>180</v>
      </c>
      <c r="R39" s="256"/>
      <c r="S39" s="113">
        <f>(S37+S34)</f>
        <v>4.0677102558979126</v>
      </c>
      <c r="T39" s="113">
        <f t="shared" ref="T39:X39" si="82">(T37+T34)</f>
        <v>6.0102797542192832</v>
      </c>
      <c r="U39" s="113">
        <f t="shared" si="82"/>
        <v>10.458618617680731</v>
      </c>
      <c r="V39" s="113">
        <f t="shared" si="82"/>
        <v>16.600274285213455</v>
      </c>
      <c r="W39" s="113">
        <f t="shared" si="82"/>
        <v>22.227418078697333</v>
      </c>
      <c r="X39" s="142">
        <f t="shared" si="82"/>
        <v>27.586360532732229</v>
      </c>
      <c r="AA39" s="148" t="s">
        <v>180</v>
      </c>
      <c r="AB39" s="256"/>
      <c r="AC39" s="113">
        <f>(AC37+AC34)</f>
        <v>3.8592542289872762</v>
      </c>
      <c r="AD39" s="113">
        <f t="shared" ref="AD39:AH39" si="83">(AD37+AD34)</f>
        <v>5.6885265473263171</v>
      </c>
      <c r="AE39" s="113">
        <f t="shared" si="83"/>
        <v>9.8593800998152545</v>
      </c>
      <c r="AF39" s="113">
        <f t="shared" si="83"/>
        <v>15.592801005294742</v>
      </c>
      <c r="AG39" s="113">
        <f t="shared" si="83"/>
        <v>20.83388616323532</v>
      </c>
      <c r="AH39" s="142">
        <f t="shared" si="83"/>
        <v>25.816094134255835</v>
      </c>
      <c r="AK39" s="110" t="s">
        <v>180</v>
      </c>
      <c r="AL39" s="256"/>
      <c r="AM39" s="113">
        <f t="shared" si="68"/>
        <v>0.27610229426069999</v>
      </c>
      <c r="AN39" s="113">
        <f t="shared" si="69"/>
        <v>0.41949166908770502</v>
      </c>
      <c r="AO39" s="113">
        <f t="shared" si="70"/>
        <v>0.76293175369595401</v>
      </c>
      <c r="AP39" s="113">
        <f t="shared" si="71"/>
        <v>1.2584067354703801</v>
      </c>
      <c r="AQ39" s="113">
        <f t="shared" si="72"/>
        <v>1.7233182343690301</v>
      </c>
      <c r="AR39" s="114">
        <f t="shared" si="73"/>
        <v>2.17440779455585</v>
      </c>
      <c r="AT39" s="110" t="s">
        <v>180</v>
      </c>
      <c r="AU39" s="256"/>
      <c r="AV39" s="113">
        <f t="shared" si="78"/>
        <v>0.208456026910636</v>
      </c>
      <c r="AW39" s="113">
        <f t="shared" si="74"/>
        <v>0.32175320689296599</v>
      </c>
      <c r="AX39" s="113">
        <f t="shared" si="74"/>
        <v>0.59923851786547599</v>
      </c>
      <c r="AY39" s="113">
        <f t="shared" si="74"/>
        <v>1.0074732799187101</v>
      </c>
      <c r="AZ39" s="113">
        <f t="shared" si="74"/>
        <v>1.3935319154620101</v>
      </c>
      <c r="BA39" s="114">
        <f t="shared" si="74"/>
        <v>1.77026639847639</v>
      </c>
    </row>
    <row r="40" spans="7:53" x14ac:dyDescent="0.55000000000000004">
      <c r="G40" s="148" t="s">
        <v>181</v>
      </c>
      <c r="H40" s="256"/>
      <c r="I40" s="113">
        <f t="shared" ref="I40:N40" si="84">(I38+I34)</f>
        <v>5.1046226639721262</v>
      </c>
      <c r="J40" s="113">
        <f t="shared" si="84"/>
        <v>7.5242668941060682</v>
      </c>
      <c r="K40" s="113">
        <f t="shared" si="84"/>
        <v>13.039514776420727</v>
      </c>
      <c r="L40" s="113">
        <f t="shared" si="84"/>
        <v>20.627557850360851</v>
      </c>
      <c r="M40" s="113">
        <f t="shared" si="84"/>
        <v>27.568086957870023</v>
      </c>
      <c r="N40" s="142">
        <f t="shared" si="84"/>
        <v>34.172144430541984</v>
      </c>
      <c r="Q40" s="148" t="s">
        <v>181</v>
      </c>
      <c r="R40" s="256"/>
      <c r="S40" s="113">
        <f>(S38+S34)</f>
        <v>4.8407600691897628</v>
      </c>
      <c r="T40" s="113">
        <f t="shared" ref="T40:X40" si="85">(T38+T34)</f>
        <v>7.122383160822257</v>
      </c>
      <c r="U40" s="113">
        <f t="shared" si="85"/>
        <v>12.306019916164125</v>
      </c>
      <c r="V40" s="113">
        <f t="shared" si="85"/>
        <v>19.413519760337543</v>
      </c>
      <c r="W40" s="113">
        <f t="shared" si="85"/>
        <v>25.90229706780179</v>
      </c>
      <c r="X40" s="142">
        <f t="shared" si="85"/>
        <v>32.0683177794727</v>
      </c>
      <c r="AA40" s="148" t="s">
        <v>181</v>
      </c>
      <c r="AB40" s="256"/>
      <c r="AC40" s="113">
        <f>(AC38+AC34)</f>
        <v>4.6897400754409437</v>
      </c>
      <c r="AD40" s="113">
        <f t="shared" ref="AD40:AH40" si="86">(AD38+AD34)</f>
        <v>6.8832569813766193</v>
      </c>
      <c r="AE40" s="113">
        <f t="shared" si="86"/>
        <v>11.844083683282415</v>
      </c>
      <c r="AF40" s="113">
        <f t="shared" si="86"/>
        <v>18.615110582652513</v>
      </c>
      <c r="AG40" s="113">
        <f t="shared" si="86"/>
        <v>24.781242071877809</v>
      </c>
      <c r="AH40" s="142">
        <f t="shared" si="86"/>
        <v>30.629190323109491</v>
      </c>
      <c r="AK40" s="110" t="s">
        <v>181</v>
      </c>
      <c r="AL40" s="256"/>
      <c r="AM40" s="113">
        <f t="shared" si="68"/>
        <v>0.26386259478236301</v>
      </c>
      <c r="AN40" s="113">
        <f t="shared" si="69"/>
        <v>0.401883733283811</v>
      </c>
      <c r="AO40" s="113">
        <f t="shared" si="70"/>
        <v>0.73349486025660204</v>
      </c>
      <c r="AP40" s="113">
        <f t="shared" si="71"/>
        <v>1.2140380900233101</v>
      </c>
      <c r="AQ40" s="113">
        <f t="shared" si="72"/>
        <v>1.66578989006823</v>
      </c>
      <c r="AR40" s="114">
        <f t="shared" si="73"/>
        <v>2.10382665106928</v>
      </c>
      <c r="AT40" s="110" t="s">
        <v>181</v>
      </c>
      <c r="AU40" s="256"/>
      <c r="AV40" s="113">
        <f t="shared" si="78"/>
        <v>0.151019993748819</v>
      </c>
      <c r="AW40" s="113">
        <f t="shared" si="74"/>
        <v>0.23912617944563799</v>
      </c>
      <c r="AX40" s="113">
        <f t="shared" si="74"/>
        <v>0.46193623288170998</v>
      </c>
      <c r="AY40" s="113">
        <f t="shared" si="74"/>
        <v>0.79840917768503095</v>
      </c>
      <c r="AZ40" s="113">
        <f t="shared" si="74"/>
        <v>1.1210549959239799</v>
      </c>
      <c r="BA40" s="114">
        <f t="shared" si="74"/>
        <v>1.4391274563632099</v>
      </c>
    </row>
    <row r="41" spans="7:53" x14ac:dyDescent="0.55000000000000004">
      <c r="G41" s="149" t="s">
        <v>183</v>
      </c>
      <c r="H41" s="256"/>
      <c r="I41" s="113">
        <f t="shared" ref="I41:N41" si="87">(2*PI()*I18*1000000000)/(299792458*I32)</f>
        <v>36.798133336770867</v>
      </c>
      <c r="J41" s="113">
        <f t="shared" si="87"/>
        <v>73.596266673541734</v>
      </c>
      <c r="K41" s="113">
        <f t="shared" si="87"/>
        <v>184.02254573994401</v>
      </c>
      <c r="L41" s="113">
        <f t="shared" si="87"/>
        <v>367.91722683289771</v>
      </c>
      <c r="M41" s="113">
        <f t="shared" si="87"/>
        <v>551.68195560221545</v>
      </c>
      <c r="N41" s="142">
        <f t="shared" si="87"/>
        <v>735.18296887130214</v>
      </c>
      <c r="Q41" s="149" t="s">
        <v>183</v>
      </c>
      <c r="R41" s="256"/>
      <c r="S41" s="113">
        <f>(2*PI()*S18*1000000000)/(299792458*S32)</f>
        <v>36.430105996062828</v>
      </c>
      <c r="T41" s="113">
        <f t="shared" ref="T41:X41" si="88">(2*PI()*T18*1000000000)/(299792458*T32)</f>
        <v>72.860211992125656</v>
      </c>
      <c r="U41" s="113">
        <f t="shared" si="88"/>
        <v>182.19306308230773</v>
      </c>
      <c r="V41" s="113">
        <f t="shared" si="88"/>
        <v>364.21566652464963</v>
      </c>
      <c r="W41" s="113">
        <f t="shared" si="88"/>
        <v>546.06584972805206</v>
      </c>
      <c r="X41" s="142">
        <f t="shared" si="88"/>
        <v>727.56761418131975</v>
      </c>
      <c r="AA41" s="149" t="s">
        <v>183</v>
      </c>
      <c r="AB41" s="256"/>
      <c r="AC41" s="113">
        <f>(2*PI()*AC18*1000000000)/(299792458*AC32)</f>
        <v>36.064502678934524</v>
      </c>
      <c r="AD41" s="113">
        <f t="shared" ref="AD41:AH41" si="89">(2*PI()*AD18*1000000000)/(299792458*AD32)</f>
        <v>72.129005357869048</v>
      </c>
      <c r="AE41" s="113">
        <f t="shared" si="89"/>
        <v>180.37559985146129</v>
      </c>
      <c r="AF41" s="113">
        <f t="shared" si="89"/>
        <v>360.53854727321954</v>
      </c>
      <c r="AG41" s="113">
        <f t="shared" si="89"/>
        <v>540.48700525388927</v>
      </c>
      <c r="AH41" s="142">
        <f t="shared" si="89"/>
        <v>720.00313154733033</v>
      </c>
      <c r="AK41" s="111" t="s">
        <v>183</v>
      </c>
      <c r="AL41" s="256"/>
      <c r="AM41" s="113">
        <f t="shared" si="68"/>
        <v>0.368027340708039</v>
      </c>
      <c r="AN41" s="113">
        <f t="shared" si="69"/>
        <v>0.73605468141607799</v>
      </c>
      <c r="AO41" s="113">
        <f t="shared" si="70"/>
        <v>1.8294826576362799</v>
      </c>
      <c r="AP41" s="113">
        <f t="shared" si="71"/>
        <v>3.7015603082480801</v>
      </c>
      <c r="AQ41" s="113">
        <f t="shared" si="72"/>
        <v>5.6161058741633996</v>
      </c>
      <c r="AR41" s="114">
        <f t="shared" si="73"/>
        <v>7.6153546899823796</v>
      </c>
      <c r="AT41" s="111" t="s">
        <v>183</v>
      </c>
      <c r="AU41" s="256"/>
      <c r="AV41" s="113">
        <f t="shared" si="78"/>
        <v>0.36560331712830402</v>
      </c>
      <c r="AW41" s="113">
        <f t="shared" si="74"/>
        <v>0.73120663425660803</v>
      </c>
      <c r="AX41" s="113">
        <f t="shared" si="74"/>
        <v>1.81746323084644</v>
      </c>
      <c r="AY41" s="113">
        <f t="shared" si="74"/>
        <v>3.6771192514301001</v>
      </c>
      <c r="AZ41" s="113">
        <f t="shared" si="74"/>
        <v>5.5788444741627901</v>
      </c>
      <c r="BA41" s="114">
        <f t="shared" si="74"/>
        <v>7.5644826339894298</v>
      </c>
    </row>
    <row r="42" spans="7:53" x14ac:dyDescent="0.55000000000000004">
      <c r="G42" s="149" t="s">
        <v>184</v>
      </c>
      <c r="H42" s="256"/>
      <c r="I42" s="131" t="str">
        <f t="shared" ref="I42:N42" si="90">_xlfn.LET(
  _xlpm.decimal_digits, 3,
  _xlpm.result, COMPLEX(I39/(20*LOG10(EXP(1))),I41),
  COMPLEX(ROUND(IMREAL(_xlpm.result),_xlpm.decimal_digits), ROUND(IMAGINARY(_xlpm.result),_xlpm.decimal_digits))
)</f>
        <v>0.5+36.798i</v>
      </c>
      <c r="J42" s="132" t="str">
        <f t="shared" si="90"/>
        <v>0.74+73.596i</v>
      </c>
      <c r="K42" s="132" t="str">
        <f t="shared" si="90"/>
        <v>1.292+184.023i</v>
      </c>
      <c r="L42" s="132" t="str">
        <f t="shared" si="90"/>
        <v>2.056+367.917i</v>
      </c>
      <c r="M42" s="132" t="str">
        <f t="shared" si="90"/>
        <v>2.757+551.682i</v>
      </c>
      <c r="N42" s="150" t="str">
        <f t="shared" si="90"/>
        <v>3.426+735.183i</v>
      </c>
      <c r="Q42" s="149" t="s">
        <v>184</v>
      </c>
      <c r="R42" s="256"/>
      <c r="S42" s="131" t="str">
        <f>_xlfn.LET(
  _xlpm.decimal_digits, 3,
  _xlpm.result, COMPLEX(S39/(20*LOG10(EXP(1))),S41),
  COMPLEX(ROUND(IMREAL(_xlpm.result),_xlpm.decimal_digits), ROUND(IMAGINARY(_xlpm.result),_xlpm.decimal_digits))
)</f>
        <v>0.468+36.43i</v>
      </c>
      <c r="T42" s="132" t="str">
        <f t="shared" ref="T42" si="91">_xlfn.LET(
  _xlpm.decimal_digits, 3,
  _xlpm.result, COMPLEX(T39/(20*LOG10(EXP(1))),T41),
  COMPLEX(ROUND(IMREAL(_xlpm.result),_xlpm.decimal_digits), ROUND(IMAGINARY(_xlpm.result),_xlpm.decimal_digits))
)</f>
        <v>0.692+72.86i</v>
      </c>
      <c r="U42" s="132" t="str">
        <f t="shared" ref="U42" si="92">_xlfn.LET(
  _xlpm.decimal_digits, 3,
  _xlpm.result, COMPLEX(U39/(20*LOG10(EXP(1))),U41),
  COMPLEX(ROUND(IMREAL(_xlpm.result),_xlpm.decimal_digits), ROUND(IMAGINARY(_xlpm.result),_xlpm.decimal_digits))
)</f>
        <v>1.204+182.193i</v>
      </c>
      <c r="V42" s="132" t="str">
        <f t="shared" ref="V42" si="93">_xlfn.LET(
  _xlpm.decimal_digits, 3,
  _xlpm.result, COMPLEX(V39/(20*LOG10(EXP(1))),V41),
  COMPLEX(ROUND(IMREAL(_xlpm.result),_xlpm.decimal_digits), ROUND(IMAGINARY(_xlpm.result),_xlpm.decimal_digits))
)</f>
        <v>1.911+364.216i</v>
      </c>
      <c r="W42" s="132" t="str">
        <f t="shared" ref="W42" si="94">_xlfn.LET(
  _xlpm.decimal_digits, 3,
  _xlpm.result, COMPLEX(W39/(20*LOG10(EXP(1))),W41),
  COMPLEX(ROUND(IMREAL(_xlpm.result),_xlpm.decimal_digits), ROUND(IMAGINARY(_xlpm.result),_xlpm.decimal_digits))
)</f>
        <v>2.559+546.066i</v>
      </c>
      <c r="X42" s="150" t="str">
        <f t="shared" ref="X42" si="95">_xlfn.LET(
  _xlpm.decimal_digits, 3,
  _xlpm.result, COMPLEX(X39/(20*LOG10(EXP(1))),X41),
  COMPLEX(ROUND(IMREAL(_xlpm.result),_xlpm.decimal_digits), ROUND(IMAGINARY(_xlpm.result),_xlpm.decimal_digits))
)</f>
        <v>3.176+727.568i</v>
      </c>
      <c r="AA42" s="149" t="s">
        <v>184</v>
      </c>
      <c r="AB42" s="256"/>
      <c r="AC42" s="131" t="str">
        <f>_xlfn.LET(
  _xlpm.decimal_digits, 3,
  _xlpm.result, COMPLEX(AC39/(20*LOG10(EXP(1))),AC41),
  COMPLEX(ROUND(IMREAL(_xlpm.result),_xlpm.decimal_digits), ROUND(IMAGINARY(_xlpm.result),_xlpm.decimal_digits))
)</f>
        <v>0.444+36.065i</v>
      </c>
      <c r="AD42" s="132" t="str">
        <f t="shared" ref="AD42" si="96">_xlfn.LET(
  _xlpm.decimal_digits, 3,
  _xlpm.result, COMPLEX(AD39/(20*LOG10(EXP(1))),AD41),
  COMPLEX(ROUND(IMREAL(_xlpm.result),_xlpm.decimal_digits), ROUND(IMAGINARY(_xlpm.result),_xlpm.decimal_digits))
)</f>
        <v>0.655+72.129i</v>
      </c>
      <c r="AE42" s="132" t="str">
        <f t="shared" ref="AE42" si="97">_xlfn.LET(
  _xlpm.decimal_digits, 3,
  _xlpm.result, COMPLEX(AE39/(20*LOG10(EXP(1))),AE41),
  COMPLEX(ROUND(IMREAL(_xlpm.result),_xlpm.decimal_digits), ROUND(IMAGINARY(_xlpm.result),_xlpm.decimal_digits))
)</f>
        <v>1.135+180.376i</v>
      </c>
      <c r="AF42" s="132" t="str">
        <f t="shared" ref="AF42" si="98">_xlfn.LET(
  _xlpm.decimal_digits, 3,
  _xlpm.result, COMPLEX(AF39/(20*LOG10(EXP(1))),AF41),
  COMPLEX(ROUND(IMREAL(_xlpm.result),_xlpm.decimal_digits), ROUND(IMAGINARY(_xlpm.result),_xlpm.decimal_digits))
)</f>
        <v>1.795+360.539i</v>
      </c>
      <c r="AG42" s="132" t="str">
        <f t="shared" ref="AG42" si="99">_xlfn.LET(
  _xlpm.decimal_digits, 3,
  _xlpm.result, COMPLEX(AG39/(20*LOG10(EXP(1))),AG41),
  COMPLEX(ROUND(IMREAL(_xlpm.result),_xlpm.decimal_digits), ROUND(IMAGINARY(_xlpm.result),_xlpm.decimal_digits))
)</f>
        <v>2.399+540.487i</v>
      </c>
      <c r="AH42" s="150" t="str">
        <f t="shared" ref="AH42" si="100">_xlfn.LET(
  _xlpm.decimal_digits, 3,
  _xlpm.result, COMPLEX(AH39/(20*LOG10(EXP(1))),AH41),
  COMPLEX(ROUND(IMREAL(_xlpm.result),_xlpm.decimal_digits), ROUND(IMAGINARY(_xlpm.result),_xlpm.decimal_digits))
)</f>
        <v>2.972+720.003i</v>
      </c>
      <c r="AK42" s="111" t="s">
        <v>184</v>
      </c>
      <c r="AL42" s="256"/>
      <c r="AM42" s="113">
        <f>IMABS(IMDIV(IMSUB(I42,S42),1))</f>
        <v>0.36938868417968823</v>
      </c>
      <c r="AN42" s="132">
        <f t="shared" ref="AN42:AR43" si="101">IMABS(IMDIV(IMSUB(J42,T42),1))</f>
        <v>0.73756355658343487</v>
      </c>
      <c r="AO42" s="132">
        <f t="shared" si="101"/>
        <v>1.8321146252349845</v>
      </c>
      <c r="AP42" s="132">
        <f t="shared" si="101"/>
        <v>3.7038393593674801</v>
      </c>
      <c r="AQ42" s="132">
        <f t="shared" si="101"/>
        <v>5.6194893006393283</v>
      </c>
      <c r="AR42" s="130">
        <f t="shared" si="101"/>
        <v>7.6191026374501707</v>
      </c>
      <c r="AT42" s="111" t="s">
        <v>184</v>
      </c>
      <c r="AU42" s="256"/>
      <c r="AV42" s="132">
        <f t="shared" si="78"/>
        <v>0.3657881900772651</v>
      </c>
      <c r="AW42" s="132">
        <f t="shared" si="74"/>
        <v>0.73193578953347571</v>
      </c>
      <c r="AX42" s="132">
        <f t="shared" si="74"/>
        <v>1.8183096545968283</v>
      </c>
      <c r="AY42" s="132">
        <f t="shared" si="74"/>
        <v>3.6788292974804016</v>
      </c>
      <c r="AZ42" s="132">
        <f t="shared" si="74"/>
        <v>5.5812938464123771</v>
      </c>
      <c r="BA42" s="130">
        <f t="shared" si="74"/>
        <v>7.5677500619404094</v>
      </c>
    </row>
    <row r="43" spans="7:53" x14ac:dyDescent="0.55000000000000004">
      <c r="G43" s="151" t="s">
        <v>185</v>
      </c>
      <c r="H43" s="257"/>
      <c r="I43" s="121" t="str">
        <f t="shared" ref="I43:N43" si="102">_xlfn.LET(
  _xlpm.decimal_digits, 3,
  _xlpm.result, COMPLEX(I40/(20*LOG10(EXP(1))),I41),
  COMPLEX(ROUND(IMREAL(_xlpm.result),_xlpm.decimal_digits), ROUND(IMAGINARY(_xlpm.result),_xlpm.decimal_digits))
)</f>
        <v>0.588+36.798i</v>
      </c>
      <c r="J43" s="121" t="str">
        <f t="shared" si="102"/>
        <v>0.866+73.596i</v>
      </c>
      <c r="K43" s="121" t="str">
        <f t="shared" si="102"/>
        <v>1.501+184.023i</v>
      </c>
      <c r="L43" s="121" t="str">
        <f t="shared" si="102"/>
        <v>2.375+367.917i</v>
      </c>
      <c r="M43" s="121" t="str">
        <f t="shared" si="102"/>
        <v>3.174+551.682i</v>
      </c>
      <c r="N43" s="152" t="str">
        <f t="shared" si="102"/>
        <v>3.934+735.183i</v>
      </c>
      <c r="Q43" s="151" t="s">
        <v>185</v>
      </c>
      <c r="R43" s="257"/>
      <c r="S43" s="121" t="str">
        <f>_xlfn.LET(
  _xlpm.decimal_digits, 3,
  _xlpm.result, COMPLEX(S40/(20*LOG10(EXP(1))),S41),
  COMPLEX(ROUND(IMREAL(_xlpm.result),_xlpm.decimal_digits), ROUND(IMAGINARY(_xlpm.result),_xlpm.decimal_digits))
)</f>
        <v>0.557+36.43i</v>
      </c>
      <c r="T43" s="121" t="str">
        <f t="shared" ref="T43:X43" si="103">_xlfn.LET(
  _xlpm.decimal_digits, 3,
  _xlpm.result, COMPLEX(T40/(20*LOG10(EXP(1))),T41),
  COMPLEX(ROUND(IMREAL(_xlpm.result),_xlpm.decimal_digits), ROUND(IMAGINARY(_xlpm.result),_xlpm.decimal_digits))
)</f>
        <v>0.82+72.86i</v>
      </c>
      <c r="U43" s="121" t="str">
        <f t="shared" si="103"/>
        <v>1.417+182.193i</v>
      </c>
      <c r="V43" s="121" t="str">
        <f t="shared" si="103"/>
        <v>2.235+364.216i</v>
      </c>
      <c r="W43" s="121" t="str">
        <f t="shared" si="103"/>
        <v>2.982+546.066i</v>
      </c>
      <c r="X43" s="152" t="str">
        <f t="shared" si="103"/>
        <v>3.692+727.568i</v>
      </c>
      <c r="AA43" s="151" t="s">
        <v>185</v>
      </c>
      <c r="AB43" s="257"/>
      <c r="AC43" s="121" t="str">
        <f>_xlfn.LET(
  _xlpm.decimal_digits, 3,
  _xlpm.result, COMPLEX(AC40/(20*LOG10(EXP(1))),AC41),
  COMPLEX(ROUND(IMREAL(_xlpm.result),_xlpm.decimal_digits), ROUND(IMAGINARY(_xlpm.result),_xlpm.decimal_digits))
)</f>
        <v>0.54+36.065i</v>
      </c>
      <c r="AD43" s="121" t="str">
        <f t="shared" ref="AD43:AH43" si="104">_xlfn.LET(
  _xlpm.decimal_digits, 3,
  _xlpm.result, COMPLEX(AD40/(20*LOG10(EXP(1))),AD41),
  COMPLEX(ROUND(IMREAL(_xlpm.result),_xlpm.decimal_digits), ROUND(IMAGINARY(_xlpm.result),_xlpm.decimal_digits))
)</f>
        <v>0.792+72.129i</v>
      </c>
      <c r="AE43" s="121" t="str">
        <f t="shared" si="104"/>
        <v>1.364+180.376i</v>
      </c>
      <c r="AF43" s="121" t="str">
        <f t="shared" si="104"/>
        <v>2.143+360.539i</v>
      </c>
      <c r="AG43" s="121" t="str">
        <f t="shared" si="104"/>
        <v>2.853+540.487i</v>
      </c>
      <c r="AH43" s="152" t="str">
        <f t="shared" si="104"/>
        <v>3.526+720.003i</v>
      </c>
      <c r="AK43" s="135" t="s">
        <v>185</v>
      </c>
      <c r="AL43" s="257"/>
      <c r="AM43" s="113">
        <f>IMABS(IMDIV(IMSUB(I43,S43),1))</f>
        <v>0.36930339830551451</v>
      </c>
      <c r="AN43" s="121">
        <f t="shared" si="101"/>
        <v>0.73743609892654838</v>
      </c>
      <c r="AO43" s="121">
        <f t="shared" si="101"/>
        <v>1.8319268544349492</v>
      </c>
      <c r="AP43" s="121">
        <f t="shared" si="101"/>
        <v>3.7036469864175374</v>
      </c>
      <c r="AQ43" s="121">
        <f t="shared" si="101"/>
        <v>5.6192810928089267</v>
      </c>
      <c r="AR43" s="122">
        <f t="shared" si="101"/>
        <v>7.6188443349369042</v>
      </c>
      <c r="AT43" s="135" t="s">
        <v>185</v>
      </c>
      <c r="AU43" s="257"/>
      <c r="AV43" s="121">
        <f t="shared" si="78"/>
        <v>0.36539567594595518</v>
      </c>
      <c r="AW43" s="121">
        <f t="shared" si="74"/>
        <v>0.73153605516064124</v>
      </c>
      <c r="AX43" s="121">
        <f t="shared" si="74"/>
        <v>1.8177728130874982</v>
      </c>
      <c r="AY43" s="121">
        <f t="shared" si="74"/>
        <v>3.678150758193599</v>
      </c>
      <c r="AZ43" s="121">
        <f t="shared" si="74"/>
        <v>5.580491197018473</v>
      </c>
      <c r="BA43" s="122">
        <f t="shared" si="74"/>
        <v>7.5668210630355919</v>
      </c>
    </row>
    <row r="44" spans="7:53" x14ac:dyDescent="0.55000000000000004">
      <c r="G44" s="252" t="str">
        <f>_xlfn.CONCAT("RLGC Parameters at Temp = ",$R$19,"°C (dB/m)")</f>
        <v>RLGC Parameters at Temp = 25°C (dB/m)</v>
      </c>
      <c r="H44" s="253"/>
      <c r="I44" s="253"/>
      <c r="J44" s="253"/>
      <c r="K44" s="253"/>
      <c r="L44" s="253"/>
      <c r="M44" s="253"/>
      <c r="N44" s="254"/>
      <c r="Q44" s="252" t="str">
        <f>_xlfn.CONCAT("RLGC Parameters at Temp = ",$R$19,"°C (dB/m)")</f>
        <v>RLGC Parameters at Temp = 25°C (dB/m)</v>
      </c>
      <c r="R44" s="253"/>
      <c r="S44" s="253"/>
      <c r="T44" s="253"/>
      <c r="U44" s="253"/>
      <c r="V44" s="253"/>
      <c r="W44" s="253"/>
      <c r="X44" s="254"/>
      <c r="AA44" s="252" t="str">
        <f>_xlfn.CONCAT("RLGC Parameters at Temp = ",$R$19,"°C (dB/m)")</f>
        <v>RLGC Parameters at Temp = 25°C (dB/m)</v>
      </c>
      <c r="AB44" s="253"/>
      <c r="AC44" s="253"/>
      <c r="AD44" s="253"/>
      <c r="AE44" s="253"/>
      <c r="AF44" s="253"/>
      <c r="AG44" s="253"/>
      <c r="AH44" s="254"/>
      <c r="AK44" s="258" t="str">
        <f>_xlfn.CONCAT("RLGC Parameters at Temp = ",$R$19,"°C (dB/m)")</f>
        <v>RLGC Parameters at Temp = 25°C (dB/m)</v>
      </c>
      <c r="AL44" s="253"/>
      <c r="AM44" s="253"/>
      <c r="AN44" s="253"/>
      <c r="AO44" s="253"/>
      <c r="AP44" s="253"/>
      <c r="AQ44" s="253"/>
      <c r="AR44" s="259"/>
      <c r="AT44" s="258" t="str">
        <f>_xlfn.CONCAT("RLGC Parameters at Temp = ",$R$19,"°C (dB/m)")</f>
        <v>RLGC Parameters at Temp = 25°C (dB/m)</v>
      </c>
      <c r="AU44" s="253"/>
      <c r="AV44" s="253"/>
      <c r="AW44" s="253"/>
      <c r="AX44" s="253"/>
      <c r="AY44" s="253"/>
      <c r="AZ44" s="253"/>
      <c r="BA44" s="259"/>
    </row>
    <row r="45" spans="7:53" x14ac:dyDescent="0.55000000000000004">
      <c r="G45" s="149" t="s">
        <v>186</v>
      </c>
      <c r="H45" s="255">
        <f>H19</f>
        <v>25</v>
      </c>
      <c r="I45" s="139">
        <f t="shared" ref="I45:N46" si="105">IMREAL(IMPRODUCT(I42,I24))</f>
        <v>32.677177999999998</v>
      </c>
      <c r="J45" s="139">
        <f t="shared" si="105"/>
        <v>49.529456000000003</v>
      </c>
      <c r="K45" s="139">
        <f t="shared" si="105"/>
        <v>89.850063000000006</v>
      </c>
      <c r="L45" s="139">
        <f t="shared" si="105"/>
        <v>147.603993</v>
      </c>
      <c r="M45" s="139">
        <f t="shared" si="105"/>
        <v>201.54563099999999</v>
      </c>
      <c r="N45" s="153">
        <f t="shared" si="105"/>
        <v>253.592343</v>
      </c>
      <c r="O45" s="59"/>
      <c r="Q45" s="149" t="s">
        <v>186</v>
      </c>
      <c r="R45" s="255">
        <f>R19</f>
        <v>25</v>
      </c>
      <c r="S45" s="139">
        <f t="shared" ref="S45:S46" si="106">IMREAL(IMPRODUCT(S42,S24))</f>
        <v>34.674680000000002</v>
      </c>
      <c r="T45" s="139">
        <f t="shared" ref="T45:X45" si="107">IMREAL(IMPRODUCT(T42,T24))</f>
        <v>52.448700000000002</v>
      </c>
      <c r="U45" s="139">
        <f t="shared" si="107"/>
        <v>94.671762000000001</v>
      </c>
      <c r="V45" s="139">
        <f t="shared" si="107"/>
        <v>154.97929400000001</v>
      </c>
      <c r="W45" s="139">
        <f t="shared" si="107"/>
        <v>211.23061799999999</v>
      </c>
      <c r="X45" s="153">
        <f t="shared" si="107"/>
        <v>265.40928000000002</v>
      </c>
      <c r="Y45" s="59"/>
      <c r="AA45" s="149" t="s">
        <v>186</v>
      </c>
      <c r="AB45" s="255">
        <f>AB19</f>
        <v>25</v>
      </c>
      <c r="AC45" s="139">
        <f t="shared" ref="AC45:AH45" si="108">IMREAL(IMPRODUCT(AC42,AC24))</f>
        <v>36.612971999999999</v>
      </c>
      <c r="AD45" s="139">
        <f t="shared" si="108"/>
        <v>55.147880000000001</v>
      </c>
      <c r="AE45" s="139">
        <f t="shared" si="108"/>
        <v>98.859970000000004</v>
      </c>
      <c r="AF45" s="139">
        <f t="shared" si="108"/>
        <v>160.944085</v>
      </c>
      <c r="AG45" s="139">
        <f t="shared" si="108"/>
        <v>218.728363</v>
      </c>
      <c r="AH45" s="153">
        <f t="shared" si="108"/>
        <v>274.20482399999997</v>
      </c>
      <c r="AI45" s="59"/>
      <c r="AK45" s="111" t="s">
        <v>186</v>
      </c>
      <c r="AL45" s="255">
        <f>AL19</f>
        <v>25</v>
      </c>
      <c r="AM45" s="184">
        <f>IMABS(IMDIV(I45-S45,1))</f>
        <v>1.9975020000000001</v>
      </c>
      <c r="AN45" s="139">
        <f t="shared" ref="AN45:AR60" si="109">IMABS(IMDIV(J45-T45,1))</f>
        <v>2.919244</v>
      </c>
      <c r="AO45" s="139">
        <f t="shared" si="109"/>
        <v>4.8216989999999997</v>
      </c>
      <c r="AP45" s="139">
        <f t="shared" si="109"/>
        <v>7.3753010000000101</v>
      </c>
      <c r="AQ45" s="139">
        <f t="shared" si="109"/>
        <v>9.6849870000000102</v>
      </c>
      <c r="AR45" s="153">
        <f t="shared" si="109"/>
        <v>11.816936999999999</v>
      </c>
      <c r="AT45" s="111" t="s">
        <v>186</v>
      </c>
      <c r="AU45" s="255">
        <f>AU19</f>
        <v>25</v>
      </c>
      <c r="AV45" s="184">
        <f>IMABS(IMDIV(IMSUB(S45,AC45),1))</f>
        <v>1.9382919999999999</v>
      </c>
      <c r="AW45" s="184">
        <f t="shared" ref="AW45:BA60" si="110">IMABS(IMDIV(IMSUB(T45,AD45),1))</f>
        <v>2.6991800000000001</v>
      </c>
      <c r="AX45" s="184">
        <f t="shared" si="110"/>
        <v>4.1882080000000004</v>
      </c>
      <c r="AY45" s="184">
        <f t="shared" si="110"/>
        <v>5.9647909999999902</v>
      </c>
      <c r="AZ45" s="184">
        <f t="shared" si="110"/>
        <v>7.4977450000000099</v>
      </c>
      <c r="BA45" s="153">
        <f>IMABS(IMDIV(IMSUB(X45,AH45),1))</f>
        <v>8.7955439999999498</v>
      </c>
    </row>
    <row r="46" spans="7:53" x14ac:dyDescent="0.55000000000000004">
      <c r="G46" s="149" t="s">
        <v>187</v>
      </c>
      <c r="H46" s="256"/>
      <c r="I46" s="133">
        <f t="shared" si="105"/>
        <v>27.603078</v>
      </c>
      <c r="J46" s="133">
        <f t="shared" si="105"/>
        <v>41.487726000000002</v>
      </c>
      <c r="K46" s="133">
        <f t="shared" si="105"/>
        <v>74.324734000000007</v>
      </c>
      <c r="L46" s="133">
        <f t="shared" si="105"/>
        <v>120.93793100000001</v>
      </c>
      <c r="M46" s="133">
        <f t="shared" si="105"/>
        <v>164.25434999999999</v>
      </c>
      <c r="N46" s="154">
        <f t="shared" si="105"/>
        <v>205.881201</v>
      </c>
      <c r="O46" s="59"/>
      <c r="Q46" s="149" t="s">
        <v>187</v>
      </c>
      <c r="R46" s="256"/>
      <c r="S46" s="133">
        <f t="shared" si="106"/>
        <v>29.461500000000001</v>
      </c>
      <c r="T46" s="133">
        <f t="shared" ref="T46:X46" si="111">IMREAL(IMPRODUCT(T43,T25))</f>
        <v>44.237699999999997</v>
      </c>
      <c r="U46" s="133">
        <f t="shared" si="111"/>
        <v>78.960830999999999</v>
      </c>
      <c r="V46" s="133">
        <f t="shared" si="111"/>
        <v>128.05255500000001</v>
      </c>
      <c r="W46" s="133">
        <f t="shared" si="111"/>
        <v>173.62824000000001</v>
      </c>
      <c r="X46" s="154">
        <f t="shared" si="111"/>
        <v>217.418092</v>
      </c>
      <c r="Y46" s="59"/>
      <c r="AA46" s="149" t="s">
        <v>187</v>
      </c>
      <c r="AB46" s="256"/>
      <c r="AC46" s="133">
        <f t="shared" ref="AC46:AH46" si="112">IMREAL(IMPRODUCT(AC43,AC25))</f>
        <v>31.93432</v>
      </c>
      <c r="AD46" s="133">
        <f t="shared" si="112"/>
        <v>47.683284</v>
      </c>
      <c r="AE46" s="133">
        <f t="shared" si="112"/>
        <v>84.568792000000002</v>
      </c>
      <c r="AF46" s="133">
        <f t="shared" si="112"/>
        <v>136.332461</v>
      </c>
      <c r="AG46" s="133">
        <f t="shared" si="112"/>
        <v>184.25982500000001</v>
      </c>
      <c r="AH46" s="154">
        <f t="shared" si="112"/>
        <v>230.190406</v>
      </c>
      <c r="AI46" s="59"/>
      <c r="AK46" s="111" t="s">
        <v>187</v>
      </c>
      <c r="AL46" s="256"/>
      <c r="AM46" s="133">
        <f t="shared" ref="AM46:AM68" si="113">IMABS(IMDIV(I46-S46,1))</f>
        <v>1.858422</v>
      </c>
      <c r="AN46" s="133">
        <f t="shared" si="109"/>
        <v>2.7499739999999901</v>
      </c>
      <c r="AO46" s="133">
        <f t="shared" si="109"/>
        <v>4.6360969999999897</v>
      </c>
      <c r="AP46" s="133">
        <f t="shared" si="109"/>
        <v>7.1146240000000098</v>
      </c>
      <c r="AQ46" s="133">
        <f t="shared" si="109"/>
        <v>9.3738900000000207</v>
      </c>
      <c r="AR46" s="154">
        <f t="shared" si="109"/>
        <v>11.536891000000001</v>
      </c>
      <c r="AT46" s="111" t="s">
        <v>187</v>
      </c>
      <c r="AU46" s="256"/>
      <c r="AV46" s="133">
        <f t="shared" ref="AV46:AV68" si="114">IMABS(IMDIV(IMSUB(S46,AC46),1))</f>
        <v>2.47282</v>
      </c>
      <c r="AW46" s="133">
        <f t="shared" si="110"/>
        <v>3.4455840000000002</v>
      </c>
      <c r="AX46" s="133">
        <f t="shared" si="110"/>
        <v>5.6079610000000004</v>
      </c>
      <c r="AY46" s="133">
        <f t="shared" si="110"/>
        <v>8.2799059999999791</v>
      </c>
      <c r="AZ46" s="133">
        <f t="shared" si="110"/>
        <v>10.631584999999999</v>
      </c>
      <c r="BA46" s="154">
        <f t="shared" si="110"/>
        <v>12.772314</v>
      </c>
    </row>
    <row r="47" spans="7:53" x14ac:dyDescent="0.55000000000000004">
      <c r="G47" s="149" t="s">
        <v>188</v>
      </c>
      <c r="H47" s="256"/>
      <c r="I47" s="133">
        <f t="shared" ref="I47:N48" si="115">IMAGINARY(IMPRODUCT(I42,I24))/(2*PI()*S$18)</f>
        <v>356.45610633841926</v>
      </c>
      <c r="J47" s="133">
        <f t="shared" si="115"/>
        <v>356.45736843711796</v>
      </c>
      <c r="K47" s="133">
        <f t="shared" si="115"/>
        <v>356.46380953315787</v>
      </c>
      <c r="L47" s="133">
        <f t="shared" si="115"/>
        <v>356.46234801331548</v>
      </c>
      <c r="M47" s="133">
        <f t="shared" si="115"/>
        <v>356.4604993013275</v>
      </c>
      <c r="N47" s="154">
        <f t="shared" si="115"/>
        <v>356.46323492015131</v>
      </c>
      <c r="O47" s="59"/>
      <c r="Q47" s="149" t="s">
        <v>188</v>
      </c>
      <c r="R47" s="256"/>
      <c r="S47" s="133">
        <f t="shared" ref="S47:X48" si="116">IMAGINARY(IMPRODUCT(S42,S24))/(2*PI()*S$18)</f>
        <v>401.59486162483779</v>
      </c>
      <c r="T47" s="133">
        <f t="shared" si="116"/>
        <v>401.59606547282738</v>
      </c>
      <c r="U47" s="133">
        <f t="shared" si="116"/>
        <v>401.59911866942468</v>
      </c>
      <c r="V47" s="133">
        <f t="shared" si="116"/>
        <v>401.6035370016308</v>
      </c>
      <c r="W47" s="133">
        <f t="shared" si="116"/>
        <v>401.59948832269549</v>
      </c>
      <c r="X47" s="154">
        <f t="shared" si="116"/>
        <v>401.60227156067828</v>
      </c>
      <c r="Y47" s="59"/>
      <c r="AA47" s="149" t="s">
        <v>188</v>
      </c>
      <c r="AB47" s="256"/>
      <c r="AC47" s="133">
        <f t="shared" ref="AC47:AH48" si="117">IMAGINARY(IMPRODUCT(AC42,AC24))/(2*PI()*S$18)</f>
        <v>445.34490759051909</v>
      </c>
      <c r="AD47" s="133">
        <f t="shared" si="117"/>
        <v>445.33984582670894</v>
      </c>
      <c r="AE47" s="133">
        <f t="shared" si="117"/>
        <v>445.34662060700254</v>
      </c>
      <c r="AF47" s="133">
        <f t="shared" si="117"/>
        <v>445.34234247438576</v>
      </c>
      <c r="AG47" s="133">
        <f t="shared" si="117"/>
        <v>445.34157933173884</v>
      </c>
      <c r="AH47" s="154">
        <f t="shared" si="117"/>
        <v>445.3433419913016</v>
      </c>
      <c r="AI47" s="59"/>
      <c r="AK47" s="111" t="s">
        <v>188</v>
      </c>
      <c r="AL47" s="256"/>
      <c r="AM47" s="133">
        <f t="shared" si="113"/>
        <v>45.138755286418501</v>
      </c>
      <c r="AN47" s="133">
        <f t="shared" si="109"/>
        <v>45.138697035709399</v>
      </c>
      <c r="AO47" s="133">
        <f t="shared" si="109"/>
        <v>45.135309136266798</v>
      </c>
      <c r="AP47" s="133">
        <f t="shared" si="109"/>
        <v>45.141188988315299</v>
      </c>
      <c r="AQ47" s="133">
        <f t="shared" si="109"/>
        <v>45.138989021367998</v>
      </c>
      <c r="AR47" s="154">
        <f t="shared" si="109"/>
        <v>45.139036640527003</v>
      </c>
      <c r="AT47" s="111" t="s">
        <v>188</v>
      </c>
      <c r="AU47" s="256"/>
      <c r="AV47" s="133">
        <f t="shared" si="114"/>
        <v>43.750045965681302</v>
      </c>
      <c r="AW47" s="133">
        <f t="shared" si="110"/>
        <v>43.743780353881597</v>
      </c>
      <c r="AX47" s="133">
        <f t="shared" si="110"/>
        <v>43.747501937577901</v>
      </c>
      <c r="AY47" s="133">
        <f t="shared" si="110"/>
        <v>43.738805472754997</v>
      </c>
      <c r="AZ47" s="133">
        <f t="shared" si="110"/>
        <v>43.7420910090433</v>
      </c>
      <c r="BA47" s="154">
        <f t="shared" si="110"/>
        <v>43.741070430623303</v>
      </c>
    </row>
    <row r="48" spans="7:53" x14ac:dyDescent="0.55000000000000004">
      <c r="G48" s="149" t="s">
        <v>189</v>
      </c>
      <c r="H48" s="256"/>
      <c r="I48" s="133">
        <f t="shared" si="115"/>
        <v>259.16736979558527</v>
      </c>
      <c r="J48" s="133">
        <f t="shared" si="115"/>
        <v>259.16843056328099</v>
      </c>
      <c r="K48" s="133">
        <f t="shared" si="115"/>
        <v>259.16896268191772</v>
      </c>
      <c r="L48" s="133">
        <f t="shared" si="115"/>
        <v>259.16638613845953</v>
      </c>
      <c r="M48" s="133">
        <f t="shared" si="115"/>
        <v>259.16934968307737</v>
      </c>
      <c r="N48" s="154">
        <f t="shared" si="115"/>
        <v>259.15969193831359</v>
      </c>
      <c r="O48" s="59"/>
      <c r="Q48" s="149" t="s">
        <v>189</v>
      </c>
      <c r="R48" s="256"/>
      <c r="S48" s="133">
        <f t="shared" si="116"/>
        <v>289.60683889439684</v>
      </c>
      <c r="T48" s="133">
        <f t="shared" si="116"/>
        <v>289.60789170434543</v>
      </c>
      <c r="U48" s="133">
        <f t="shared" si="116"/>
        <v>289.60757399924802</v>
      </c>
      <c r="V48" s="133">
        <f t="shared" si="116"/>
        <v>289.60621263561131</v>
      </c>
      <c r="W48" s="133">
        <f t="shared" si="116"/>
        <v>289.60867761145443</v>
      </c>
      <c r="X48" s="154">
        <f t="shared" si="116"/>
        <v>289.61037283441527</v>
      </c>
      <c r="Y48" s="59"/>
      <c r="AA48" s="149" t="s">
        <v>189</v>
      </c>
      <c r="AB48" s="256"/>
      <c r="AC48" s="133">
        <f t="shared" si="117"/>
        <v>322.5741524261669</v>
      </c>
      <c r="AD48" s="133">
        <f t="shared" si="117"/>
        <v>322.57068865756293</v>
      </c>
      <c r="AE48" s="133">
        <f t="shared" si="117"/>
        <v>322.5696496463479</v>
      </c>
      <c r="AF48" s="133">
        <f t="shared" si="117"/>
        <v>322.56896147628947</v>
      </c>
      <c r="AG48" s="133">
        <f t="shared" si="117"/>
        <v>322.57234979484014</v>
      </c>
      <c r="AH48" s="154">
        <f t="shared" si="117"/>
        <v>322.56961852359876</v>
      </c>
      <c r="AI48" s="59"/>
      <c r="AK48" s="111" t="s">
        <v>189</v>
      </c>
      <c r="AL48" s="256"/>
      <c r="AM48" s="133">
        <f t="shared" si="113"/>
        <v>30.4394690988116</v>
      </c>
      <c r="AN48" s="133">
        <f t="shared" si="109"/>
        <v>30.439461141064399</v>
      </c>
      <c r="AO48" s="133">
        <f t="shared" si="109"/>
        <v>30.438611317330299</v>
      </c>
      <c r="AP48" s="133">
        <f t="shared" si="109"/>
        <v>30.439826497151799</v>
      </c>
      <c r="AQ48" s="133">
        <f t="shared" si="109"/>
        <v>30.4393279283771</v>
      </c>
      <c r="AR48" s="154">
        <f t="shared" si="109"/>
        <v>30.450680896101701</v>
      </c>
      <c r="AT48" s="111" t="s">
        <v>189</v>
      </c>
      <c r="AU48" s="256"/>
      <c r="AV48" s="133">
        <f t="shared" si="114"/>
        <v>32.967313531770102</v>
      </c>
      <c r="AW48" s="133">
        <f t="shared" si="110"/>
        <v>32.962796953217499</v>
      </c>
      <c r="AX48" s="133">
        <f t="shared" si="110"/>
        <v>32.962075647099901</v>
      </c>
      <c r="AY48" s="133">
        <f t="shared" si="110"/>
        <v>32.962748840678202</v>
      </c>
      <c r="AZ48" s="133">
        <f t="shared" si="110"/>
        <v>32.963672183385697</v>
      </c>
      <c r="BA48" s="154">
        <f t="shared" si="110"/>
        <v>32.959245689183497</v>
      </c>
    </row>
    <row r="49" spans="7:53" x14ac:dyDescent="0.55000000000000004">
      <c r="G49" s="155" t="s">
        <v>190</v>
      </c>
      <c r="H49" s="256"/>
      <c r="I49" s="137">
        <f t="shared" ref="I49:N50" si="118">IMREAL(IMDIV(I42,I24))</f>
        <v>7.6089692926119903E-3</v>
      </c>
      <c r="J49" s="137">
        <f t="shared" si="118"/>
        <v>1.0946193923339301E-2</v>
      </c>
      <c r="K49" s="137">
        <f t="shared" si="118"/>
        <v>1.8199612409544801E-2</v>
      </c>
      <c r="L49" s="137">
        <f t="shared" si="118"/>
        <v>2.7717522266952899E-2</v>
      </c>
      <c r="M49" s="137">
        <f t="shared" si="118"/>
        <v>3.6198543178839401E-2</v>
      </c>
      <c r="N49" s="156">
        <f t="shared" si="118"/>
        <v>4.4148525881910802E-2</v>
      </c>
      <c r="O49" s="59"/>
      <c r="Q49" s="155" t="s">
        <v>190</v>
      </c>
      <c r="R49" s="256"/>
      <c r="S49" s="137">
        <f t="shared" ref="S49:S50" si="119">IMREAL(IMDIV(S42,S24))</f>
        <v>6.2858685567905997E-3</v>
      </c>
      <c r="T49" s="137">
        <f t="shared" ref="T49:X49" si="120">IMREAL(IMDIV(T42,T24))</f>
        <v>9.0490372723812801E-3</v>
      </c>
      <c r="U49" s="137">
        <f t="shared" si="120"/>
        <v>1.50309487140245E-2</v>
      </c>
      <c r="V49" s="137">
        <f t="shared" si="120"/>
        <v>2.2878442595661599E-2</v>
      </c>
      <c r="W49" s="137">
        <f t="shared" si="120"/>
        <v>2.9872076680892298E-2</v>
      </c>
      <c r="X49" s="156">
        <f t="shared" si="120"/>
        <v>3.6411855343421902E-2</v>
      </c>
      <c r="Y49" s="59"/>
      <c r="AA49" s="155" t="s">
        <v>190</v>
      </c>
      <c r="AB49" s="256"/>
      <c r="AC49" s="137">
        <f t="shared" ref="AC49:AH49" si="121">IMREAL(IMDIV(AC42,AC24))</f>
        <v>5.3630732723183999E-3</v>
      </c>
      <c r="AD49" s="137">
        <f t="shared" si="121"/>
        <v>7.7231165999653304E-3</v>
      </c>
      <c r="AE49" s="137">
        <f t="shared" si="121"/>
        <v>1.2833874274276E-2</v>
      </c>
      <c r="AF49" s="137">
        <f t="shared" si="121"/>
        <v>1.9536809680565901E-2</v>
      </c>
      <c r="AG49" s="137">
        <f t="shared" si="121"/>
        <v>2.5514805318599201E-2</v>
      </c>
      <c r="AH49" s="156">
        <f t="shared" si="121"/>
        <v>3.1085785127498999E-2</v>
      </c>
      <c r="AI49" s="59"/>
      <c r="AK49" s="136" t="s">
        <v>190</v>
      </c>
      <c r="AL49" s="256"/>
      <c r="AM49" s="137">
        <f t="shared" si="113"/>
        <v>1.3231007358213899E-3</v>
      </c>
      <c r="AN49" s="137">
        <f t="shared" si="109"/>
        <v>1.89715665095802E-3</v>
      </c>
      <c r="AO49" s="137">
        <f t="shared" si="109"/>
        <v>3.1686636955203002E-3</v>
      </c>
      <c r="AP49" s="137">
        <f t="shared" si="109"/>
        <v>4.8390796712912999E-3</v>
      </c>
      <c r="AQ49" s="137">
        <f t="shared" si="109"/>
        <v>6.3264664979471004E-3</v>
      </c>
      <c r="AR49" s="156">
        <f t="shared" si="109"/>
        <v>7.7366705384889004E-3</v>
      </c>
      <c r="AT49" s="136" t="s">
        <v>190</v>
      </c>
      <c r="AU49" s="256"/>
      <c r="AV49" s="137">
        <f t="shared" si="114"/>
        <v>9.2279528447220005E-4</v>
      </c>
      <c r="AW49" s="137">
        <f t="shared" si="110"/>
        <v>1.3259206724159499E-3</v>
      </c>
      <c r="AX49" s="137">
        <f t="shared" si="110"/>
        <v>2.1970744397485E-3</v>
      </c>
      <c r="AY49" s="137">
        <f t="shared" si="110"/>
        <v>3.3416329150956999E-3</v>
      </c>
      <c r="AZ49" s="137">
        <f t="shared" si="110"/>
        <v>4.3572713622931003E-3</v>
      </c>
      <c r="BA49" s="156">
        <f t="shared" si="110"/>
        <v>5.3260702159228998E-3</v>
      </c>
    </row>
    <row r="50" spans="7:53" x14ac:dyDescent="0.55000000000000004">
      <c r="G50" s="149" t="s">
        <v>191</v>
      </c>
      <c r="H50" s="256"/>
      <c r="I50" s="137">
        <f t="shared" si="118"/>
        <v>1.2479230656759E-2</v>
      </c>
      <c r="J50" s="137">
        <f t="shared" si="118"/>
        <v>1.7953293137197301E-2</v>
      </c>
      <c r="K50" s="137">
        <f t="shared" si="118"/>
        <v>2.9882561477753498E-2</v>
      </c>
      <c r="L50" s="137">
        <f t="shared" si="118"/>
        <v>4.5584161983140602E-2</v>
      </c>
      <c r="M50" s="137">
        <f t="shared" si="118"/>
        <v>5.95856572243951E-2</v>
      </c>
      <c r="N50" s="156">
        <f t="shared" si="118"/>
        <v>7.26975476547084E-2</v>
      </c>
      <c r="O50" s="59"/>
      <c r="Q50" s="149" t="s">
        <v>191</v>
      </c>
      <c r="R50" s="256"/>
      <c r="S50" s="137">
        <f t="shared" si="119"/>
        <v>1.0494089184066699E-2</v>
      </c>
      <c r="T50" s="137">
        <f t="shared" ref="T50:X50" si="122">IMREAL(IMDIV(T43,T25))</f>
        <v>1.51022972593607E-2</v>
      </c>
      <c r="U50" s="137">
        <f t="shared" si="122"/>
        <v>2.5087542610158199E-2</v>
      </c>
      <c r="V50" s="137">
        <f t="shared" si="122"/>
        <v>3.8168735088203697E-2</v>
      </c>
      <c r="W50" s="137">
        <f t="shared" si="122"/>
        <v>4.98227688208005E-2</v>
      </c>
      <c r="X50" s="156">
        <f t="shared" si="122"/>
        <v>6.0723720976501402E-2</v>
      </c>
      <c r="Y50" s="59"/>
      <c r="AA50" s="149" t="s">
        <v>191</v>
      </c>
      <c r="AB50" s="256"/>
      <c r="AC50" s="137">
        <f t="shared" ref="AC50:AH50" si="123">IMREAL(IMDIV(AC43,AC25))</f>
        <v>9.1062695209819106E-3</v>
      </c>
      <c r="AD50" s="137">
        <f t="shared" si="123"/>
        <v>1.3087909768675901E-2</v>
      </c>
      <c r="AE50" s="137">
        <f t="shared" si="123"/>
        <v>2.1763809777526798E-2</v>
      </c>
      <c r="AF50" s="137">
        <f t="shared" si="123"/>
        <v>3.3101514771128299E-2</v>
      </c>
      <c r="AG50" s="137">
        <f t="shared" si="123"/>
        <v>4.32045023824267E-2</v>
      </c>
      <c r="AH50" s="156">
        <f t="shared" si="123"/>
        <v>5.2634789750334601E-2</v>
      </c>
      <c r="AI50" s="59"/>
      <c r="AK50" s="111" t="s">
        <v>191</v>
      </c>
      <c r="AL50" s="256"/>
      <c r="AM50" s="137">
        <f t="shared" si="113"/>
        <v>1.9851414726923E-3</v>
      </c>
      <c r="AN50" s="137">
        <f t="shared" si="109"/>
        <v>2.8509958778366001E-3</v>
      </c>
      <c r="AO50" s="137">
        <f t="shared" si="109"/>
        <v>4.7950188675953001E-3</v>
      </c>
      <c r="AP50" s="137">
        <f t="shared" si="109"/>
        <v>7.4154268949369103E-3</v>
      </c>
      <c r="AQ50" s="137">
        <f t="shared" si="109"/>
        <v>9.7628884035945995E-3</v>
      </c>
      <c r="AR50" s="156">
        <f t="shared" si="109"/>
        <v>1.1973826678206999E-2</v>
      </c>
      <c r="AT50" s="111" t="s">
        <v>191</v>
      </c>
      <c r="AU50" s="256"/>
      <c r="AV50" s="137">
        <f t="shared" si="114"/>
        <v>1.38781966308479E-3</v>
      </c>
      <c r="AW50" s="137">
        <f t="shared" si="110"/>
        <v>2.0143874906847999E-3</v>
      </c>
      <c r="AX50" s="137">
        <f t="shared" si="110"/>
        <v>3.3237328326313998E-3</v>
      </c>
      <c r="AY50" s="137">
        <f t="shared" si="110"/>
        <v>5.0672203170753997E-3</v>
      </c>
      <c r="AZ50" s="137">
        <f t="shared" si="110"/>
        <v>6.6182664383738002E-3</v>
      </c>
      <c r="BA50" s="156">
        <f t="shared" si="110"/>
        <v>8.0889312261667994E-3</v>
      </c>
    </row>
    <row r="51" spans="7:53" x14ac:dyDescent="0.55000000000000004">
      <c r="G51" s="149" t="s">
        <v>192</v>
      </c>
      <c r="H51" s="256"/>
      <c r="I51" s="133">
        <f t="shared" ref="I51:N52" si="124">IMAGINARY(IMDIV(I42,I24))/(2*PI()*S$18)*1000</f>
        <v>96.223732312579003</v>
      </c>
      <c r="J51" s="133">
        <f t="shared" si="124"/>
        <v>96.223391623956374</v>
      </c>
      <c r="K51" s="133">
        <f t="shared" si="124"/>
        <v>96.256172155631404</v>
      </c>
      <c r="L51" s="133">
        <f t="shared" si="124"/>
        <v>96.189102917015362</v>
      </c>
      <c r="M51" s="133">
        <f t="shared" si="124"/>
        <v>96.122161186511562</v>
      </c>
      <c r="N51" s="154">
        <f t="shared" si="124"/>
        <v>96.018740473455424</v>
      </c>
      <c r="O51" s="59"/>
      <c r="Q51" s="149" t="s">
        <v>192</v>
      </c>
      <c r="R51" s="256"/>
      <c r="S51" s="133">
        <f t="shared" ref="S51:X52" si="125">IMAGINARY(IMDIV(S42,S24))/(2*PI()*S$18)*1000</f>
        <v>83.708606125965403</v>
      </c>
      <c r="T51" s="133">
        <f t="shared" si="125"/>
        <v>83.708355201141956</v>
      </c>
      <c r="U51" s="133">
        <f t="shared" si="125"/>
        <v>83.747245061238516</v>
      </c>
      <c r="V51" s="133">
        <f t="shared" si="125"/>
        <v>83.668200266484732</v>
      </c>
      <c r="W51" s="133">
        <f t="shared" si="125"/>
        <v>83.590037529999876</v>
      </c>
      <c r="X51" s="154">
        <f t="shared" si="125"/>
        <v>83.470101878022632</v>
      </c>
      <c r="Y51" s="59"/>
      <c r="AA51" s="149" t="s">
        <v>192</v>
      </c>
      <c r="AB51" s="256"/>
      <c r="AC51" s="133">
        <f t="shared" ref="AC51:AH52" si="126">IMAGINARY(IMDIV(AC42,AC24))/(2*PI()*S$18)*1000</f>
        <v>73.980180391123582</v>
      </c>
      <c r="AD51" s="133">
        <f t="shared" si="126"/>
        <v>73.978969947712926</v>
      </c>
      <c r="AE51" s="133">
        <f t="shared" si="126"/>
        <v>74.021748110294382</v>
      </c>
      <c r="AF51" s="133">
        <f t="shared" si="126"/>
        <v>73.93507439692678</v>
      </c>
      <c r="AG51" s="133">
        <f t="shared" si="126"/>
        <v>73.847321233417517</v>
      </c>
      <c r="AH51" s="154">
        <f t="shared" si="126"/>
        <v>73.714625122785961</v>
      </c>
      <c r="AI51" s="59"/>
      <c r="AK51" s="111" t="s">
        <v>192</v>
      </c>
      <c r="AL51" s="256"/>
      <c r="AM51" s="133">
        <f t="shared" si="113"/>
        <v>12.5151261866136</v>
      </c>
      <c r="AN51" s="133">
        <f t="shared" si="109"/>
        <v>12.515036422814401</v>
      </c>
      <c r="AO51" s="133">
        <f t="shared" si="109"/>
        <v>12.508927094392901</v>
      </c>
      <c r="AP51" s="133">
        <f t="shared" si="109"/>
        <v>12.5209026505306</v>
      </c>
      <c r="AQ51" s="133">
        <f t="shared" si="109"/>
        <v>12.5321236565117</v>
      </c>
      <c r="AR51" s="154">
        <f t="shared" si="109"/>
        <v>12.5486385954328</v>
      </c>
      <c r="AT51" s="111" t="s">
        <v>192</v>
      </c>
      <c r="AU51" s="256"/>
      <c r="AV51" s="133">
        <f t="shared" si="114"/>
        <v>9.7284257348418208</v>
      </c>
      <c r="AW51" s="133">
        <f t="shared" si="110"/>
        <v>9.7293852534290295</v>
      </c>
      <c r="AX51" s="133">
        <f t="shared" si="110"/>
        <v>9.7254969509441302</v>
      </c>
      <c r="AY51" s="133">
        <f t="shared" si="110"/>
        <v>9.7331258695579503</v>
      </c>
      <c r="AZ51" s="133">
        <f t="shared" si="110"/>
        <v>9.7427162965823602</v>
      </c>
      <c r="BA51" s="154">
        <f t="shared" si="110"/>
        <v>9.7554767552366695</v>
      </c>
    </row>
    <row r="52" spans="7:53" x14ac:dyDescent="0.55000000000000004">
      <c r="G52" s="149" t="s">
        <v>193</v>
      </c>
      <c r="H52" s="256"/>
      <c r="I52" s="133">
        <f t="shared" si="124"/>
        <v>132.3451291333717</v>
      </c>
      <c r="J52" s="133">
        <f t="shared" si="124"/>
        <v>132.34458746379971</v>
      </c>
      <c r="K52" s="133">
        <f t="shared" si="124"/>
        <v>132.39179386943971</v>
      </c>
      <c r="L52" s="133">
        <f t="shared" si="124"/>
        <v>132.30031893394317</v>
      </c>
      <c r="M52" s="133">
        <f t="shared" si="124"/>
        <v>132.20604857252081</v>
      </c>
      <c r="N52" s="154">
        <f t="shared" si="124"/>
        <v>132.06973909049347</v>
      </c>
      <c r="O52" s="59"/>
      <c r="Q52" s="149" t="s">
        <v>193</v>
      </c>
      <c r="R52" s="256"/>
      <c r="S52" s="133">
        <f t="shared" si="125"/>
        <v>116.07787257688197</v>
      </c>
      <c r="T52" s="133">
        <f t="shared" si="125"/>
        <v>116.07745060973244</v>
      </c>
      <c r="U52" s="133">
        <f t="shared" si="125"/>
        <v>116.13238905454936</v>
      </c>
      <c r="V52" s="133">
        <f t="shared" si="125"/>
        <v>116.0245994207211</v>
      </c>
      <c r="W52" s="133">
        <f t="shared" si="125"/>
        <v>115.91405419454659</v>
      </c>
      <c r="X52" s="154">
        <f t="shared" si="125"/>
        <v>115.74786443403765</v>
      </c>
      <c r="Y52" s="59"/>
      <c r="AA52" s="149" t="s">
        <v>193</v>
      </c>
      <c r="AB52" s="256"/>
      <c r="AC52" s="133">
        <f t="shared" si="126"/>
        <v>102.13681368267635</v>
      </c>
      <c r="AD52" s="133">
        <f t="shared" si="126"/>
        <v>102.13507840458762</v>
      </c>
      <c r="AE52" s="133">
        <f t="shared" si="126"/>
        <v>102.19602158389391</v>
      </c>
      <c r="AF52" s="133">
        <f t="shared" si="126"/>
        <v>102.07559518149185</v>
      </c>
      <c r="AG52" s="133">
        <f t="shared" si="126"/>
        <v>101.95319653701034</v>
      </c>
      <c r="AH52" s="154">
        <f t="shared" si="126"/>
        <v>101.77126155244369</v>
      </c>
      <c r="AI52" s="59"/>
      <c r="AK52" s="111" t="s">
        <v>193</v>
      </c>
      <c r="AL52" s="256"/>
      <c r="AM52" s="133">
        <f t="shared" si="113"/>
        <v>16.267256556489698</v>
      </c>
      <c r="AN52" s="133">
        <f t="shared" si="109"/>
        <v>16.267136854067299</v>
      </c>
      <c r="AO52" s="133">
        <f t="shared" si="109"/>
        <v>16.259404814890299</v>
      </c>
      <c r="AP52" s="133">
        <f t="shared" si="109"/>
        <v>16.2757195132221</v>
      </c>
      <c r="AQ52" s="133">
        <f t="shared" si="109"/>
        <v>16.291994377974198</v>
      </c>
      <c r="AR52" s="154">
        <f t="shared" si="109"/>
        <v>16.321874656455801</v>
      </c>
      <c r="AT52" s="111" t="s">
        <v>193</v>
      </c>
      <c r="AU52" s="256"/>
      <c r="AV52" s="133">
        <f t="shared" si="114"/>
        <v>13.9410588942056</v>
      </c>
      <c r="AW52" s="133">
        <f t="shared" si="110"/>
        <v>13.9423722051448</v>
      </c>
      <c r="AX52" s="133">
        <f t="shared" si="110"/>
        <v>13.936367470655499</v>
      </c>
      <c r="AY52" s="133">
        <f t="shared" si="110"/>
        <v>13.9490042392293</v>
      </c>
      <c r="AZ52" s="133">
        <f t="shared" si="110"/>
        <v>13.9608576575363</v>
      </c>
      <c r="BA52" s="154">
        <f t="shared" si="110"/>
        <v>13.976602881593999</v>
      </c>
    </row>
    <row r="53" spans="7:53" x14ac:dyDescent="0.55000000000000004">
      <c r="G53" s="62" t="s">
        <v>194</v>
      </c>
      <c r="H53" s="256"/>
      <c r="I53" s="133">
        <f t="shared" ref="I53:N53" si="127">0.5*IMREAL(IMSUM(IMPRODUCT(I42,I24),IMPRODUCT(I43,I25)))</f>
        <v>30.140128000000001</v>
      </c>
      <c r="J53" s="133">
        <f t="shared" si="127"/>
        <v>45.508591000000003</v>
      </c>
      <c r="K53" s="133">
        <f t="shared" si="127"/>
        <v>82.087398500000006</v>
      </c>
      <c r="L53" s="133">
        <f t="shared" si="127"/>
        <v>134.270962</v>
      </c>
      <c r="M53" s="133">
        <f t="shared" si="127"/>
        <v>182.8999905</v>
      </c>
      <c r="N53" s="154">
        <f t="shared" si="127"/>
        <v>229.736772</v>
      </c>
      <c r="Q53" s="62" t="s">
        <v>194</v>
      </c>
      <c r="R53" s="256"/>
      <c r="S53" s="133">
        <f t="shared" ref="S53" si="128">0.5*IMREAL(IMSUM(IMPRODUCT(S42,S24),IMPRODUCT(S43,S25)))</f>
        <v>32.068089999999998</v>
      </c>
      <c r="T53" s="133">
        <f t="shared" ref="T53:X53" si="129">0.5*IMREAL(IMSUM(IMPRODUCT(T42,T24),IMPRODUCT(T43,T25)))</f>
        <v>48.343200000000003</v>
      </c>
      <c r="U53" s="133">
        <f t="shared" si="129"/>
        <v>86.816296500000007</v>
      </c>
      <c r="V53" s="133">
        <f t="shared" si="129"/>
        <v>141.51592450000001</v>
      </c>
      <c r="W53" s="133">
        <f t="shared" si="129"/>
        <v>192.429429</v>
      </c>
      <c r="X53" s="154">
        <f t="shared" si="129"/>
        <v>241.41368600000001</v>
      </c>
      <c r="AA53" s="62" t="s">
        <v>194</v>
      </c>
      <c r="AB53" s="256"/>
      <c r="AC53" s="133">
        <f t="shared" ref="AC53:AH53" si="130">0.5*IMREAL(IMSUM(IMPRODUCT(AC42,AC24),IMPRODUCT(AC43,AC25)))</f>
        <v>34.273645999999999</v>
      </c>
      <c r="AD53" s="133">
        <f t="shared" si="130"/>
        <v>51.415582000000001</v>
      </c>
      <c r="AE53" s="133">
        <f t="shared" si="130"/>
        <v>91.714381000000003</v>
      </c>
      <c r="AF53" s="133">
        <f t="shared" si="130"/>
        <v>148.638273</v>
      </c>
      <c r="AG53" s="133">
        <f t="shared" si="130"/>
        <v>201.49409399999999</v>
      </c>
      <c r="AH53" s="154">
        <f t="shared" si="130"/>
        <v>252.19761500000001</v>
      </c>
      <c r="AK53" s="109" t="s">
        <v>194</v>
      </c>
      <c r="AL53" s="256"/>
      <c r="AM53" s="133">
        <f t="shared" si="113"/>
        <v>1.927962</v>
      </c>
      <c r="AN53" s="133">
        <f t="shared" si="109"/>
        <v>2.8346089999999999</v>
      </c>
      <c r="AO53" s="133">
        <f t="shared" si="109"/>
        <v>4.728898</v>
      </c>
      <c r="AP53" s="133">
        <f t="shared" si="109"/>
        <v>7.2449625000000104</v>
      </c>
      <c r="AQ53" s="133">
        <f t="shared" si="109"/>
        <v>9.5294384999999995</v>
      </c>
      <c r="AR53" s="154">
        <f t="shared" si="109"/>
        <v>11.676914</v>
      </c>
      <c r="AT53" s="109" t="s">
        <v>194</v>
      </c>
      <c r="AU53" s="256"/>
      <c r="AV53" s="133">
        <f t="shared" si="114"/>
        <v>2.2055560000000001</v>
      </c>
      <c r="AW53" s="133">
        <f t="shared" si="110"/>
        <v>3.0723820000000002</v>
      </c>
      <c r="AX53" s="133">
        <f t="shared" si="110"/>
        <v>4.8980845000000004</v>
      </c>
      <c r="AY53" s="133">
        <f t="shared" si="110"/>
        <v>7.1223484999999904</v>
      </c>
      <c r="AZ53" s="133">
        <f t="shared" si="110"/>
        <v>9.0646649999999909</v>
      </c>
      <c r="BA53" s="154">
        <f t="shared" si="110"/>
        <v>10.783929000000001</v>
      </c>
    </row>
    <row r="54" spans="7:53" x14ac:dyDescent="0.55000000000000004">
      <c r="G54" s="62" t="s">
        <v>195</v>
      </c>
      <c r="H54" s="256"/>
      <c r="I54" s="113">
        <f t="shared" ref="I54:N54" si="131">0.5*IMREAL(IMSUB(IMPRODUCT(I42,I24),IMPRODUCT(I43,I25)))</f>
        <v>2.5370499999999998</v>
      </c>
      <c r="J54" s="113">
        <f t="shared" si="131"/>
        <v>4.0208649999999997</v>
      </c>
      <c r="K54" s="113">
        <f t="shared" si="131"/>
        <v>7.7626644999999996</v>
      </c>
      <c r="L54" s="113">
        <f t="shared" si="131"/>
        <v>13.333031</v>
      </c>
      <c r="M54" s="113">
        <f t="shared" si="131"/>
        <v>18.645640499999999</v>
      </c>
      <c r="N54" s="142">
        <f t="shared" si="131"/>
        <v>23.855571000000001</v>
      </c>
      <c r="Q54" s="62" t="s">
        <v>195</v>
      </c>
      <c r="R54" s="256"/>
      <c r="S54" s="113">
        <f t="shared" ref="S54" si="132">0.5*IMREAL(IMSUB(IMPRODUCT(S42,S24),IMPRODUCT(S43,S25)))</f>
        <v>2.6065900000000002</v>
      </c>
      <c r="T54" s="113">
        <f t="shared" ref="T54:X54" si="133">0.5*IMREAL(IMSUB(IMPRODUCT(T42,T24),IMPRODUCT(T43,T25)))</f>
        <v>4.1055000000000046</v>
      </c>
      <c r="U54" s="113">
        <f t="shared" si="133"/>
        <v>7.8554655000000002</v>
      </c>
      <c r="V54" s="113">
        <f t="shared" si="133"/>
        <v>13.463369500000001</v>
      </c>
      <c r="W54" s="113">
        <f t="shared" si="133"/>
        <v>18.801189000000001</v>
      </c>
      <c r="X54" s="142">
        <f t="shared" si="133"/>
        <v>23.995594000000001</v>
      </c>
      <c r="AA54" s="62" t="s">
        <v>195</v>
      </c>
      <c r="AB54" s="256"/>
      <c r="AC54" s="113">
        <f t="shared" ref="AC54:AH54" si="134">0.5*IMREAL(IMSUB(IMPRODUCT(AC42,AC24),IMPRODUCT(AC43,AC25)))</f>
        <v>2.3393259999999998</v>
      </c>
      <c r="AD54" s="113">
        <f t="shared" si="134"/>
        <v>3.7322980000000001</v>
      </c>
      <c r="AE54" s="113">
        <f t="shared" si="134"/>
        <v>7.1455890000000002</v>
      </c>
      <c r="AF54" s="113">
        <f t="shared" si="134"/>
        <v>12.305812</v>
      </c>
      <c r="AG54" s="113">
        <f t="shared" si="134"/>
        <v>17.234269000000001</v>
      </c>
      <c r="AH54" s="142">
        <f t="shared" si="134"/>
        <v>22.007209</v>
      </c>
      <c r="AK54" s="109" t="s">
        <v>195</v>
      </c>
      <c r="AL54" s="256"/>
      <c r="AM54" s="113">
        <f t="shared" si="113"/>
        <v>6.9540000000000393E-2</v>
      </c>
      <c r="AN54" s="113">
        <f t="shared" si="109"/>
        <v>8.4635000000004901E-2</v>
      </c>
      <c r="AO54" s="113">
        <f t="shared" si="109"/>
        <v>9.2801000000000605E-2</v>
      </c>
      <c r="AP54" s="113">
        <f t="shared" si="109"/>
        <v>0.130338500000001</v>
      </c>
      <c r="AQ54" s="113">
        <f t="shared" si="109"/>
        <v>0.155548500000002</v>
      </c>
      <c r="AR54" s="142">
        <f t="shared" si="109"/>
        <v>0.14002299999999901</v>
      </c>
      <c r="AT54" s="109" t="s">
        <v>195</v>
      </c>
      <c r="AU54" s="256"/>
      <c r="AV54" s="113">
        <f t="shared" si="114"/>
        <v>0.267264</v>
      </c>
      <c r="AW54" s="113">
        <f t="shared" si="110"/>
        <v>0.37320200000000397</v>
      </c>
      <c r="AX54" s="113">
        <f t="shared" si="110"/>
        <v>0.70987650000000002</v>
      </c>
      <c r="AY54" s="113">
        <f t="shared" si="110"/>
        <v>1.1575575</v>
      </c>
      <c r="AZ54" s="113">
        <f t="shared" si="110"/>
        <v>1.5669200000000001</v>
      </c>
      <c r="BA54" s="142">
        <f t="shared" si="110"/>
        <v>1.9883850000000001</v>
      </c>
    </row>
    <row r="55" spans="7:53" x14ac:dyDescent="0.55000000000000004">
      <c r="G55" s="62" t="s">
        <v>196</v>
      </c>
      <c r="H55" s="256"/>
      <c r="I55" s="113">
        <f t="shared" ref="I55:N55" si="135">0.5*IMAGINARY(IMSUM(IMPRODUCT(I42,I24),IMPRODUCT(I43,I25)))/(2*PI()*I18)</f>
        <v>307.8117380670023</v>
      </c>
      <c r="J55" s="113">
        <f t="shared" si="135"/>
        <v>307.81289950019948</v>
      </c>
      <c r="K55" s="113">
        <f t="shared" si="135"/>
        <v>307.81638610753777</v>
      </c>
      <c r="L55" s="113">
        <f t="shared" si="135"/>
        <v>307.81436707588745</v>
      </c>
      <c r="M55" s="113">
        <f t="shared" si="135"/>
        <v>307.81492449220246</v>
      </c>
      <c r="N55" s="142">
        <f t="shared" si="135"/>
        <v>307.8114634292325</v>
      </c>
      <c r="Q55" s="62" t="s">
        <v>196</v>
      </c>
      <c r="R55" s="256"/>
      <c r="S55" s="113">
        <f t="shared" ref="S55" si="136">0.5*IMAGINARY(IMSUM(IMPRODUCT(S42,S24),IMPRODUCT(S43,S25)))/(2*PI()*S18)</f>
        <v>345.60085025961735</v>
      </c>
      <c r="T55" s="113">
        <f t="shared" ref="T55:X55" si="137">0.5*IMAGINARY(IMSUM(IMPRODUCT(T42,T24),IMPRODUCT(T43,T25)))/(2*PI()*T18)</f>
        <v>345.60197858858641</v>
      </c>
      <c r="U55" s="113">
        <f t="shared" si="137"/>
        <v>345.60334633433638</v>
      </c>
      <c r="V55" s="113">
        <f t="shared" si="137"/>
        <v>345.60487481862106</v>
      </c>
      <c r="W55" s="113">
        <f t="shared" si="137"/>
        <v>345.60408296707493</v>
      </c>
      <c r="X55" s="142">
        <f t="shared" si="137"/>
        <v>345.60632219754677</v>
      </c>
      <c r="AA55" s="62" t="s">
        <v>196</v>
      </c>
      <c r="AB55" s="256"/>
      <c r="AC55" s="113">
        <f t="shared" ref="AC55:AH55" si="138">0.5*IMAGINARY(IMSUM(IMPRODUCT(AC42,AC24),IMPRODUCT(AC43,AC25)))/(2*PI()*AC18)</f>
        <v>383.95953000834294</v>
      </c>
      <c r="AD55" s="113">
        <f t="shared" si="138"/>
        <v>383.9552672421359</v>
      </c>
      <c r="AE55" s="113">
        <f t="shared" si="138"/>
        <v>383.95813512667524</v>
      </c>
      <c r="AF55" s="113">
        <f t="shared" si="138"/>
        <v>383.95565197533762</v>
      </c>
      <c r="AG55" s="113">
        <f t="shared" si="138"/>
        <v>383.95696456328955</v>
      </c>
      <c r="AH55" s="142">
        <f t="shared" si="138"/>
        <v>383.95648025745021</v>
      </c>
      <c r="AK55" s="109" t="s">
        <v>196</v>
      </c>
      <c r="AL55" s="256"/>
      <c r="AM55" s="113">
        <f t="shared" si="113"/>
        <v>37.7891121926151</v>
      </c>
      <c r="AN55" s="113">
        <f t="shared" si="109"/>
        <v>37.789079088386899</v>
      </c>
      <c r="AO55" s="113">
        <f t="shared" si="109"/>
        <v>37.786960226798598</v>
      </c>
      <c r="AP55" s="113">
        <f t="shared" si="109"/>
        <v>37.790507742733602</v>
      </c>
      <c r="AQ55" s="113">
        <f t="shared" si="109"/>
        <v>37.789158474872501</v>
      </c>
      <c r="AR55" s="142">
        <f t="shared" si="109"/>
        <v>37.794858768314299</v>
      </c>
      <c r="AT55" s="109" t="s">
        <v>196</v>
      </c>
      <c r="AU55" s="256"/>
      <c r="AV55" s="113">
        <f t="shared" si="114"/>
        <v>38.358679748725599</v>
      </c>
      <c r="AW55" s="113">
        <f t="shared" si="110"/>
        <v>38.353288653549498</v>
      </c>
      <c r="AX55" s="113">
        <f t="shared" si="110"/>
        <v>38.354788792338901</v>
      </c>
      <c r="AY55" s="113">
        <f t="shared" si="110"/>
        <v>38.350777156716603</v>
      </c>
      <c r="AZ55" s="113">
        <f t="shared" si="110"/>
        <v>38.352881596214601</v>
      </c>
      <c r="BA55" s="142">
        <f t="shared" si="110"/>
        <v>38.3501580599034</v>
      </c>
    </row>
    <row r="56" spans="7:53" x14ac:dyDescent="0.55000000000000004">
      <c r="G56" s="62" t="s">
        <v>197</v>
      </c>
      <c r="H56" s="256"/>
      <c r="I56" s="113">
        <f t="shared" ref="I56:N56" si="139">0.5*IMAGINARY(IMSUB(IMPRODUCT(I42,I24),IMPRODUCT(I43,I25)))/(2*PI()*I18)</f>
        <v>48.644368271416973</v>
      </c>
      <c r="J56" s="113">
        <f t="shared" si="139"/>
        <v>48.644468936918486</v>
      </c>
      <c r="K56" s="113">
        <f t="shared" si="139"/>
        <v>48.647423425620069</v>
      </c>
      <c r="L56" s="113">
        <f t="shared" si="139"/>
        <v>48.647980937427967</v>
      </c>
      <c r="M56" s="113">
        <f t="shared" si="139"/>
        <v>48.645574809125065</v>
      </c>
      <c r="N56" s="142">
        <f t="shared" si="139"/>
        <v>48.651771490918854</v>
      </c>
      <c r="Q56" s="62" t="s">
        <v>197</v>
      </c>
      <c r="R56" s="256"/>
      <c r="S56" s="113">
        <f t="shared" ref="S56" si="140">0.5*IMAGINARY(IMSUB(IMPRODUCT(S42,S24),IMPRODUCT(S43,S25)))/(2*PI()*S18)</f>
        <v>55.994011365220466</v>
      </c>
      <c r="T56" s="113">
        <f t="shared" ref="T56:X56" si="141">0.5*IMAGINARY(IMSUB(IMPRODUCT(T42,T24),IMPRODUCT(T43,T25)))/(2*PI()*T18)</f>
        <v>55.994086884240957</v>
      </c>
      <c r="U56" s="113">
        <f t="shared" si="141"/>
        <v>55.995772335088304</v>
      </c>
      <c r="V56" s="113">
        <f t="shared" si="141"/>
        <v>55.998662183009756</v>
      </c>
      <c r="W56" s="113">
        <f t="shared" si="141"/>
        <v>55.995405355620527</v>
      </c>
      <c r="X56" s="142">
        <f t="shared" si="141"/>
        <v>55.995949363131508</v>
      </c>
      <c r="AA56" s="62" t="s">
        <v>197</v>
      </c>
      <c r="AB56" s="256"/>
      <c r="AC56" s="113">
        <f t="shared" ref="AC56:AH56" si="142">0.5*IMAGINARY(IMSUB(IMPRODUCT(AC42,AC24),IMPRODUCT(AC43,AC25)))/(2*PI()*AC18)</f>
        <v>61.385377582176091</v>
      </c>
      <c r="AD56" s="113">
        <f t="shared" si="142"/>
        <v>61.384578584573042</v>
      </c>
      <c r="AE56" s="113">
        <f t="shared" si="142"/>
        <v>61.388485480327326</v>
      </c>
      <c r="AF56" s="113">
        <f t="shared" si="142"/>
        <v>61.386690499048143</v>
      </c>
      <c r="AG56" s="113">
        <f t="shared" si="142"/>
        <v>61.384614768449353</v>
      </c>
      <c r="AH56" s="142">
        <f t="shared" si="142"/>
        <v>61.386861733851411</v>
      </c>
      <c r="AK56" s="109" t="s">
        <v>197</v>
      </c>
      <c r="AL56" s="256"/>
      <c r="AM56" s="113">
        <f t="shared" si="113"/>
        <v>7.3496430938034898</v>
      </c>
      <c r="AN56" s="113">
        <f t="shared" si="109"/>
        <v>7.3496179473224696</v>
      </c>
      <c r="AO56" s="113">
        <f t="shared" si="109"/>
        <v>7.3483489094682399</v>
      </c>
      <c r="AP56" s="113">
        <f t="shared" si="109"/>
        <v>7.3506812455817903</v>
      </c>
      <c r="AQ56" s="113">
        <f t="shared" si="109"/>
        <v>7.3498305464954603</v>
      </c>
      <c r="AR56" s="142">
        <f t="shared" si="109"/>
        <v>7.3441778722126498</v>
      </c>
      <c r="AT56" s="109" t="s">
        <v>197</v>
      </c>
      <c r="AU56" s="256"/>
      <c r="AV56" s="113">
        <f t="shared" si="114"/>
        <v>5.3913662169556202</v>
      </c>
      <c r="AW56" s="113">
        <f t="shared" si="110"/>
        <v>5.3904917003320802</v>
      </c>
      <c r="AX56" s="113">
        <f t="shared" si="110"/>
        <v>5.3927131452390196</v>
      </c>
      <c r="AY56" s="113">
        <f t="shared" si="110"/>
        <v>5.3880283160383904</v>
      </c>
      <c r="AZ56" s="113">
        <f t="shared" si="110"/>
        <v>5.3892094128288299</v>
      </c>
      <c r="BA56" s="142">
        <f t="shared" si="110"/>
        <v>5.3909123707199003</v>
      </c>
    </row>
    <row r="57" spans="7:53" x14ac:dyDescent="0.55000000000000004">
      <c r="G57" s="62" t="s">
        <v>198</v>
      </c>
      <c r="H57" s="256"/>
      <c r="I57" s="115">
        <f t="shared" ref="I57:N57" si="143">0.5*IMREAL(IMSUM(IMDIV(I42,I24),IMDIV(I43,I25))) + 0.5*IMREAL(IMSUB(IMDIV(I42,I24),IMDIV(I43,I25)))</f>
        <v>7.6089692926119947E-3</v>
      </c>
      <c r="J57" s="115">
        <f t="shared" si="143"/>
        <v>1.0946193923339301E-2</v>
      </c>
      <c r="K57" s="115">
        <f t="shared" si="143"/>
        <v>1.8199612409544801E-2</v>
      </c>
      <c r="L57" s="115">
        <f t="shared" si="143"/>
        <v>2.7717522266952899E-2</v>
      </c>
      <c r="M57" s="115">
        <f t="shared" si="143"/>
        <v>3.6198543178839401E-2</v>
      </c>
      <c r="N57" s="157">
        <f t="shared" si="143"/>
        <v>4.4148525881910698E-2</v>
      </c>
      <c r="Q57" s="62" t="s">
        <v>198</v>
      </c>
      <c r="R57" s="256"/>
      <c r="S57" s="115">
        <f t="shared" ref="S57" si="144">0.5*IMREAL(IMSUM(IMDIV(S42,S24),IMDIV(S43,S25))) + 0.5*IMREAL(IMSUB(IMDIV(S42,S24),IMDIV(S43,S25)))</f>
        <v>6.2858685567905997E-3</v>
      </c>
      <c r="T57" s="115">
        <f t="shared" ref="T57:X57" si="145">0.5*IMREAL(IMSUM(IMDIV(T42,T24),IMDIV(T43,T25))) + 0.5*IMREAL(IMSUB(IMDIV(T42,T24),IMDIV(T43,T25)))</f>
        <v>9.0490372723812905E-3</v>
      </c>
      <c r="U57" s="115">
        <f t="shared" si="145"/>
        <v>1.5030948714024502E-2</v>
      </c>
      <c r="V57" s="115">
        <f t="shared" si="145"/>
        <v>2.2878442595661599E-2</v>
      </c>
      <c r="W57" s="115">
        <f t="shared" si="145"/>
        <v>2.9872076680892298E-2</v>
      </c>
      <c r="X57" s="157">
        <f t="shared" si="145"/>
        <v>3.6411855343421895E-2</v>
      </c>
      <c r="AA57" s="62" t="s">
        <v>198</v>
      </c>
      <c r="AB57" s="256"/>
      <c r="AC57" s="115">
        <f t="shared" ref="AC57:AH57" si="146">0.5*IMREAL(IMSUM(IMDIV(AC42,AC24),IMDIV(AC43,AC25))) + 0.5*IMREAL(IMSUB(IMDIV(AC42,AC24),IMDIV(AC43,AC25)))</f>
        <v>5.3630732723183947E-3</v>
      </c>
      <c r="AD57" s="115">
        <f t="shared" si="146"/>
        <v>7.7231165999653156E-3</v>
      </c>
      <c r="AE57" s="115">
        <f t="shared" si="146"/>
        <v>1.2833874274276E-2</v>
      </c>
      <c r="AF57" s="115">
        <f t="shared" si="146"/>
        <v>1.9536809680565901E-2</v>
      </c>
      <c r="AG57" s="115">
        <f t="shared" si="146"/>
        <v>2.5514805318599197E-2</v>
      </c>
      <c r="AH57" s="157">
        <f t="shared" si="146"/>
        <v>3.1085785127499002E-2</v>
      </c>
      <c r="AK57" s="109" t="s">
        <v>198</v>
      </c>
      <c r="AL57" s="256"/>
      <c r="AM57" s="115">
        <f t="shared" si="113"/>
        <v>1.3231007358213899E-3</v>
      </c>
      <c r="AN57" s="115">
        <f t="shared" si="109"/>
        <v>1.89715665095801E-3</v>
      </c>
      <c r="AO57" s="115">
        <f t="shared" si="109"/>
        <v>3.1686636955203002E-3</v>
      </c>
      <c r="AP57" s="115">
        <f t="shared" si="109"/>
        <v>4.8390796712912999E-3</v>
      </c>
      <c r="AQ57" s="115">
        <f t="shared" si="109"/>
        <v>6.3264664979471004E-3</v>
      </c>
      <c r="AR57" s="157">
        <f t="shared" si="109"/>
        <v>7.7366705384887997E-3</v>
      </c>
      <c r="AT57" s="109" t="s">
        <v>198</v>
      </c>
      <c r="AU57" s="256"/>
      <c r="AV57" s="115">
        <f t="shared" si="114"/>
        <v>9.2279528447220503E-4</v>
      </c>
      <c r="AW57" s="115">
        <f t="shared" si="110"/>
        <v>1.3259206724159701E-3</v>
      </c>
      <c r="AX57" s="115">
        <f t="shared" si="110"/>
        <v>2.1970744397485E-3</v>
      </c>
      <c r="AY57" s="115">
        <f t="shared" si="110"/>
        <v>3.3416329150956999E-3</v>
      </c>
      <c r="AZ57" s="115">
        <f t="shared" si="110"/>
        <v>4.3572713622931003E-3</v>
      </c>
      <c r="BA57" s="157">
        <f t="shared" si="110"/>
        <v>5.3260702159228903E-3</v>
      </c>
    </row>
    <row r="58" spans="7:53" x14ac:dyDescent="0.55000000000000004">
      <c r="G58" s="62" t="s">
        <v>199</v>
      </c>
      <c r="H58" s="256"/>
      <c r="I58" s="115">
        <f t="shared" ref="I58:N58" si="147">-0.5*IMREAL(IMSUB(IMDIV(I42,I24),IMDIV(I43,I25)))</f>
        <v>2.4351306820735051E-3</v>
      </c>
      <c r="J58" s="115">
        <f t="shared" si="147"/>
        <v>3.503549606929E-3</v>
      </c>
      <c r="K58" s="115">
        <f t="shared" si="147"/>
        <v>5.8414745341043503E-3</v>
      </c>
      <c r="L58" s="115">
        <f t="shared" si="147"/>
        <v>8.9333198580938498E-3</v>
      </c>
      <c r="M58" s="115">
        <f t="shared" si="147"/>
        <v>1.1693557022777849E-2</v>
      </c>
      <c r="N58" s="157">
        <f t="shared" si="147"/>
        <v>1.4274510886398801E-2</v>
      </c>
      <c r="Q58" s="62" t="s">
        <v>199</v>
      </c>
      <c r="R58" s="256"/>
      <c r="S58" s="115">
        <f t="shared" ref="S58" si="148">-0.5*IMREAL(IMSUB(IMDIV(S42,S24),IMDIV(S43,S25)))</f>
        <v>2.1041103136380502E-3</v>
      </c>
      <c r="T58" s="115">
        <f t="shared" ref="T58:X58" si="149">-0.5*IMREAL(IMSUB(IMDIV(T42,T24),IMDIV(T43,T25)))</f>
        <v>3.0266299934897101E-3</v>
      </c>
      <c r="U58" s="115">
        <f t="shared" si="149"/>
        <v>5.0282969480668497E-3</v>
      </c>
      <c r="V58" s="115">
        <f t="shared" si="149"/>
        <v>7.6451462462710498E-3</v>
      </c>
      <c r="W58" s="115">
        <f t="shared" si="149"/>
        <v>9.9753460699540993E-3</v>
      </c>
      <c r="X58" s="157">
        <f t="shared" si="149"/>
        <v>1.215593281653975E-2</v>
      </c>
      <c r="AA58" s="62" t="s">
        <v>199</v>
      </c>
      <c r="AB58" s="256"/>
      <c r="AC58" s="115">
        <f t="shared" ref="AC58:AH58" si="150">-0.5*IMREAL(IMSUB(IMDIV(AC42,AC24),IMDIV(AC43,AC25)))</f>
        <v>1.8715981243317551E-3</v>
      </c>
      <c r="AD58" s="115">
        <f t="shared" si="150"/>
        <v>2.6823965843552852E-3</v>
      </c>
      <c r="AE58" s="115">
        <f t="shared" si="150"/>
        <v>4.4649677516254002E-3</v>
      </c>
      <c r="AF58" s="115">
        <f t="shared" si="150"/>
        <v>6.7823525452811997E-3</v>
      </c>
      <c r="AG58" s="115">
        <f t="shared" si="150"/>
        <v>8.8448485319137498E-3</v>
      </c>
      <c r="AH58" s="157">
        <f t="shared" si="150"/>
        <v>1.07745023114178E-2</v>
      </c>
      <c r="AK58" s="109" t="s">
        <v>199</v>
      </c>
      <c r="AL58" s="256"/>
      <c r="AM58" s="115">
        <f t="shared" si="113"/>
        <v>3.3102036843545501E-4</v>
      </c>
      <c r="AN58" s="115">
        <f t="shared" si="109"/>
        <v>4.7691961343929E-4</v>
      </c>
      <c r="AO58" s="115">
        <f t="shared" si="109"/>
        <v>8.1317758603750097E-4</v>
      </c>
      <c r="AP58" s="115">
        <f t="shared" si="109"/>
        <v>1.2881736118228E-3</v>
      </c>
      <c r="AQ58" s="115">
        <f t="shared" si="109"/>
        <v>1.71821095282375E-3</v>
      </c>
      <c r="AR58" s="157">
        <f t="shared" si="109"/>
        <v>2.1185780698590498E-3</v>
      </c>
      <c r="AT58" s="109" t="s">
        <v>199</v>
      </c>
      <c r="AU58" s="256"/>
      <c r="AV58" s="115">
        <f t="shared" si="114"/>
        <v>2.3251218930629499E-4</v>
      </c>
      <c r="AW58" s="115">
        <f t="shared" si="110"/>
        <v>3.4423340913442501E-4</v>
      </c>
      <c r="AX58" s="115">
        <f t="shared" si="110"/>
        <v>5.6332919644144904E-4</v>
      </c>
      <c r="AY58" s="115">
        <f t="shared" si="110"/>
        <v>8.6279370098984998E-4</v>
      </c>
      <c r="AZ58" s="115">
        <f t="shared" si="110"/>
        <v>1.13049753804035E-3</v>
      </c>
      <c r="BA58" s="157">
        <f t="shared" si="110"/>
        <v>1.38143050512195E-3</v>
      </c>
    </row>
    <row r="59" spans="7:53" x14ac:dyDescent="0.55000000000000004">
      <c r="G59" s="62" t="s">
        <v>200</v>
      </c>
      <c r="H59" s="256"/>
      <c r="I59" s="113">
        <f t="shared" ref="I59:N59" si="151">0.5*IMAGINARY(IMSUM(IMDIV(I42,I24),IMDIV(I43,I25)))/(2*PI()*S$18)*1000 + 0.5*IMAGINARY(IMSUB(IMDIV(I42,I24),IMDIV(I43,I25)))/(2*PI()*S$18)*1000</f>
        <v>96.22373231257869</v>
      </c>
      <c r="J59" s="113">
        <f t="shared" si="151"/>
        <v>96.223391623956388</v>
      </c>
      <c r="K59" s="113">
        <f t="shared" si="151"/>
        <v>96.256172155631404</v>
      </c>
      <c r="L59" s="113">
        <f t="shared" si="151"/>
        <v>96.18910291701529</v>
      </c>
      <c r="M59" s="113">
        <f t="shared" si="151"/>
        <v>96.122161186511775</v>
      </c>
      <c r="N59" s="142">
        <f t="shared" si="151"/>
        <v>96.018740473455438</v>
      </c>
      <c r="Q59" s="62" t="s">
        <v>200</v>
      </c>
      <c r="R59" s="256"/>
      <c r="S59" s="113">
        <f t="shared" ref="S59:X59" si="152">0.5*IMAGINARY(IMSUM(IMDIV(S42,S24),IMDIV(S43,S25)))/(2*PI()*S$18)*1000 + 0.5*IMAGINARY(IMSUB(IMDIV(S42,S24),IMDIV(S43,S25)))/(2*PI()*S$18)*1000</f>
        <v>83.708606125965588</v>
      </c>
      <c r="T59" s="113">
        <f t="shared" si="152"/>
        <v>83.708355201141927</v>
      </c>
      <c r="U59" s="113">
        <f t="shared" si="152"/>
        <v>83.747245061238502</v>
      </c>
      <c r="V59" s="113">
        <f t="shared" si="152"/>
        <v>83.668200266484888</v>
      </c>
      <c r="W59" s="113">
        <f t="shared" si="152"/>
        <v>83.590037529999975</v>
      </c>
      <c r="X59" s="142">
        <f t="shared" si="152"/>
        <v>83.470101878022632</v>
      </c>
      <c r="AA59" s="62" t="s">
        <v>200</v>
      </c>
      <c r="AB59" s="256"/>
      <c r="AC59" s="113">
        <f t="shared" ref="AC59:AH59" si="153">0.5*IMAGINARY(IMSUM(IMDIV(AC42,AC24),IMDIV(AC43,AC25)))/(2*PI()*S$18)*1000 + 0.5*IMAGINARY(IMSUB(IMDIV(AC42,AC24),IMDIV(AC43,AC25)))/(2*PI()*S$18)*1000</f>
        <v>73.98018039112327</v>
      </c>
      <c r="AD59" s="113">
        <f t="shared" si="153"/>
        <v>73.978969947712926</v>
      </c>
      <c r="AE59" s="113">
        <f t="shared" si="153"/>
        <v>74.021748110294382</v>
      </c>
      <c r="AF59" s="113">
        <f t="shared" si="153"/>
        <v>73.935074396926709</v>
      </c>
      <c r="AG59" s="113">
        <f t="shared" si="153"/>
        <v>73.847321233417304</v>
      </c>
      <c r="AH59" s="142">
        <f t="shared" si="153"/>
        <v>73.714625122785975</v>
      </c>
      <c r="AK59" s="109" t="s">
        <v>200</v>
      </c>
      <c r="AL59" s="256"/>
      <c r="AM59" s="113">
        <f t="shared" si="113"/>
        <v>12.515126186613101</v>
      </c>
      <c r="AN59" s="113">
        <f t="shared" si="109"/>
        <v>12.5150364228145</v>
      </c>
      <c r="AO59" s="113">
        <f t="shared" si="109"/>
        <v>12.508927094392901</v>
      </c>
      <c r="AP59" s="113">
        <f t="shared" si="109"/>
        <v>12.520902650530401</v>
      </c>
      <c r="AQ59" s="113">
        <f t="shared" si="109"/>
        <v>12.5321236565118</v>
      </c>
      <c r="AR59" s="142">
        <f t="shared" si="109"/>
        <v>12.5486385954328</v>
      </c>
      <c r="AT59" s="109" t="s">
        <v>200</v>
      </c>
      <c r="AU59" s="256"/>
      <c r="AV59" s="113">
        <f t="shared" si="114"/>
        <v>9.72842573484232</v>
      </c>
      <c r="AW59" s="113">
        <f t="shared" si="110"/>
        <v>9.7293852534289993</v>
      </c>
      <c r="AX59" s="113">
        <f t="shared" si="110"/>
        <v>9.7254969509441196</v>
      </c>
      <c r="AY59" s="113">
        <f t="shared" si="110"/>
        <v>9.7331258695581795</v>
      </c>
      <c r="AZ59" s="113">
        <f t="shared" si="110"/>
        <v>9.7427162965826692</v>
      </c>
      <c r="BA59" s="142">
        <f t="shared" si="110"/>
        <v>9.7554767552366606</v>
      </c>
    </row>
    <row r="60" spans="7:53" x14ac:dyDescent="0.55000000000000004">
      <c r="G60" s="62" t="s">
        <v>201</v>
      </c>
      <c r="H60" s="256"/>
      <c r="I60" s="113">
        <f t="shared" ref="I60:N60" si="154">-0.5*IMAGINARY(IMSUB(IMDIV(I42,I24),IMDIV(I43,I25)))/(2*PI()*S$18)*1000</f>
        <v>18.060698410396341</v>
      </c>
      <c r="J60" s="113">
        <f t="shared" si="154"/>
        <v>18.060597919921666</v>
      </c>
      <c r="K60" s="113">
        <f t="shared" si="154"/>
        <v>18.067810856904156</v>
      </c>
      <c r="L60" s="113">
        <f t="shared" si="154"/>
        <v>18.05560800846391</v>
      </c>
      <c r="M60" s="113">
        <f t="shared" si="154"/>
        <v>18.041943693004615</v>
      </c>
      <c r="N60" s="142">
        <f t="shared" si="154"/>
        <v>18.02549930851902</v>
      </c>
      <c r="Q60" s="62" t="s">
        <v>201</v>
      </c>
      <c r="R60" s="256"/>
      <c r="S60" s="113">
        <f t="shared" ref="S60:X60" si="155">-0.5*IMAGINARY(IMSUB(IMDIV(S42,S24),IMDIV(S43,S25)))/(2*PI()*S$18)*1000</f>
        <v>16.184633225458278</v>
      </c>
      <c r="T60" s="113">
        <f t="shared" si="155"/>
        <v>16.184547704295248</v>
      </c>
      <c r="U60" s="113">
        <f t="shared" si="155"/>
        <v>16.192571996655428</v>
      </c>
      <c r="V60" s="113">
        <f t="shared" si="155"/>
        <v>16.178199577118189</v>
      </c>
      <c r="W60" s="113">
        <f t="shared" si="155"/>
        <v>16.162008332273356</v>
      </c>
      <c r="X60" s="142">
        <f t="shared" si="155"/>
        <v>16.13888127800751</v>
      </c>
      <c r="AA60" s="62" t="s">
        <v>201</v>
      </c>
      <c r="AB60" s="256"/>
      <c r="AC60" s="113">
        <f t="shared" ref="AC60:AH60" si="156">-0.5*IMAGINARY(IMSUB(IMDIV(AC42,AC24),IMDIV(AC43,AC25)))/(2*PI()*S$18)*1000</f>
        <v>14.07831664577639</v>
      </c>
      <c r="AD60" s="113">
        <f t="shared" si="156"/>
        <v>14.078054228437351</v>
      </c>
      <c r="AE60" s="113">
        <f t="shared" si="156"/>
        <v>14.087136736799755</v>
      </c>
      <c r="AF60" s="113">
        <f t="shared" si="156"/>
        <v>14.070260392282535</v>
      </c>
      <c r="AG60" s="113">
        <f t="shared" si="156"/>
        <v>14.052937651796412</v>
      </c>
      <c r="AH60" s="142">
        <f t="shared" si="156"/>
        <v>14.028318214828868</v>
      </c>
      <c r="AK60" s="109" t="s">
        <v>201</v>
      </c>
      <c r="AL60" s="256"/>
      <c r="AM60" s="113">
        <f t="shared" si="113"/>
        <v>1.8760651849380601</v>
      </c>
      <c r="AN60" s="113">
        <f t="shared" si="109"/>
        <v>1.87605021562642</v>
      </c>
      <c r="AO60" s="113">
        <f t="shared" si="109"/>
        <v>1.87523886024873</v>
      </c>
      <c r="AP60" s="113">
        <f t="shared" si="109"/>
        <v>1.87740843134572</v>
      </c>
      <c r="AQ60" s="113">
        <f t="shared" si="109"/>
        <v>1.8799353607312601</v>
      </c>
      <c r="AR60" s="142">
        <f t="shared" si="109"/>
        <v>1.8866180305115099</v>
      </c>
      <c r="AT60" s="109" t="s">
        <v>201</v>
      </c>
      <c r="AU60" s="256"/>
      <c r="AV60" s="113">
        <f t="shared" si="114"/>
        <v>2.1063165796818901</v>
      </c>
      <c r="AW60" s="113">
        <f t="shared" si="110"/>
        <v>2.1064934758579001</v>
      </c>
      <c r="AX60" s="113">
        <f t="shared" si="110"/>
        <v>2.1054352598556698</v>
      </c>
      <c r="AY60" s="113">
        <f t="shared" si="110"/>
        <v>2.1079391848356499</v>
      </c>
      <c r="AZ60" s="113">
        <f t="shared" si="110"/>
        <v>2.1090706804769401</v>
      </c>
      <c r="BA60" s="142">
        <f t="shared" si="110"/>
        <v>2.1105630631786401</v>
      </c>
    </row>
    <row r="61" spans="7:53" x14ac:dyDescent="0.55000000000000004">
      <c r="G61" s="62" t="s">
        <v>202</v>
      </c>
      <c r="H61" s="256"/>
      <c r="I61" s="113">
        <f t="shared" ref="I61:N64" si="157">I53</f>
        <v>30.140128000000001</v>
      </c>
      <c r="J61" s="113">
        <f t="shared" si="157"/>
        <v>45.508591000000003</v>
      </c>
      <c r="K61" s="113">
        <f t="shared" si="157"/>
        <v>82.087398500000006</v>
      </c>
      <c r="L61" s="113">
        <f t="shared" si="157"/>
        <v>134.270962</v>
      </c>
      <c r="M61" s="113">
        <f t="shared" si="157"/>
        <v>182.8999905</v>
      </c>
      <c r="N61" s="142">
        <f t="shared" si="157"/>
        <v>229.736772</v>
      </c>
      <c r="Q61" s="62" t="s">
        <v>202</v>
      </c>
      <c r="R61" s="256"/>
      <c r="S61" s="113">
        <f>S53</f>
        <v>32.068089999999998</v>
      </c>
      <c r="T61" s="113">
        <f t="shared" ref="T61:X61" si="158">T53</f>
        <v>48.343200000000003</v>
      </c>
      <c r="U61" s="113">
        <f t="shared" si="158"/>
        <v>86.816296500000007</v>
      </c>
      <c r="V61" s="113">
        <f t="shared" si="158"/>
        <v>141.51592450000001</v>
      </c>
      <c r="W61" s="113">
        <f t="shared" si="158"/>
        <v>192.429429</v>
      </c>
      <c r="X61" s="142">
        <f t="shared" si="158"/>
        <v>241.41368600000001</v>
      </c>
      <c r="AA61" s="62" t="s">
        <v>202</v>
      </c>
      <c r="AB61" s="256"/>
      <c r="AC61" s="113">
        <f>AC53</f>
        <v>34.273645999999999</v>
      </c>
      <c r="AD61" s="113">
        <f t="shared" ref="AD61:AH61" si="159">AD53</f>
        <v>51.415582000000001</v>
      </c>
      <c r="AE61" s="113">
        <f t="shared" si="159"/>
        <v>91.714381000000003</v>
      </c>
      <c r="AF61" s="113">
        <f t="shared" si="159"/>
        <v>148.638273</v>
      </c>
      <c r="AG61" s="113">
        <f t="shared" si="159"/>
        <v>201.49409399999999</v>
      </c>
      <c r="AH61" s="142">
        <f t="shared" si="159"/>
        <v>252.19761500000001</v>
      </c>
      <c r="AK61" s="109" t="s">
        <v>202</v>
      </c>
      <c r="AL61" s="256"/>
      <c r="AM61" s="113">
        <f t="shared" si="113"/>
        <v>1.927962</v>
      </c>
      <c r="AN61" s="113">
        <f t="shared" ref="AN61:AN68" si="160">IMABS(IMDIV(J61-T61,1))</f>
        <v>2.8346089999999999</v>
      </c>
      <c r="AO61" s="113">
        <f t="shared" ref="AO61:AO68" si="161">IMABS(IMDIV(K61-U61,1))</f>
        <v>4.728898</v>
      </c>
      <c r="AP61" s="113">
        <f t="shared" ref="AP61:AP68" si="162">IMABS(IMDIV(L61-V61,1))</f>
        <v>7.2449625000000104</v>
      </c>
      <c r="AQ61" s="113">
        <f t="shared" ref="AQ61:AQ68" si="163">IMABS(IMDIV(M61-W61,1))</f>
        <v>9.5294384999999995</v>
      </c>
      <c r="AR61" s="142">
        <f t="shared" ref="AR61:AR68" si="164">IMABS(IMDIV(N61-X61,1))</f>
        <v>11.676914</v>
      </c>
      <c r="AT61" s="109" t="s">
        <v>202</v>
      </c>
      <c r="AU61" s="256"/>
      <c r="AV61" s="113">
        <f t="shared" si="114"/>
        <v>2.2055560000000001</v>
      </c>
      <c r="AW61" s="113">
        <f t="shared" ref="AW61:AW68" si="165">IMABS(IMDIV(IMSUB(T61,AD61),1))</f>
        <v>3.0723820000000002</v>
      </c>
      <c r="AX61" s="113">
        <f t="shared" ref="AX61:AX68" si="166">IMABS(IMDIV(IMSUB(U61,AE61),1))</f>
        <v>4.8980845000000004</v>
      </c>
      <c r="AY61" s="113">
        <f t="shared" ref="AY61:AY68" si="167">IMABS(IMDIV(IMSUB(V61,AF61),1))</f>
        <v>7.1223484999999904</v>
      </c>
      <c r="AZ61" s="113">
        <f t="shared" ref="AZ61:BA68" si="168">IMABS(IMDIV(IMSUB(W61,AG61),1))</f>
        <v>9.0646649999999909</v>
      </c>
      <c r="BA61" s="142">
        <f t="shared" si="168"/>
        <v>10.783929000000001</v>
      </c>
    </row>
    <row r="62" spans="7:53" x14ac:dyDescent="0.55000000000000004">
      <c r="G62" s="62" t="s">
        <v>203</v>
      </c>
      <c r="H62" s="256"/>
      <c r="I62" s="113">
        <f t="shared" si="157"/>
        <v>2.5370499999999998</v>
      </c>
      <c r="J62" s="113">
        <f t="shared" si="157"/>
        <v>4.0208649999999997</v>
      </c>
      <c r="K62" s="113">
        <f t="shared" si="157"/>
        <v>7.7626644999999996</v>
      </c>
      <c r="L62" s="113">
        <f t="shared" si="157"/>
        <v>13.333031</v>
      </c>
      <c r="M62" s="113">
        <f t="shared" si="157"/>
        <v>18.645640499999999</v>
      </c>
      <c r="N62" s="142">
        <f t="shared" si="157"/>
        <v>23.855571000000001</v>
      </c>
      <c r="Q62" s="62" t="s">
        <v>203</v>
      </c>
      <c r="R62" s="256"/>
      <c r="S62" s="113">
        <f>S54</f>
        <v>2.6065900000000002</v>
      </c>
      <c r="T62" s="113">
        <f t="shared" ref="T62:X62" si="169">T54</f>
        <v>4.1055000000000046</v>
      </c>
      <c r="U62" s="113">
        <f t="shared" si="169"/>
        <v>7.8554655000000002</v>
      </c>
      <c r="V62" s="113">
        <f t="shared" si="169"/>
        <v>13.463369500000001</v>
      </c>
      <c r="W62" s="113">
        <f t="shared" si="169"/>
        <v>18.801189000000001</v>
      </c>
      <c r="X62" s="142">
        <f t="shared" si="169"/>
        <v>23.995594000000001</v>
      </c>
      <c r="AA62" s="62" t="s">
        <v>203</v>
      </c>
      <c r="AB62" s="256"/>
      <c r="AC62" s="113">
        <f>AC54</f>
        <v>2.3393259999999998</v>
      </c>
      <c r="AD62" s="113">
        <f t="shared" ref="AD62:AH62" si="170">AD54</f>
        <v>3.7322980000000001</v>
      </c>
      <c r="AE62" s="113">
        <f t="shared" si="170"/>
        <v>7.1455890000000002</v>
      </c>
      <c r="AF62" s="113">
        <f t="shared" si="170"/>
        <v>12.305812</v>
      </c>
      <c r="AG62" s="113">
        <f t="shared" si="170"/>
        <v>17.234269000000001</v>
      </c>
      <c r="AH62" s="142">
        <f t="shared" si="170"/>
        <v>22.007209</v>
      </c>
      <c r="AK62" s="109" t="s">
        <v>203</v>
      </c>
      <c r="AL62" s="256"/>
      <c r="AM62" s="113">
        <f t="shared" si="113"/>
        <v>6.9540000000000393E-2</v>
      </c>
      <c r="AN62" s="113">
        <f t="shared" si="160"/>
        <v>8.4635000000004901E-2</v>
      </c>
      <c r="AO62" s="113">
        <f t="shared" si="161"/>
        <v>9.2801000000000605E-2</v>
      </c>
      <c r="AP62" s="113">
        <f t="shared" si="162"/>
        <v>0.130338500000001</v>
      </c>
      <c r="AQ62" s="113">
        <f t="shared" si="163"/>
        <v>0.155548500000002</v>
      </c>
      <c r="AR62" s="142">
        <f t="shared" si="164"/>
        <v>0.14002299999999901</v>
      </c>
      <c r="AT62" s="109" t="s">
        <v>203</v>
      </c>
      <c r="AU62" s="256"/>
      <c r="AV62" s="113">
        <f t="shared" si="114"/>
        <v>0.267264</v>
      </c>
      <c r="AW62" s="113">
        <f t="shared" si="165"/>
        <v>0.37320200000000397</v>
      </c>
      <c r="AX62" s="113">
        <f t="shared" si="166"/>
        <v>0.70987650000000002</v>
      </c>
      <c r="AY62" s="113">
        <f t="shared" si="167"/>
        <v>1.1575575</v>
      </c>
      <c r="AZ62" s="113">
        <f t="shared" si="168"/>
        <v>1.5669200000000001</v>
      </c>
      <c r="BA62" s="142">
        <f t="shared" si="168"/>
        <v>1.9883850000000001</v>
      </c>
    </row>
    <row r="63" spans="7:53" x14ac:dyDescent="0.55000000000000004">
      <c r="G63" s="62" t="s">
        <v>204</v>
      </c>
      <c r="H63" s="256"/>
      <c r="I63" s="113">
        <f t="shared" si="157"/>
        <v>307.8117380670023</v>
      </c>
      <c r="J63" s="113">
        <f t="shared" si="157"/>
        <v>307.81289950019948</v>
      </c>
      <c r="K63" s="113">
        <f t="shared" si="157"/>
        <v>307.81638610753777</v>
      </c>
      <c r="L63" s="113">
        <f t="shared" si="157"/>
        <v>307.81436707588745</v>
      </c>
      <c r="M63" s="113">
        <f t="shared" si="157"/>
        <v>307.81492449220246</v>
      </c>
      <c r="N63" s="142">
        <f t="shared" si="157"/>
        <v>307.8114634292325</v>
      </c>
      <c r="Q63" s="62" t="s">
        <v>204</v>
      </c>
      <c r="R63" s="256"/>
      <c r="S63" s="113">
        <f>S55</f>
        <v>345.60085025961735</v>
      </c>
      <c r="T63" s="113">
        <f t="shared" ref="T63:X63" si="171">T55</f>
        <v>345.60197858858641</v>
      </c>
      <c r="U63" s="113">
        <f t="shared" si="171"/>
        <v>345.60334633433638</v>
      </c>
      <c r="V63" s="113">
        <f t="shared" si="171"/>
        <v>345.60487481862106</v>
      </c>
      <c r="W63" s="113">
        <f t="shared" si="171"/>
        <v>345.60408296707493</v>
      </c>
      <c r="X63" s="142">
        <f t="shared" si="171"/>
        <v>345.60632219754677</v>
      </c>
      <c r="AA63" s="62" t="s">
        <v>204</v>
      </c>
      <c r="AB63" s="256"/>
      <c r="AC63" s="113">
        <f>AC55</f>
        <v>383.95953000834294</v>
      </c>
      <c r="AD63" s="113">
        <f t="shared" ref="AD63:AH63" si="172">AD55</f>
        <v>383.9552672421359</v>
      </c>
      <c r="AE63" s="113">
        <f t="shared" si="172"/>
        <v>383.95813512667524</v>
      </c>
      <c r="AF63" s="113">
        <f t="shared" si="172"/>
        <v>383.95565197533762</v>
      </c>
      <c r="AG63" s="113">
        <f t="shared" si="172"/>
        <v>383.95696456328955</v>
      </c>
      <c r="AH63" s="142">
        <f t="shared" si="172"/>
        <v>383.95648025745021</v>
      </c>
      <c r="AK63" s="109" t="s">
        <v>204</v>
      </c>
      <c r="AL63" s="256"/>
      <c r="AM63" s="113">
        <f t="shared" si="113"/>
        <v>37.7891121926151</v>
      </c>
      <c r="AN63" s="113">
        <f t="shared" si="160"/>
        <v>37.789079088386899</v>
      </c>
      <c r="AO63" s="113">
        <f t="shared" si="161"/>
        <v>37.786960226798598</v>
      </c>
      <c r="AP63" s="113">
        <f t="shared" si="162"/>
        <v>37.790507742733602</v>
      </c>
      <c r="AQ63" s="113">
        <f t="shared" si="163"/>
        <v>37.789158474872501</v>
      </c>
      <c r="AR63" s="142">
        <f t="shared" si="164"/>
        <v>37.794858768314299</v>
      </c>
      <c r="AT63" s="109" t="s">
        <v>204</v>
      </c>
      <c r="AU63" s="256"/>
      <c r="AV63" s="113">
        <f t="shared" si="114"/>
        <v>38.358679748725599</v>
      </c>
      <c r="AW63" s="113">
        <f t="shared" si="165"/>
        <v>38.353288653549498</v>
      </c>
      <c r="AX63" s="113">
        <f t="shared" si="166"/>
        <v>38.354788792338901</v>
      </c>
      <c r="AY63" s="113">
        <f t="shared" si="167"/>
        <v>38.350777156716603</v>
      </c>
      <c r="AZ63" s="113">
        <f t="shared" si="168"/>
        <v>38.352881596214601</v>
      </c>
      <c r="BA63" s="142">
        <f t="shared" si="168"/>
        <v>38.3501580599034</v>
      </c>
    </row>
    <row r="64" spans="7:53" x14ac:dyDescent="0.55000000000000004">
      <c r="G64" s="62" t="s">
        <v>205</v>
      </c>
      <c r="H64" s="256"/>
      <c r="I64" s="113">
        <f t="shared" si="157"/>
        <v>48.644368271416973</v>
      </c>
      <c r="J64" s="113">
        <f t="shared" si="157"/>
        <v>48.644468936918486</v>
      </c>
      <c r="K64" s="113">
        <f t="shared" si="157"/>
        <v>48.647423425620069</v>
      </c>
      <c r="L64" s="113">
        <f t="shared" si="157"/>
        <v>48.647980937427967</v>
      </c>
      <c r="M64" s="113">
        <f t="shared" si="157"/>
        <v>48.645574809125065</v>
      </c>
      <c r="N64" s="142">
        <f t="shared" si="157"/>
        <v>48.651771490918854</v>
      </c>
      <c r="Q64" s="62" t="s">
        <v>205</v>
      </c>
      <c r="R64" s="256"/>
      <c r="S64" s="113">
        <f>S56</f>
        <v>55.994011365220466</v>
      </c>
      <c r="T64" s="113">
        <f t="shared" ref="T64:X64" si="173">T56</f>
        <v>55.994086884240957</v>
      </c>
      <c r="U64" s="113">
        <f t="shared" si="173"/>
        <v>55.995772335088304</v>
      </c>
      <c r="V64" s="113">
        <f t="shared" si="173"/>
        <v>55.998662183009756</v>
      </c>
      <c r="W64" s="113">
        <f t="shared" si="173"/>
        <v>55.995405355620527</v>
      </c>
      <c r="X64" s="142">
        <f t="shared" si="173"/>
        <v>55.995949363131508</v>
      </c>
      <c r="AA64" s="62" t="s">
        <v>205</v>
      </c>
      <c r="AB64" s="256"/>
      <c r="AC64" s="113">
        <f>AC56</f>
        <v>61.385377582176091</v>
      </c>
      <c r="AD64" s="113">
        <f t="shared" ref="AD64:AH64" si="174">AD56</f>
        <v>61.384578584573042</v>
      </c>
      <c r="AE64" s="113">
        <f t="shared" si="174"/>
        <v>61.388485480327326</v>
      </c>
      <c r="AF64" s="113">
        <f t="shared" si="174"/>
        <v>61.386690499048143</v>
      </c>
      <c r="AG64" s="113">
        <f t="shared" si="174"/>
        <v>61.384614768449353</v>
      </c>
      <c r="AH64" s="142">
        <f t="shared" si="174"/>
        <v>61.386861733851411</v>
      </c>
      <c r="AK64" s="109" t="s">
        <v>205</v>
      </c>
      <c r="AL64" s="256"/>
      <c r="AM64" s="113">
        <f t="shared" si="113"/>
        <v>7.3496430938034898</v>
      </c>
      <c r="AN64" s="113">
        <f t="shared" si="160"/>
        <v>7.3496179473224696</v>
      </c>
      <c r="AO64" s="113">
        <f t="shared" si="161"/>
        <v>7.3483489094682399</v>
      </c>
      <c r="AP64" s="113">
        <f t="shared" si="162"/>
        <v>7.3506812455817903</v>
      </c>
      <c r="AQ64" s="113">
        <f t="shared" si="163"/>
        <v>7.3498305464954603</v>
      </c>
      <c r="AR64" s="142">
        <f t="shared" si="164"/>
        <v>7.3441778722126498</v>
      </c>
      <c r="AT64" s="109" t="s">
        <v>205</v>
      </c>
      <c r="AU64" s="256"/>
      <c r="AV64" s="113">
        <f t="shared" si="114"/>
        <v>5.3913662169556202</v>
      </c>
      <c r="AW64" s="113">
        <f t="shared" si="165"/>
        <v>5.3904917003320802</v>
      </c>
      <c r="AX64" s="113">
        <f t="shared" si="166"/>
        <v>5.3927131452390196</v>
      </c>
      <c r="AY64" s="113">
        <f t="shared" si="167"/>
        <v>5.3880283160383904</v>
      </c>
      <c r="AZ64" s="113">
        <f t="shared" si="168"/>
        <v>5.3892094128288299</v>
      </c>
      <c r="BA64" s="142">
        <f t="shared" si="168"/>
        <v>5.3909123707199003</v>
      </c>
    </row>
    <row r="65" spans="7:53" x14ac:dyDescent="0.55000000000000004">
      <c r="G65" s="149" t="s">
        <v>206</v>
      </c>
      <c r="H65" s="256"/>
      <c r="I65" s="115">
        <f t="shared" ref="I65:N65" si="175">I57+I58</f>
        <v>1.00440999746855E-2</v>
      </c>
      <c r="J65" s="115">
        <f t="shared" si="175"/>
        <v>1.4449743530268301E-2</v>
      </c>
      <c r="K65" s="115">
        <f t="shared" si="175"/>
        <v>2.4041086943649152E-2</v>
      </c>
      <c r="L65" s="115">
        <f t="shared" si="175"/>
        <v>3.6650842125046747E-2</v>
      </c>
      <c r="M65" s="115">
        <f t="shared" si="175"/>
        <v>4.7892100201617251E-2</v>
      </c>
      <c r="N65" s="157">
        <f t="shared" si="175"/>
        <v>5.8423036768309497E-2</v>
      </c>
      <c r="Q65" s="149" t="s">
        <v>206</v>
      </c>
      <c r="R65" s="256"/>
      <c r="S65" s="115">
        <f>S57+S58</f>
        <v>8.3899788704286504E-3</v>
      </c>
      <c r="T65" s="115">
        <f t="shared" ref="T65:X65" si="176">T57+T58</f>
        <v>1.2075667265871001E-2</v>
      </c>
      <c r="U65" s="115">
        <f t="shared" si="176"/>
        <v>2.005924566209135E-2</v>
      </c>
      <c r="V65" s="115">
        <f t="shared" si="176"/>
        <v>3.0523588841932649E-2</v>
      </c>
      <c r="W65" s="115">
        <f t="shared" si="176"/>
        <v>3.9847422750846399E-2</v>
      </c>
      <c r="X65" s="157">
        <f t="shared" si="176"/>
        <v>4.8567788159961642E-2</v>
      </c>
      <c r="AA65" s="149" t="s">
        <v>206</v>
      </c>
      <c r="AB65" s="256"/>
      <c r="AC65" s="115">
        <f>AC57+AC58</f>
        <v>7.23467139665015E-3</v>
      </c>
      <c r="AD65" s="115">
        <f t="shared" ref="AD65:AH65" si="177">AD57+AD58</f>
        <v>1.04055131843206E-2</v>
      </c>
      <c r="AE65" s="115">
        <f t="shared" si="177"/>
        <v>1.7298842025901401E-2</v>
      </c>
      <c r="AF65" s="115">
        <f t="shared" si="177"/>
        <v>2.6319162225847102E-2</v>
      </c>
      <c r="AG65" s="115">
        <f t="shared" si="177"/>
        <v>3.4359653850512949E-2</v>
      </c>
      <c r="AH65" s="157">
        <f t="shared" si="177"/>
        <v>4.1860287438916802E-2</v>
      </c>
      <c r="AK65" s="111" t="s">
        <v>206</v>
      </c>
      <c r="AL65" s="256"/>
      <c r="AM65" s="115">
        <f t="shared" si="113"/>
        <v>1.65412110425685E-3</v>
      </c>
      <c r="AN65" s="115">
        <f t="shared" si="160"/>
        <v>2.3740762643973002E-3</v>
      </c>
      <c r="AO65" s="115">
        <f t="shared" si="161"/>
        <v>3.9818412815578004E-3</v>
      </c>
      <c r="AP65" s="115">
        <f t="shared" si="162"/>
        <v>6.1272532831140999E-3</v>
      </c>
      <c r="AQ65" s="115">
        <f t="shared" si="163"/>
        <v>8.0446774507708495E-3</v>
      </c>
      <c r="AR65" s="157">
        <f t="shared" si="164"/>
        <v>9.8552486083478604E-3</v>
      </c>
      <c r="AT65" s="111" t="s">
        <v>206</v>
      </c>
      <c r="AU65" s="256"/>
      <c r="AV65" s="115">
        <f t="shared" si="114"/>
        <v>1.1553074737785001E-3</v>
      </c>
      <c r="AW65" s="115">
        <f t="shared" si="165"/>
        <v>1.6701540815504E-3</v>
      </c>
      <c r="AX65" s="115">
        <f t="shared" si="166"/>
        <v>2.7604036361899499E-3</v>
      </c>
      <c r="AY65" s="115">
        <f t="shared" si="167"/>
        <v>4.2044266160855496E-3</v>
      </c>
      <c r="AZ65" s="115">
        <f t="shared" si="168"/>
        <v>5.4877689003334498E-3</v>
      </c>
      <c r="BA65" s="157">
        <f t="shared" si="168"/>
        <v>6.7075007210448401E-3</v>
      </c>
    </row>
    <row r="66" spans="7:53" x14ac:dyDescent="0.55000000000000004">
      <c r="G66" s="149" t="s">
        <v>207</v>
      </c>
      <c r="H66" s="256"/>
      <c r="I66" s="115">
        <f t="shared" ref="I66:N66" si="178">-I58</f>
        <v>-2.4351306820735051E-3</v>
      </c>
      <c r="J66" s="115">
        <f t="shared" si="178"/>
        <v>-3.503549606929E-3</v>
      </c>
      <c r="K66" s="115">
        <f t="shared" si="178"/>
        <v>-5.8414745341043503E-3</v>
      </c>
      <c r="L66" s="115">
        <f t="shared" si="178"/>
        <v>-8.9333198580938498E-3</v>
      </c>
      <c r="M66" s="115">
        <f t="shared" si="178"/>
        <v>-1.1693557022777849E-2</v>
      </c>
      <c r="N66" s="157">
        <f t="shared" si="178"/>
        <v>-1.4274510886398801E-2</v>
      </c>
      <c r="Q66" s="149" t="s">
        <v>207</v>
      </c>
      <c r="R66" s="256"/>
      <c r="S66" s="115">
        <f>-S58</f>
        <v>-2.1041103136380502E-3</v>
      </c>
      <c r="T66" s="115">
        <f t="shared" ref="T66:X66" si="179">-T58</f>
        <v>-3.0266299934897101E-3</v>
      </c>
      <c r="U66" s="115">
        <f t="shared" si="179"/>
        <v>-5.0282969480668497E-3</v>
      </c>
      <c r="V66" s="115">
        <f t="shared" si="179"/>
        <v>-7.6451462462710498E-3</v>
      </c>
      <c r="W66" s="115">
        <f t="shared" si="179"/>
        <v>-9.9753460699540993E-3</v>
      </c>
      <c r="X66" s="157">
        <f t="shared" si="179"/>
        <v>-1.215593281653975E-2</v>
      </c>
      <c r="AA66" s="149" t="s">
        <v>207</v>
      </c>
      <c r="AB66" s="256"/>
      <c r="AC66" s="115">
        <f>-AC58</f>
        <v>-1.8715981243317551E-3</v>
      </c>
      <c r="AD66" s="115">
        <f t="shared" ref="AD66:AH66" si="180">-AD58</f>
        <v>-2.6823965843552852E-3</v>
      </c>
      <c r="AE66" s="115">
        <f t="shared" si="180"/>
        <v>-4.4649677516254002E-3</v>
      </c>
      <c r="AF66" s="115">
        <f t="shared" si="180"/>
        <v>-6.7823525452811997E-3</v>
      </c>
      <c r="AG66" s="115">
        <f t="shared" si="180"/>
        <v>-8.8448485319137498E-3</v>
      </c>
      <c r="AH66" s="157">
        <f t="shared" si="180"/>
        <v>-1.07745023114178E-2</v>
      </c>
      <c r="AK66" s="111" t="s">
        <v>207</v>
      </c>
      <c r="AL66" s="256"/>
      <c r="AM66" s="115">
        <f t="shared" si="113"/>
        <v>3.3102036843545501E-4</v>
      </c>
      <c r="AN66" s="115">
        <f t="shared" si="160"/>
        <v>4.7691961343929E-4</v>
      </c>
      <c r="AO66" s="115">
        <f t="shared" si="161"/>
        <v>8.1317758603750097E-4</v>
      </c>
      <c r="AP66" s="115">
        <f t="shared" si="162"/>
        <v>1.2881736118228E-3</v>
      </c>
      <c r="AQ66" s="115">
        <f t="shared" si="163"/>
        <v>1.71821095282375E-3</v>
      </c>
      <c r="AR66" s="157">
        <f t="shared" si="164"/>
        <v>2.1185780698590498E-3</v>
      </c>
      <c r="AT66" s="111" t="s">
        <v>207</v>
      </c>
      <c r="AU66" s="256"/>
      <c r="AV66" s="115">
        <f t="shared" si="114"/>
        <v>2.3251218930629499E-4</v>
      </c>
      <c r="AW66" s="115">
        <f t="shared" si="165"/>
        <v>3.4423340913442501E-4</v>
      </c>
      <c r="AX66" s="115">
        <f t="shared" si="166"/>
        <v>5.6332919644144904E-4</v>
      </c>
      <c r="AY66" s="115">
        <f t="shared" si="167"/>
        <v>8.6279370098984998E-4</v>
      </c>
      <c r="AZ66" s="115">
        <f t="shared" si="168"/>
        <v>1.13049753804035E-3</v>
      </c>
      <c r="BA66" s="157">
        <f t="shared" si="168"/>
        <v>1.38143050512195E-3</v>
      </c>
    </row>
    <row r="67" spans="7:53" x14ac:dyDescent="0.55000000000000004">
      <c r="G67" s="149" t="s">
        <v>208</v>
      </c>
      <c r="H67" s="256"/>
      <c r="I67" s="113">
        <f t="shared" ref="I67:N67" si="181">I59+I60</f>
        <v>114.28443072297503</v>
      </c>
      <c r="J67" s="113">
        <f t="shared" si="181"/>
        <v>114.28398954387805</v>
      </c>
      <c r="K67" s="113">
        <f t="shared" si="181"/>
        <v>114.32398301253556</v>
      </c>
      <c r="L67" s="113">
        <f t="shared" si="181"/>
        <v>114.2447109254792</v>
      </c>
      <c r="M67" s="113">
        <f t="shared" si="181"/>
        <v>114.16410487951639</v>
      </c>
      <c r="N67" s="142">
        <f t="shared" si="181"/>
        <v>114.04423978197445</v>
      </c>
      <c r="Q67" s="149" t="s">
        <v>208</v>
      </c>
      <c r="R67" s="256"/>
      <c r="S67" s="113">
        <f>S59+S60</f>
        <v>99.893239351423858</v>
      </c>
      <c r="T67" s="113">
        <f t="shared" ref="T67:X67" si="182">T59+T60</f>
        <v>99.892902905437182</v>
      </c>
      <c r="U67" s="113">
        <f t="shared" si="182"/>
        <v>99.939817057893933</v>
      </c>
      <c r="V67" s="113">
        <f t="shared" si="182"/>
        <v>99.846399843603081</v>
      </c>
      <c r="W67" s="113">
        <f t="shared" si="182"/>
        <v>99.752045862273334</v>
      </c>
      <c r="X67" s="142">
        <f t="shared" si="182"/>
        <v>99.608983156030149</v>
      </c>
      <c r="AA67" s="149" t="s">
        <v>208</v>
      </c>
      <c r="AB67" s="256"/>
      <c r="AC67" s="113">
        <f>AC59+AC60</f>
        <v>88.058497036899666</v>
      </c>
      <c r="AD67" s="113">
        <f t="shared" ref="AD67:AH67" si="183">AD59+AD60</f>
        <v>88.057024176150279</v>
      </c>
      <c r="AE67" s="113">
        <f t="shared" si="183"/>
        <v>88.108884847094131</v>
      </c>
      <c r="AF67" s="113">
        <f t="shared" si="183"/>
        <v>88.005334789209243</v>
      </c>
      <c r="AG67" s="113">
        <f t="shared" si="183"/>
        <v>87.900258885213717</v>
      </c>
      <c r="AH67" s="142">
        <f t="shared" si="183"/>
        <v>87.742943337614847</v>
      </c>
      <c r="AK67" s="111" t="s">
        <v>208</v>
      </c>
      <c r="AL67" s="256"/>
      <c r="AM67" s="113">
        <f t="shared" si="113"/>
        <v>14.3911913715512</v>
      </c>
      <c r="AN67" s="113">
        <f t="shared" si="160"/>
        <v>14.3910866384409</v>
      </c>
      <c r="AO67" s="113">
        <f t="shared" si="161"/>
        <v>14.384165954641601</v>
      </c>
      <c r="AP67" s="113">
        <f t="shared" si="162"/>
        <v>14.3983110818761</v>
      </c>
      <c r="AQ67" s="113">
        <f t="shared" si="163"/>
        <v>14.4120590172431</v>
      </c>
      <c r="AR67" s="142">
        <f t="shared" si="164"/>
        <v>14.4352566259443</v>
      </c>
      <c r="AT67" s="111" t="s">
        <v>208</v>
      </c>
      <c r="AU67" s="256"/>
      <c r="AV67" s="113">
        <f t="shared" si="114"/>
        <v>11.834742314524201</v>
      </c>
      <c r="AW67" s="113">
        <f t="shared" si="165"/>
        <v>11.8358787292869</v>
      </c>
      <c r="AX67" s="113">
        <f t="shared" si="166"/>
        <v>11.8309322107998</v>
      </c>
      <c r="AY67" s="113">
        <f t="shared" si="167"/>
        <v>11.8410650543938</v>
      </c>
      <c r="AZ67" s="113">
        <f t="shared" si="168"/>
        <v>11.8517869770596</v>
      </c>
      <c r="BA67" s="142">
        <f t="shared" si="168"/>
        <v>11.866039818415301</v>
      </c>
    </row>
    <row r="68" spans="7:53" ht="14.7" thickBot="1" x14ac:dyDescent="0.6">
      <c r="G68" s="65" t="s">
        <v>209</v>
      </c>
      <c r="H68" s="260"/>
      <c r="I68" s="158">
        <f t="shared" ref="I68:N68" si="184">-I60</f>
        <v>-18.060698410396341</v>
      </c>
      <c r="J68" s="158">
        <f t="shared" si="184"/>
        <v>-18.060597919921666</v>
      </c>
      <c r="K68" s="158">
        <f t="shared" si="184"/>
        <v>-18.067810856904156</v>
      </c>
      <c r="L68" s="158">
        <f t="shared" si="184"/>
        <v>-18.05560800846391</v>
      </c>
      <c r="M68" s="158">
        <f t="shared" si="184"/>
        <v>-18.041943693004615</v>
      </c>
      <c r="N68" s="159">
        <f t="shared" si="184"/>
        <v>-18.02549930851902</v>
      </c>
      <c r="Q68" s="65" t="s">
        <v>209</v>
      </c>
      <c r="R68" s="260"/>
      <c r="S68" s="158">
        <f>-S60</f>
        <v>-16.184633225458278</v>
      </c>
      <c r="T68" s="158">
        <f t="shared" ref="T68:X68" si="185">-T60</f>
        <v>-16.184547704295248</v>
      </c>
      <c r="U68" s="158">
        <f t="shared" si="185"/>
        <v>-16.192571996655428</v>
      </c>
      <c r="V68" s="158">
        <f t="shared" si="185"/>
        <v>-16.178199577118189</v>
      </c>
      <c r="W68" s="158">
        <f t="shared" si="185"/>
        <v>-16.162008332273356</v>
      </c>
      <c r="X68" s="159">
        <f t="shared" si="185"/>
        <v>-16.13888127800751</v>
      </c>
      <c r="AA68" s="65" t="s">
        <v>209</v>
      </c>
      <c r="AB68" s="260"/>
      <c r="AC68" s="158">
        <f>-AC60</f>
        <v>-14.07831664577639</v>
      </c>
      <c r="AD68" s="158">
        <f t="shared" ref="AD68:AH68" si="186">-AD60</f>
        <v>-14.078054228437351</v>
      </c>
      <c r="AE68" s="158">
        <f t="shared" si="186"/>
        <v>-14.087136736799755</v>
      </c>
      <c r="AF68" s="158">
        <f t="shared" si="186"/>
        <v>-14.070260392282535</v>
      </c>
      <c r="AG68" s="158">
        <f t="shared" si="186"/>
        <v>-14.052937651796412</v>
      </c>
      <c r="AH68" s="159">
        <f t="shared" si="186"/>
        <v>-14.028318214828868</v>
      </c>
      <c r="AK68" s="112" t="s">
        <v>209</v>
      </c>
      <c r="AL68" s="257"/>
      <c r="AM68" s="158">
        <f t="shared" si="113"/>
        <v>1.8760651849380601</v>
      </c>
      <c r="AN68" s="158">
        <f t="shared" si="160"/>
        <v>1.87605021562642</v>
      </c>
      <c r="AO68" s="158">
        <f t="shared" si="161"/>
        <v>1.87523886024873</v>
      </c>
      <c r="AP68" s="158">
        <f t="shared" si="162"/>
        <v>1.87740843134572</v>
      </c>
      <c r="AQ68" s="158">
        <f t="shared" si="163"/>
        <v>1.8799353607312601</v>
      </c>
      <c r="AR68" s="159">
        <f t="shared" si="164"/>
        <v>1.8866180305115099</v>
      </c>
      <c r="AT68" s="112" t="s">
        <v>209</v>
      </c>
      <c r="AU68" s="257"/>
      <c r="AV68" s="158">
        <f t="shared" si="114"/>
        <v>2.1063165796818901</v>
      </c>
      <c r="AW68" s="158">
        <f t="shared" si="165"/>
        <v>2.1064934758579001</v>
      </c>
      <c r="AX68" s="158">
        <f t="shared" si="166"/>
        <v>2.1054352598556698</v>
      </c>
      <c r="AY68" s="158">
        <f t="shared" si="167"/>
        <v>2.1079391848356499</v>
      </c>
      <c r="AZ68" s="158">
        <f t="shared" si="168"/>
        <v>2.1090706804769401</v>
      </c>
      <c r="BA68" s="159">
        <f t="shared" si="168"/>
        <v>2.1105630631786401</v>
      </c>
    </row>
  </sheetData>
  <mergeCells count="51">
    <mergeCell ref="H45:H68"/>
    <mergeCell ref="H19:H32"/>
    <mergeCell ref="O22:O25"/>
    <mergeCell ref="G33:N33"/>
    <mergeCell ref="H34:H43"/>
    <mergeCell ref="G44:N44"/>
    <mergeCell ref="Q44:X44"/>
    <mergeCell ref="R45:R68"/>
    <mergeCell ref="Q33:X33"/>
    <mergeCell ref="R34:R43"/>
    <mergeCell ref="R19:R32"/>
    <mergeCell ref="J5:J6"/>
    <mergeCell ref="L5:M6"/>
    <mergeCell ref="Y22:Y25"/>
    <mergeCell ref="Q17:X17"/>
    <mergeCell ref="I2:I3"/>
    <mergeCell ref="L2:M3"/>
    <mergeCell ref="Q18:R18"/>
    <mergeCell ref="Q16:X16"/>
    <mergeCell ref="G16:N16"/>
    <mergeCell ref="G17:N17"/>
    <mergeCell ref="G18:H18"/>
    <mergeCell ref="F10:H10"/>
    <mergeCell ref="F11:H11"/>
    <mergeCell ref="G13:H13"/>
    <mergeCell ref="G12:H12"/>
    <mergeCell ref="AA16:AH16"/>
    <mergeCell ref="AA17:AH17"/>
    <mergeCell ref="AA18:AB18"/>
    <mergeCell ref="AB19:AB32"/>
    <mergeCell ref="AI22:AI25"/>
    <mergeCell ref="AK16:AR16"/>
    <mergeCell ref="AK17:AR17"/>
    <mergeCell ref="AK18:AL18"/>
    <mergeCell ref="AL19:AL32"/>
    <mergeCell ref="AK33:AR33"/>
    <mergeCell ref="AU34:AU43"/>
    <mergeCell ref="AT44:BA44"/>
    <mergeCell ref="AU45:AU68"/>
    <mergeCell ref="AA33:AH33"/>
    <mergeCell ref="AB34:AB43"/>
    <mergeCell ref="AA44:AH44"/>
    <mergeCell ref="AB45:AB68"/>
    <mergeCell ref="AL34:AL43"/>
    <mergeCell ref="AK44:AR44"/>
    <mergeCell ref="AL45:AL68"/>
    <mergeCell ref="AT16:BA16"/>
    <mergeCell ref="AT17:BA17"/>
    <mergeCell ref="AT18:AU18"/>
    <mergeCell ref="AU19:AU32"/>
    <mergeCell ref="AT33:BA33"/>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A H X 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s A 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H X W i i K R 7 g O A A A A E Q A A A B M A H A B G b 3 J t d W x h c y 9 T Z W N 0 a W 9 u M S 5 t I K I Y A C i g F A A A A A A A A A A A A A A A A A A A A A A A A A A A A C t O T S 7 J z M 9 T C I b Q h t Y A U E s B A i 0 A F A A C A A g A b A H X W i L k O f y j A A A A 9 g A A A B I A A A A A A A A A A A A A A A A A A A A A A E N v b m Z p Z y 9 Q Y W N r Y W d l L n h t b F B L A Q I t A B Q A A g A I A G w B 1 1 o P y u m r p A A A A O k A A A A T A A A A A A A A A A A A A A A A A O 8 A A A B b Q 2 9 u d G V u d F 9 U e X B l c 1 0 u e G 1 s U E s B A i 0 A F A A C A A g A b A H X 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M z B F v F N G x J s a l P y J A 6 7 q A A A A A A A g A A A A A A E G Y A A A A B A A A g A A A A v O P h m p W d W + R K U L X 9 5 / t 3 A 7 Z t O d p 8 L X 8 9 c N / U a w w L D 3 I A A A A A D o A A A A A C A A A g A A A A p d G x m J Z Y e T k 5 s s f b X B g k G H V 9 i 4 L 2 5 / C 2 G Y / 1 o i 1 w O n N Q A A A A y V B 6 w 9 G / 4 m 4 V 9 7 3 z Q + 6 R V 0 H m / 2 G N s F j 7 B I K Z J k 2 t W A 3 N Z w l t Z g J f D H j 9 g H q / 5 j f X K e K K G 3 B 3 R r i v x B J D l f K A 6 g F C 0 e b B + m d E y p y O U r W F A D 9 A A A A A j N H L C p n B l K c F H q P F A L c Q c 8 N Z H L q m Q z d E 7 E W p o d R n y p w / G l T Y W K f o p D I W 5 T l 9 2 W b 4 I W o J p J / x D V x C 8 z G Q W Q o d A Q = = < / D a t a M a s h u p > 
</file>

<file path=customXml/itemProps1.xml><?xml version="1.0" encoding="utf-8"?>
<ds:datastoreItem xmlns:ds="http://schemas.openxmlformats.org/officeDocument/2006/customXml" ds:itemID="{3977FC2F-E9A1-4742-A8C7-4CB9DBEAEE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vt:lpstr>
      <vt:lpstr>User Guide</vt:lpstr>
      <vt:lpstr>Material Database</vt:lpstr>
      <vt:lpstr>Material Modeler</vt:lpstr>
      <vt:lpstr>Transmission Line Design</vt:lpstr>
    </vt:vector>
  </TitlesOfParts>
  <Manager/>
  <Company>Ericsson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Ibrahim</dc:creator>
  <cp:keywords/>
  <dc:description/>
  <cp:lastModifiedBy>Ahmed Ibrahim</cp:lastModifiedBy>
  <cp:revision/>
  <dcterms:created xsi:type="dcterms:W3CDTF">2024-10-04T04:04:47Z</dcterms:created>
  <dcterms:modified xsi:type="dcterms:W3CDTF">2025-08-06T14:24:05Z</dcterms:modified>
  <cp:category/>
  <cp:contentStatus/>
</cp:coreProperties>
</file>