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hibamr\Downloads\"/>
    </mc:Choice>
  </mc:AlternateContent>
  <xr:revisionPtr revIDLastSave="0" documentId="8_{A37BC17A-3D6A-4C66-8719-DD57DA513C33}" xr6:coauthVersionLast="47" xr6:coauthVersionMax="47" xr10:uidLastSave="{00000000-0000-0000-0000-000000000000}"/>
  <bookViews>
    <workbookView xWindow="-96" yWindow="-96" windowWidth="23232" windowHeight="12552" activeTab="1" xr2:uid="{5EA1DA88-E9FB-4521-A55E-B04EDA6703B2}"/>
  </bookViews>
  <sheets>
    <sheet name="Revision" sheetId="4" r:id="rId1"/>
    <sheet name="User Guide" sheetId="5" r:id="rId2"/>
    <sheet name="TU863+_P_2116" sheetId="1" r:id="rId3"/>
  </sheets>
  <definedNames>
    <definedName name="Google_Sheet_Link_1785581074" localSheetId="1" hidden="1">_EMI_Filter</definedName>
    <definedName name="Google_Sheet_Link_1785581074" hidden="1">_EMI_Filter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4" l="1"/>
  <c r="H4" i="1" l="1"/>
  <c r="AH22" i="1" l="1"/>
  <c r="AD3" i="1"/>
  <c r="AE3" i="1"/>
  <c r="AF3" i="1"/>
  <c r="AG3" i="1"/>
  <c r="AH3" i="1"/>
  <c r="AI3" i="1"/>
  <c r="AD8" i="1"/>
  <c r="AE8" i="1"/>
  <c r="AF8" i="1"/>
  <c r="AG8" i="1"/>
  <c r="AH8" i="1"/>
  <c r="AI8" i="1"/>
  <c r="AD13" i="1"/>
  <c r="AE13" i="1"/>
  <c r="AF13" i="1"/>
  <c r="AG13" i="1"/>
  <c r="AH13" i="1"/>
  <c r="AI13" i="1"/>
  <c r="AD18" i="1"/>
  <c r="AE18" i="1"/>
  <c r="AF18" i="1"/>
  <c r="AG18" i="1"/>
  <c r="AH18" i="1"/>
  <c r="AI18" i="1"/>
  <c r="AD19" i="1"/>
  <c r="AE19" i="1"/>
  <c r="AF19" i="1"/>
  <c r="AG19" i="1"/>
  <c r="AH19" i="1"/>
  <c r="AI19" i="1"/>
  <c r="AD14" i="1"/>
  <c r="AE14" i="1"/>
  <c r="AF14" i="1"/>
  <c r="AG14" i="1"/>
  <c r="AH14" i="1"/>
  <c r="AI14" i="1"/>
  <c r="AD9" i="1"/>
  <c r="AE9" i="1"/>
  <c r="AF9" i="1"/>
  <c r="AG9" i="1"/>
  <c r="AH9" i="1"/>
  <c r="AI9" i="1"/>
  <c r="AD4" i="1"/>
  <c r="AE4" i="1"/>
  <c r="AF4" i="1"/>
  <c r="AG4" i="1"/>
  <c r="AH4" i="1"/>
  <c r="AI4" i="1"/>
  <c r="A44" i="1"/>
  <c r="K44" i="1" s="1"/>
  <c r="J42" i="1"/>
  <c r="A42" i="1"/>
  <c r="K25" i="1"/>
  <c r="J25" i="1"/>
  <c r="B25" i="1"/>
  <c r="A25" i="1"/>
  <c r="K24" i="1"/>
  <c r="J24" i="1"/>
  <c r="B24" i="1"/>
  <c r="A24" i="1"/>
  <c r="K23" i="1"/>
  <c r="J23" i="1"/>
  <c r="B23" i="1"/>
  <c r="A23" i="1"/>
  <c r="Q22" i="1"/>
  <c r="Q43" i="1" s="1"/>
  <c r="P22" i="1"/>
  <c r="P43" i="1" s="1"/>
  <c r="O22" i="1"/>
  <c r="O43" i="1" s="1"/>
  <c r="N22" i="1"/>
  <c r="N43" i="1" s="1"/>
  <c r="M22" i="1"/>
  <c r="M43" i="1" s="1"/>
  <c r="L22" i="1"/>
  <c r="AD2" i="1" s="1"/>
  <c r="K22" i="1"/>
  <c r="K43" i="1" s="1"/>
  <c r="J22" i="1"/>
  <c r="J43" i="1" s="1"/>
  <c r="H22" i="1"/>
  <c r="H43" i="1" s="1"/>
  <c r="G22" i="1"/>
  <c r="G43" i="1" s="1"/>
  <c r="F22" i="1"/>
  <c r="F43" i="1" s="1"/>
  <c r="E22" i="1"/>
  <c r="E43" i="1" s="1"/>
  <c r="D22" i="1"/>
  <c r="D43" i="1" s="1"/>
  <c r="C22" i="1"/>
  <c r="C43" i="1" s="1"/>
  <c r="B22" i="1"/>
  <c r="B43" i="1" s="1"/>
  <c r="A22" i="1"/>
  <c r="A43" i="1" s="1"/>
  <c r="AC18" i="1"/>
  <c r="H18" i="1"/>
  <c r="G18" i="1"/>
  <c r="F18" i="1"/>
  <c r="E18" i="1"/>
  <c r="E19" i="1" s="1"/>
  <c r="N25" i="1" s="1"/>
  <c r="D18" i="1"/>
  <c r="C18" i="1"/>
  <c r="H15" i="1"/>
  <c r="G15" i="1"/>
  <c r="F15" i="1"/>
  <c r="E15" i="1"/>
  <c r="D15" i="1"/>
  <c r="C15" i="1"/>
  <c r="AC13" i="1"/>
  <c r="AC8" i="1"/>
  <c r="T7" i="1"/>
  <c r="S6" i="1"/>
  <c r="AC3" i="1"/>
  <c r="T3" i="1"/>
  <c r="AI2" i="1"/>
  <c r="AE2" i="1"/>
  <c r="Z2" i="1"/>
  <c r="Z26" i="1" s="1"/>
  <c r="V2" i="1"/>
  <c r="AE20" i="1" s="1"/>
  <c r="AE21" i="1" s="1"/>
  <c r="U2" i="1"/>
  <c r="AD20" i="1" s="1"/>
  <c r="AD21" i="1" s="1"/>
  <c r="AB1" i="1"/>
  <c r="S1" i="1"/>
  <c r="Y2" i="1" l="1"/>
  <c r="AH15" i="1" s="1"/>
  <c r="AH16" i="1" s="1"/>
  <c r="AI20" i="1"/>
  <c r="AI21" i="1" s="1"/>
  <c r="AF2" i="1"/>
  <c r="AG2" i="1"/>
  <c r="AI15" i="1"/>
  <c r="AI16" i="1" s="1"/>
  <c r="W2" i="1"/>
  <c r="X2" i="1"/>
  <c r="X26" i="1" s="1"/>
  <c r="AE15" i="1"/>
  <c r="AE16" i="1" s="1"/>
  <c r="J44" i="1"/>
  <c r="N44" i="1"/>
  <c r="AH5" i="1"/>
  <c r="AH6" i="1" s="1"/>
  <c r="V26" i="1"/>
  <c r="B44" i="1"/>
  <c r="E44" i="1" s="1"/>
  <c r="AH2" i="1"/>
  <c r="Z3" i="1"/>
  <c r="Z4" i="1" s="1"/>
  <c r="AI5" i="1"/>
  <c r="AI6" i="1" s="1"/>
  <c r="C19" i="1"/>
  <c r="L25" i="1" s="1"/>
  <c r="AH20" i="1"/>
  <c r="AH21" i="1" s="1"/>
  <c r="W26" i="1"/>
  <c r="L43" i="1"/>
  <c r="U26" i="1"/>
  <c r="AI10" i="1"/>
  <c r="AI11" i="1" s="1"/>
  <c r="AD15" i="1"/>
  <c r="AD16" i="1" s="1"/>
  <c r="D19" i="1"/>
  <c r="M23" i="1" s="1"/>
  <c r="E25" i="1"/>
  <c r="Y26" i="1"/>
  <c r="U3" i="1"/>
  <c r="U4" i="1" s="1"/>
  <c r="AD5" i="1"/>
  <c r="AD6" i="1" s="1"/>
  <c r="AF15" i="1"/>
  <c r="AF16" i="1" s="1"/>
  <c r="F19" i="1"/>
  <c r="F23" i="1" s="1"/>
  <c r="N23" i="1"/>
  <c r="N24" i="1"/>
  <c r="V3" i="1"/>
  <c r="V4" i="1" s="1"/>
  <c r="AE5" i="1"/>
  <c r="AE6" i="1" s="1"/>
  <c r="AD10" i="1"/>
  <c r="AD11" i="1" s="1"/>
  <c r="G19" i="1"/>
  <c r="G23" i="1" s="1"/>
  <c r="E23" i="1"/>
  <c r="E24" i="1"/>
  <c r="W3" i="1"/>
  <c r="W4" i="1" s="1"/>
  <c r="AE10" i="1"/>
  <c r="AE11" i="1" s="1"/>
  <c r="H19" i="1"/>
  <c r="Q44" i="1" s="1"/>
  <c r="H24" i="1" l="1"/>
  <c r="Y3" i="1"/>
  <c r="Y4" i="1" s="1"/>
  <c r="AH10" i="1"/>
  <c r="AH11" i="1" s="1"/>
  <c r="M24" i="1"/>
  <c r="W7" i="1"/>
  <c r="D24" i="1"/>
  <c r="L23" i="1"/>
  <c r="AG20" i="1"/>
  <c r="AG21" i="1" s="1"/>
  <c r="O25" i="1"/>
  <c r="F25" i="1"/>
  <c r="H25" i="1"/>
  <c r="O23" i="1"/>
  <c r="M44" i="1"/>
  <c r="M25" i="1"/>
  <c r="D25" i="1"/>
  <c r="C23" i="1"/>
  <c r="Q25" i="1"/>
  <c r="H23" i="1"/>
  <c r="O24" i="1"/>
  <c r="D23" i="1"/>
  <c r="F24" i="1"/>
  <c r="C25" i="1"/>
  <c r="L24" i="1"/>
  <c r="C44" i="1"/>
  <c r="AG15" i="1"/>
  <c r="AG16" i="1" s="1"/>
  <c r="AG5" i="1"/>
  <c r="AG6" i="1" s="1"/>
  <c r="X3" i="1"/>
  <c r="X4" i="1" s="1"/>
  <c r="AG10" i="1"/>
  <c r="AG11" i="1" s="1"/>
  <c r="C24" i="1"/>
  <c r="L44" i="1"/>
  <c r="AF5" i="1"/>
  <c r="AF6" i="1" s="1"/>
  <c r="AF20" i="1"/>
  <c r="AF21" i="1" s="1"/>
  <c r="AF10" i="1"/>
  <c r="AF11" i="1" s="1"/>
  <c r="P25" i="1"/>
  <c r="Q23" i="1"/>
  <c r="G44" i="1"/>
  <c r="G25" i="1"/>
  <c r="W5" i="1"/>
  <c r="W8" i="1" s="1"/>
  <c r="W9" i="1" s="1"/>
  <c r="W10" i="1" s="1"/>
  <c r="H44" i="1"/>
  <c r="P24" i="1"/>
  <c r="F44" i="1"/>
  <c r="G24" i="1"/>
  <c r="O44" i="1"/>
  <c r="P23" i="1"/>
  <c r="P44" i="1"/>
  <c r="Q24" i="1"/>
  <c r="D44" i="1"/>
  <c r="U5" i="1" l="1"/>
  <c r="U8" i="1" s="1"/>
  <c r="U9" i="1" s="1"/>
  <c r="AF7" i="1"/>
  <c r="AF12" i="1"/>
  <c r="W28" i="1" s="1"/>
  <c r="U7" i="1"/>
  <c r="AF17" i="1"/>
  <c r="W29" i="1" s="1"/>
  <c r="AD7" i="1"/>
  <c r="U27" i="1" s="1"/>
  <c r="AD22" i="1"/>
  <c r="U30" i="1" s="1"/>
  <c r="AD12" i="1"/>
  <c r="U28" i="1" s="1"/>
  <c r="Y5" i="1"/>
  <c r="Y8" i="1" s="1"/>
  <c r="Y9" i="1" s="1"/>
  <c r="Y7" i="1"/>
  <c r="AF22" i="1"/>
  <c r="W30" i="1" s="1"/>
  <c r="V7" i="1"/>
  <c r="V5" i="1"/>
  <c r="V8" i="1" s="1"/>
  <c r="V9" i="1" s="1"/>
  <c r="Z5" i="1"/>
  <c r="Z8" i="1" s="1"/>
  <c r="Z9" i="1" s="1"/>
  <c r="Z7" i="1"/>
  <c r="X5" i="1"/>
  <c r="X8" i="1" s="1"/>
  <c r="X9" i="1" s="1"/>
  <c r="X7" i="1"/>
  <c r="AD17" i="1"/>
  <c r="U29" i="1"/>
  <c r="U10" i="1" l="1"/>
  <c r="AG12" i="1"/>
  <c r="X28" i="1" s="1"/>
  <c r="AH7" i="1"/>
  <c r="Y27" i="1" s="1"/>
  <c r="AH12" i="1"/>
  <c r="Y28" i="1" s="1"/>
  <c r="Y30" i="1"/>
  <c r="V10" i="1"/>
  <c r="W27" i="1"/>
  <c r="AE12" i="1"/>
  <c r="V28" i="1" s="1"/>
  <c r="AE7" i="1"/>
  <c r="V27" i="1" s="1"/>
  <c r="AG22" i="1"/>
  <c r="X30" i="1" s="1"/>
  <c r="Y10" i="1"/>
  <c r="AG7" i="1"/>
  <c r="X27" i="1" s="1"/>
  <c r="AE17" i="1"/>
  <c r="V29" i="1" s="1"/>
  <c r="AH17" i="1"/>
  <c r="Y29" i="1" s="1"/>
  <c r="X10" i="1"/>
  <c r="Z10" i="1"/>
  <c r="AG17" i="1"/>
  <c r="X29" i="1" s="1"/>
  <c r="AE22" i="1" l="1"/>
  <c r="V30" i="1" s="1"/>
  <c r="AI22" i="1" l="1"/>
  <c r="AI7" i="1"/>
  <c r="Z27" i="1" s="1"/>
  <c r="AI17" i="1"/>
  <c r="Z29" i="1" s="1"/>
  <c r="AI12" i="1" l="1"/>
  <c r="Z28" i="1" s="1"/>
  <c r="Z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tc={1C1AA330-74F7-4449-9C8F-A1F6A73F9944}</author>
    <author>tc={F09C4025-012E-4E14-895E-D7404B9ED43E}</author>
    <author>tc={505A69F4-E787-4AE5-A9F7-FB497E1EDA08}</author>
    <author>tc={4F1B9420-F87F-4967-ADAB-0C15A62B89BE}</author>
    <author>tc={5C2DC850-A3C0-4419-AFB1-7BBBAAED8991}</author>
    <author>tc={520F116A-4FAE-49C3-828F-654E341D9F6E}</author>
    <author>tc={63296962-8CC1-4A76-87BB-8B869629B31B}</author>
    <author>tc={63B7447B-794D-4B47-B4B9-5C9EE388E02F}</author>
    <author>tc={1FF6E3ED-EEA7-4ACC-BF11-3523323C3B5D}</author>
    <author>tc={674EAE6D-F474-4827-AEB1-315E147D4384}</author>
    <author>tc={3E2A534C-36EB-4DAB-A43F-FEF0132AAE76}</author>
    <author>tc={FD115C2F-07E4-4AD3-8F2A-641C0BB6616B}</author>
    <author>tc={E9B01815-738C-49F4-A38F-10A5561C7600}</author>
    <author>tc={0FECF95E-78B2-461E-B65E-7684B23FD77E}</author>
    <author>tc={D2D5B552-21A2-426E-87B8-8626729CFC07}</author>
    <author>tc={75996CBB-29AF-4D3A-8BA0-FE1DD15F8B65}</author>
    <author>tc={F68EE5E9-EEC4-4615-AAA2-213D985BAB87}</author>
    <author>tc={9182A5B0-97E5-45E0-9258-BFAA02DD33E7}</author>
    <author>tc={B684214D-E84A-4DB4-BF31-E8042D427350}</author>
    <author>tc={D0044E7C-CC5D-403D-B63D-AB5A3DF36301}</author>
  </authors>
  <commentList>
    <comment ref="S3" authorId="0" shapeId="0" xr:uid="{1C1AA330-74F7-4449-9C8F-A1F6A73F9944}">
      <text>
        <t>[Threaded comment]
Your version of Excel allows you to read this threaded comment; however, any edits to it will get removed if the file is opened in a newer version of Excel. Learn more: https://go.microsoft.com/fwlink/?linkid=870924
Comment:
    δs = sqrt(2/(σωµ))</t>
      </text>
    </comment>
    <comment ref="H4" authorId="1" shapeId="0" xr:uid="{F09C4025-012E-4E14-895E-D7404B9ED43E}">
      <text>
        <t>[Threaded comment]
Your version of Excel allows you to read this threaded comment; however, any edits to it will get removed if the file is opened in a newer version of Excel. Learn more: https://go.microsoft.com/fwlink/?linkid=870924
Comment:
    - Note: Multiply by 2 if both sides are treated
- Typical Manufacturer Data:
(STD)         5 &lt; Rz &lt; 7μm
(RTF)          3 &lt; Rz &lt; 5μm
(VLP)         2 &lt; Rz &lt; 3μm
(HVLP)      1 &lt; Rz &lt; 2μm
(HVLP2) 0.2 &lt; Rz &lt; 1μm 
- Roughness RMS = Rz *1.1/7.6</t>
      </text>
    </comment>
    <comment ref="S4" authorId="2" shapeId="0" xr:uid="{505A69F4-E787-4AE5-A9F7-FB497E1EDA08}">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S5" authorId="3" shapeId="0" xr:uid="{4F1B9420-F87F-4967-ADAB-0C15A62B89BE}">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5" authorId="4" shapeId="0" xr:uid="{5C2DC850-A3C0-4419-AFB1-7BBBAAED8991}">
      <text>
        <t>[Threaded comment]
Your version of Excel allows you to read this threaded comment; however, any edits to it will get removed if the file is opened in a newer version of Excel. Learn more: https://go.microsoft.com/fwlink/?linkid=870924
Comment:
    δs = sqrt(2/(σωµ))</t>
      </text>
    </comment>
    <comment ref="AB6" authorId="5" shapeId="0" xr:uid="{520F116A-4FAE-49C3-828F-654E341D9F6E}">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S7" authorId="6" shapeId="0" xr:uid="{63296962-8CC1-4A76-87BB-8B869629B31B}">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B7" authorId="7" shapeId="0" xr:uid="{63B7447B-794D-4B47-B4B9-5C9EE388E02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S8" authorId="8" shapeId="0" xr:uid="{1FF6E3ED-EEA7-4ACC-BF11-3523323C3B5D}">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S9" authorId="9" shapeId="0" xr:uid="{674EAE6D-F474-4827-AEB1-315E147D4384}">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S10" authorId="10" shapeId="0" xr:uid="{3E2A534C-36EB-4DAB-A43F-FEF0132AAE76}">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B10" authorId="11" shapeId="0" xr:uid="{FD115C2F-07E4-4AD3-8F2A-641C0BB6616B}">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1" authorId="12" shapeId="0" xr:uid="{E9B01815-738C-49F4-A38F-10A5561C7600}">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2" authorId="13" shapeId="0" xr:uid="{0FECF95E-78B2-461E-B65E-7684B23FD77E}">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15" authorId="14" shapeId="0" xr:uid="{D2D5B552-21A2-426E-87B8-8626729CFC07}">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6" authorId="15" shapeId="0" xr:uid="{75996CBB-29AF-4D3A-8BA0-FE1DD15F8B65}">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7" authorId="16" shapeId="0" xr:uid="{F68EE5E9-EEC4-4615-AAA2-213D985BAB87}">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20" authorId="17" shapeId="0" xr:uid="{9182A5B0-97E5-45E0-9258-BFAA02DD33E7}">
      <text>
        <t>[Threaded comment]
Your version of Excel allows you to read this threaded comment; however, any edits to it will get removed if the file is opened in a newer version of Excel. Learn more: https://go.microsoft.com/fwlink/?linkid=870924
Comment:
    δs = sqrt(2/(σωµ))</t>
      </text>
    </comment>
    <comment ref="AB21" authorId="18" shapeId="0" xr:uid="{B684214D-E84A-4DB4-BF31-E8042D427350}">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22" authorId="19" shapeId="0" xr:uid="{D0044E7C-CC5D-403D-B63D-AB5A3DF36301}">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sharedStrings.xml><?xml version="1.0" encoding="utf-8"?>
<sst xmlns="http://schemas.openxmlformats.org/spreadsheetml/2006/main" count="76" uniqueCount="56">
  <si>
    <t>User Input</t>
  </si>
  <si>
    <t>Output</t>
  </si>
  <si>
    <t>Temp (°C)</t>
  </si>
  <si>
    <t xml:space="preserve">Trace Width W (µm): </t>
  </si>
  <si>
    <t>Skin Depth δs (µm)</t>
  </si>
  <si>
    <t>Dk_avg</t>
  </si>
  <si>
    <t xml:space="preserve">Trace Spacing S (µm): </t>
  </si>
  <si>
    <t>Df</t>
  </si>
  <si>
    <t>δs (µm)</t>
  </si>
  <si>
    <t>Note: When Dk is measured by an in-plane method (SPC or Cylindrical Resonator), effective Dk is linear to resin content for a given glass style.</t>
  </si>
  <si>
    <t>Zdiff (Ω)</t>
  </si>
  <si>
    <t>DK_Inplane (From the Datasheet)</t>
  </si>
  <si>
    <t>Thickness (um)</t>
  </si>
  <si>
    <t>RC (%)</t>
  </si>
  <si>
    <t>DF (From the Datasheet)</t>
  </si>
  <si>
    <t>Intercept (DK_glass)</t>
  </si>
  <si>
    <t>DK_Resin</t>
  </si>
  <si>
    <t>DK_InPlane (From Dk_Glass, DK_Resin, and RC)</t>
  </si>
  <si>
    <t>DK_OutofPlane (From Dk_Glass, DK_Resin, and RC)</t>
  </si>
  <si>
    <t>Stripline Total Loss vs. Temperature (dB/m)</t>
  </si>
  <si>
    <r>
      <t>R' (</t>
    </r>
    <r>
      <rPr>
        <sz val="11"/>
        <color theme="0"/>
        <rFont val="Calibri"/>
        <family val="2"/>
      </rPr>
      <t>Ω</t>
    </r>
    <r>
      <rPr>
        <sz val="11"/>
        <color theme="0"/>
        <rFont val="Calibri"/>
        <family val="2"/>
        <scheme val="minor"/>
      </rPr>
      <t>)</t>
    </r>
  </si>
  <si>
    <r>
      <rPr>
        <sz val="11"/>
        <color theme="0"/>
        <rFont val="Calibri"/>
        <family val="2"/>
      </rPr>
      <t>α_</t>
    </r>
    <r>
      <rPr>
        <sz val="8"/>
        <color theme="0"/>
        <rFont val="Calibri"/>
        <family val="2"/>
        <scheme val="minor"/>
      </rPr>
      <t>RoughMetal</t>
    </r>
  </si>
  <si>
    <r>
      <rPr>
        <sz val="11"/>
        <color theme="0"/>
        <rFont val="Calibri"/>
        <family val="2"/>
      </rPr>
      <t>α_</t>
    </r>
    <r>
      <rPr>
        <sz val="8"/>
        <color theme="0"/>
        <rFont val="Calibri"/>
        <family val="2"/>
        <scheme val="minor"/>
      </rPr>
      <t>Total</t>
    </r>
  </si>
  <si>
    <r>
      <rPr>
        <sz val="11"/>
        <color theme="0"/>
        <rFont val="Calibri"/>
        <family val="2"/>
      </rPr>
      <t>α_</t>
    </r>
    <r>
      <rPr>
        <sz val="8"/>
        <color theme="0"/>
        <rFont val="Calibri"/>
        <family val="2"/>
        <scheme val="minor"/>
      </rPr>
      <t>Dielectric</t>
    </r>
    <r>
      <rPr>
        <sz val="11"/>
        <color theme="0"/>
        <rFont val="Calibri"/>
        <family val="2"/>
        <scheme val="minor"/>
      </rPr>
      <t xml:space="preserve"> </t>
    </r>
    <r>
      <rPr>
        <b/>
        <sz val="9"/>
        <color theme="0"/>
        <rFont val="Calibri"/>
        <family val="2"/>
        <scheme val="minor"/>
      </rPr>
      <t>(Verified)</t>
    </r>
  </si>
  <si>
    <r>
      <rPr>
        <sz val="11"/>
        <color theme="0"/>
        <rFont val="Calibri"/>
        <family val="2"/>
      </rPr>
      <t>α_</t>
    </r>
    <r>
      <rPr>
        <sz val="8"/>
        <color theme="0"/>
        <rFont val="Calibri"/>
        <family val="2"/>
        <scheme val="minor"/>
      </rPr>
      <t>SmoothMetal</t>
    </r>
    <r>
      <rPr>
        <b/>
        <sz val="9"/>
        <color theme="0"/>
        <rFont val="Calibri"/>
        <family val="2"/>
        <scheme val="minor"/>
      </rPr>
      <t xml:space="preserve"> (Verified)</t>
    </r>
  </si>
  <si>
    <r>
      <t xml:space="preserve">Zdiff (Ω)  </t>
    </r>
    <r>
      <rPr>
        <b/>
        <sz val="9"/>
        <color theme="0"/>
        <rFont val="Calibri"/>
        <family val="2"/>
        <scheme val="minor"/>
      </rPr>
      <t>(Verified)</t>
    </r>
  </si>
  <si>
    <r>
      <t>Resistance/u.l R' (</t>
    </r>
    <r>
      <rPr>
        <sz val="11"/>
        <color theme="0"/>
        <rFont val="Calibri"/>
        <family val="2"/>
      </rPr>
      <t>Ω</t>
    </r>
    <r>
      <rPr>
        <sz val="11"/>
        <color theme="0"/>
        <rFont val="Calibri"/>
        <family val="2"/>
        <scheme val="minor"/>
      </rPr>
      <t>)</t>
    </r>
  </si>
  <si>
    <r>
      <t>DK Coeffcient Tc</t>
    </r>
    <r>
      <rPr>
        <sz val="8"/>
        <color theme="0"/>
        <rFont val="Calibri"/>
        <family val="2"/>
        <scheme val="minor"/>
      </rPr>
      <t>_DK</t>
    </r>
    <r>
      <rPr>
        <sz val="11"/>
        <color theme="0"/>
        <rFont val="Calibri"/>
        <family val="2"/>
        <scheme val="minor"/>
      </rPr>
      <t xml:space="preserve"> (1/°C):</t>
    </r>
  </si>
  <si>
    <r>
      <t>DF Coeffcient Tc</t>
    </r>
    <r>
      <rPr>
        <sz val="8"/>
        <color theme="0"/>
        <rFont val="Calibri"/>
        <family val="2"/>
        <scheme val="minor"/>
      </rPr>
      <t>_DF</t>
    </r>
    <r>
      <rPr>
        <sz val="11"/>
        <color theme="0"/>
        <rFont val="Calibri"/>
        <family val="2"/>
        <scheme val="minor"/>
      </rPr>
      <t xml:space="preserve"> (1/°C):</t>
    </r>
  </si>
  <si>
    <r>
      <t>Conductivity σ</t>
    </r>
    <r>
      <rPr>
        <sz val="8"/>
        <color theme="0"/>
        <rFont val="Calibri"/>
        <family val="2"/>
        <scheme val="minor"/>
      </rPr>
      <t>o</t>
    </r>
    <r>
      <rPr>
        <sz val="11"/>
        <color theme="0"/>
        <rFont val="Calibri"/>
        <family val="2"/>
        <scheme val="minor"/>
      </rPr>
      <t xml:space="preserve"> (S/m):</t>
    </r>
  </si>
  <si>
    <r>
      <t>Metal Coeffcient α</t>
    </r>
    <r>
      <rPr>
        <sz val="8"/>
        <color theme="0"/>
        <rFont val="Calibri"/>
        <family val="2"/>
        <scheme val="minor"/>
      </rPr>
      <t xml:space="preserve">_M </t>
    </r>
    <r>
      <rPr>
        <sz val="11"/>
        <color theme="0"/>
        <rFont val="Calibri"/>
        <family val="2"/>
        <scheme val="minor"/>
      </rPr>
      <t>(1/°C):</t>
    </r>
  </si>
  <si>
    <r>
      <t>Temperature T</t>
    </r>
    <r>
      <rPr>
        <sz val="8"/>
        <color theme="0"/>
        <rFont val="Calibri"/>
        <family val="2"/>
        <scheme val="minor"/>
      </rPr>
      <t>o</t>
    </r>
    <r>
      <rPr>
        <sz val="11"/>
        <color theme="0"/>
        <rFont val="Calibri"/>
        <family val="2"/>
        <scheme val="minor"/>
      </rPr>
      <t xml:space="preserve"> (°C):</t>
    </r>
  </si>
  <si>
    <r>
      <t xml:space="preserve">Roughness_RMS </t>
    </r>
    <r>
      <rPr>
        <sz val="11"/>
        <color theme="0"/>
        <rFont val="Calibri"/>
        <family val="2"/>
      </rPr>
      <t xml:space="preserve">Δ </t>
    </r>
    <r>
      <rPr>
        <sz val="11"/>
        <color theme="0"/>
        <rFont val="Calibri"/>
        <family val="2"/>
        <scheme val="minor"/>
      </rPr>
      <t>(µm):</t>
    </r>
  </si>
  <si>
    <t>About this tool…</t>
  </si>
  <si>
    <t>Version Number</t>
  </si>
  <si>
    <t>Created by</t>
  </si>
  <si>
    <t>Ahmed Ibrahim</t>
  </si>
  <si>
    <t>LICENSE INFORMATION:</t>
  </si>
  <si>
    <t>Copyright © 2024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</si>
  <si>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</si>
  <si>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</si>
  <si>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</si>
  <si>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</si>
  <si>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</si>
  <si>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</si>
  <si>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</si>
  <si>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</si>
  <si>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</si>
  <si>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1.0.0</t>
  </si>
  <si>
    <t>Initial Release</t>
  </si>
  <si>
    <t>PCB MATERIAL MODELER</t>
  </si>
  <si>
    <t>Chosen Thickness (µm) :</t>
  </si>
  <si>
    <t>Metal Thickness t (µm) :</t>
  </si>
  <si>
    <t>USER GUIDE</t>
  </si>
  <si>
    <t>NOTES:</t>
  </si>
  <si>
    <t>Do enter user input ONLY in the yellow-highlighted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</si>
</sst>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E+00"/>
    <numFmt numFmtId="165" formatCode="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95">
    <xf numFmtId="0" fontId="0" fillId="0" borderId="0" xfId="0"/>
    <xf numFmtId="0" fontId="0" fillId="2" borderId="0" xfId="0" applyFill="1" applyAlignment="1">
      <alignment horizontal="center" vertical="center" wrapText="1"/>
    </xf>
    <xf numFmtId="11" fontId="0" fillId="2" borderId="0" xfId="0" applyNumberFormat="1" applyFill="1" applyAlignment="1">
      <alignment horizontal="center" vertical="center" wrapText="1"/>
    </xf>
    <xf numFmtId="0" fontId="0" fillId="2" borderId="0" xfId="0" applyFill="1"/>
    <xf numFmtId="165" fontId="0" fillId="2" borderId="0" xfId="0" applyNumberFormat="1" applyFill="1"/>
    <xf numFmtId="164" fontId="0" fillId="2" borderId="0" xfId="0" applyNumberFormat="1" applyFill="1" applyAlignment="1">
      <alignment horizontal="center"/>
    </xf>
    <xf numFmtId="9" fontId="0" fillId="2" borderId="0" xfId="0" applyNumberFormat="1" applyFill="1"/>
    <xf numFmtId="164" fontId="0" fillId="2" borderId="0" xfId="0" applyNumberFormat="1" applyFill="1" applyAlignment="1">
      <alignment horizontal="center" vertical="center" wrapText="1"/>
    </xf>
    <xf numFmtId="164" fontId="0" fillId="2" borderId="0" xfId="0" applyNumberFormat="1" applyFill="1"/>
    <xf numFmtId="0" fontId="4" fillId="3" borderId="0" xfId="0" applyFont="1" applyFill="1"/>
    <xf numFmtId="2" fontId="4" fillId="3" borderId="0" xfId="0" applyNumberFormat="1" applyFont="1" applyFill="1"/>
    <xf numFmtId="10" fontId="4" fillId="3" borderId="0" xfId="1" applyNumberFormat="1" applyFont="1" applyFill="1"/>
    <xf numFmtId="0" fontId="5" fillId="3" borderId="0" xfId="0" applyFont="1" applyFill="1"/>
    <xf numFmtId="9" fontId="4" fillId="3" borderId="0" xfId="0" applyNumberFormat="1" applyFont="1" applyFill="1"/>
    <xf numFmtId="11" fontId="4" fillId="3" borderId="0" xfId="0" applyNumberFormat="1" applyFont="1" applyFill="1"/>
    <xf numFmtId="164" fontId="4" fillId="3" borderId="0" xfId="0" applyNumberFormat="1" applyFont="1" applyFill="1"/>
    <xf numFmtId="0" fontId="4" fillId="3" borderId="0" xfId="0" applyFont="1" applyFill="1" applyAlignment="1">
      <alignment horizontal="right"/>
    </xf>
    <xf numFmtId="0" fontId="4" fillId="3" borderId="0" xfId="0" applyFont="1" applyFill="1" applyAlignment="1">
      <alignment vertical="center"/>
    </xf>
    <xf numFmtId="0" fontId="4" fillId="3" borderId="0" xfId="0" applyFont="1" applyFill="1" applyAlignment="1">
      <alignment horizontal="center" vertical="center"/>
    </xf>
    <xf numFmtId="164" fontId="4" fillId="3" borderId="0" xfId="0" applyNumberFormat="1" applyFont="1" applyFill="1" applyAlignment="1">
      <alignment horizontal="center"/>
    </xf>
    <xf numFmtId="165" fontId="4" fillId="3" borderId="0" xfId="0" applyNumberFormat="1" applyFont="1" applyFill="1"/>
    <xf numFmtId="0" fontId="4" fillId="3" borderId="0" xfId="0" applyFont="1" applyFill="1" applyAlignment="1">
      <alignment horizontal="center"/>
    </xf>
    <xf numFmtId="0" fontId="4" fillId="3" borderId="0" xfId="0" applyFont="1" applyFill="1" applyAlignment="1">
      <alignment horizontal="center" vertical="center" wrapText="1"/>
    </xf>
    <xf numFmtId="0" fontId="4" fillId="3" borderId="0" xfId="0" applyFont="1" applyFill="1" applyAlignment="1">
      <alignment horizontal="center" vertical="center" wrapText="1"/>
    </xf>
    <xf numFmtId="0" fontId="4" fillId="3" borderId="0" xfId="0" applyFont="1" applyFill="1" applyAlignment="1">
      <alignment horizontal="right" vertical="center"/>
    </xf>
    <xf numFmtId="0" fontId="4" fillId="3" borderId="0" xfId="0" applyFont="1" applyFill="1" applyAlignment="1">
      <alignment horizontal="right" vertical="center" wrapText="1"/>
    </xf>
    <xf numFmtId="0" fontId="2" fillId="4" borderId="0" xfId="0" applyFont="1" applyFill="1"/>
    <xf numFmtId="2" fontId="2" fillId="4" borderId="0" xfId="0" applyNumberFormat="1" applyFont="1" applyFill="1"/>
    <xf numFmtId="2" fontId="0" fillId="4" borderId="0" xfId="0" applyNumberFormat="1" applyFill="1"/>
    <xf numFmtId="0" fontId="3" fillId="3" borderId="0" xfId="0" applyFont="1" applyFill="1" applyAlignment="1">
      <alignment horizontal="righ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10" fillId="3" borderId="0" xfId="3" applyFill="1"/>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17" fillId="5" borderId="0" xfId="2" applyFont="1" applyFill="1" applyAlignment="1">
      <alignment horizontal="left"/>
    </xf>
    <xf numFmtId="0" fontId="2" fillId="5" borderId="5" xfId="2" applyFont="1" applyFill="1" applyBorder="1"/>
    <xf numFmtId="0" fontId="16" fillId="3" borderId="0" xfId="2" applyFont="1" applyFill="1" applyAlignment="1">
      <alignment horizontal="left"/>
    </xf>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4" fillId="3" borderId="0" xfId="3" applyFont="1" applyFill="1" applyBorder="1" applyAlignment="1">
      <alignment horizontal="left"/>
    </xf>
    <xf numFmtId="0" fontId="3" fillId="3" borderId="0" xfId="0" applyFont="1" applyFill="1" applyAlignment="1">
      <alignment horizontal="center"/>
    </xf>
    <xf numFmtId="0" fontId="12" fillId="3" borderId="4" xfId="2" applyFont="1" applyFill="1" applyBorder="1" applyAlignment="1">
      <alignment horizontal="center"/>
    </xf>
    <xf numFmtId="0" fontId="16" fillId="3" borderId="4" xfId="2" applyFont="1" applyFill="1" applyBorder="1" applyAlignment="1">
      <alignment horizontal="right"/>
    </xf>
    <xf numFmtId="0" fontId="16" fillId="3" borderId="0" xfId="2" applyFont="1" applyFill="1" applyAlignment="1">
      <alignment horizontal="left" vertical="top"/>
    </xf>
    <xf numFmtId="0" fontId="16" fillId="2" borderId="0" xfId="2" applyFont="1" applyFill="1" applyAlignment="1">
      <alignment vertical="top"/>
    </xf>
    <xf numFmtId="0" fontId="16" fillId="3" borderId="0" xfId="2" applyFont="1" applyFill="1" applyAlignment="1">
      <alignment vertical="top"/>
    </xf>
    <xf numFmtId="0" fontId="12" fillId="3" borderId="4" xfId="2" applyFont="1" applyFill="1" applyBorder="1" applyAlignment="1">
      <alignment horizontal="center"/>
    </xf>
    <xf numFmtId="0" fontId="12" fillId="3" borderId="0" xfId="2" applyFont="1" applyFill="1" applyAlignment="1">
      <alignment horizontal="center"/>
    </xf>
    <xf numFmtId="0" fontId="2" fillId="3" borderId="0" xfId="2" applyFont="1" applyFill="1"/>
    <xf numFmtId="0" fontId="18" fillId="3" borderId="4" xfId="2" applyFont="1" applyFill="1" applyBorder="1" applyAlignment="1">
      <alignment horizontal="left" vertical="top" wrapText="1"/>
    </xf>
    <xf numFmtId="0" fontId="18" fillId="3" borderId="0" xfId="2" applyFont="1" applyFill="1" applyAlignment="1">
      <alignment horizontal="left" vertical="top" wrapText="1"/>
    </xf>
    <xf numFmtId="0" fontId="18" fillId="3" borderId="5" xfId="2" applyFont="1" applyFill="1" applyBorder="1" applyAlignment="1">
      <alignment horizontal="left" vertical="top" wrapText="1"/>
    </xf>
    <xf numFmtId="0" fontId="19" fillId="3" borderId="0" xfId="2" applyFont="1" applyFill="1"/>
    <xf numFmtId="0" fontId="19" fillId="3" borderId="4" xfId="2" applyFont="1" applyFill="1" applyBorder="1"/>
    <xf numFmtId="0" fontId="4" fillId="3" borderId="4" xfId="3" applyFont="1" applyFill="1" applyBorder="1" applyAlignment="1">
      <alignment vertical="top" wrapText="1"/>
    </xf>
    <xf numFmtId="0" fontId="4" fillId="3" borderId="0" xfId="3" applyFont="1" applyFill="1" applyAlignment="1">
      <alignment vertical="top" wrapText="1"/>
    </xf>
    <xf numFmtId="0" fontId="4" fillId="3" borderId="5" xfId="3" applyFont="1" applyFill="1" applyBorder="1" applyAlignment="1">
      <alignment vertical="top" wrapText="1"/>
    </xf>
    <xf numFmtId="0" fontId="15" fillId="3" borderId="4" xfId="3" applyFont="1" applyFill="1" applyBorder="1"/>
    <xf numFmtId="0" fontId="15" fillId="3" borderId="0" xfId="3" applyFont="1" applyFill="1"/>
    <xf numFmtId="0" fontId="15" fillId="3" borderId="5" xfId="3" applyFont="1" applyFill="1" applyBorder="1"/>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'TU863+_P_2116'!$A$21:$H$21</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'TU863+_P_2116'!$C$22</c:f>
              <c:strCache>
                <c:ptCount val="1"/>
                <c:pt idx="0">
                  <c:v>1.0E+09</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'TU863+_P_2116'!$C$23:$C$25</c:f>
              <c:numCache>
                <c:formatCode>0.00</c:formatCode>
                <c:ptCount val="3"/>
                <c:pt idx="0">
                  <c:v>4.0476315789473682</c:v>
                </c:pt>
                <c:pt idx="1">
                  <c:v>3.9839473684210525</c:v>
                </c:pt>
                <c:pt idx="2">
                  <c:v>3.8884210526315792</c:v>
                </c:pt>
              </c:numCache>
            </c:numRef>
          </c:yVal>
          <c:smooth val="0"/>
          <c:extLst>
            <c:ext xmlns:c16="http://schemas.microsoft.com/office/drawing/2014/chart" uri="{C3380CC4-5D6E-409C-BE32-E72D297353CC}">
              <c16:uniqueId val="{00000000-82BD-4E30-98BE-CC6D2B3CE5BF}"/>
            </c:ext>
          </c:extLst>
        </c:ser>
        <c:ser>
          <c:idx val="1"/>
          <c:order val="1"/>
          <c:tx>
            <c:strRef>
              <c:f>'TU863+_P_2116'!$D$22</c:f>
              <c:strCache>
                <c:ptCount val="1"/>
                <c:pt idx="0">
                  <c:v>3.0E+09</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'TU863+_P_2116'!$D$23:$D$25</c:f>
              <c:numCache>
                <c:formatCode>0.00</c:formatCode>
                <c:ptCount val="3"/>
                <c:pt idx="0">
                  <c:v>4.0376315789473685</c:v>
                </c:pt>
                <c:pt idx="1">
                  <c:v>3.9739473684210522</c:v>
                </c:pt>
                <c:pt idx="2">
                  <c:v>3.8784210526315785</c:v>
                </c:pt>
              </c:numCache>
            </c:numRef>
          </c:yVal>
          <c:smooth val="0"/>
          <c:extLst>
            <c:ext xmlns:c16="http://schemas.microsoft.com/office/drawing/2014/chart" uri="{C3380CC4-5D6E-409C-BE32-E72D297353CC}">
              <c16:uniqueId val="{00000001-82BD-4E30-98BE-CC6D2B3CE5BF}"/>
            </c:ext>
          </c:extLst>
        </c:ser>
        <c:ser>
          <c:idx val="2"/>
          <c:order val="2"/>
          <c:tx>
            <c:strRef>
              <c:f>'TU863+_P_2116'!$E$22</c:f>
              <c:strCache>
                <c:ptCount val="1"/>
                <c:pt idx="0">
                  <c:v>5.0E+09</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'TU863+_P_2116'!$E$23:$E$25</c:f>
              <c:numCache>
                <c:formatCode>0.00</c:formatCode>
                <c:ptCount val="3"/>
                <c:pt idx="0">
                  <c:v>4.0076315789473682</c:v>
                </c:pt>
                <c:pt idx="1">
                  <c:v>3.9439473684210524</c:v>
                </c:pt>
                <c:pt idx="2">
                  <c:v>3.8484210526315792</c:v>
                </c:pt>
              </c:numCache>
            </c:numRef>
          </c:yVal>
          <c:smooth val="0"/>
          <c:extLst>
            <c:ext xmlns:c16="http://schemas.microsoft.com/office/drawing/2014/chart" uri="{C3380CC4-5D6E-409C-BE32-E72D297353CC}">
              <c16:uniqueId val="{00000002-82BD-4E30-98BE-CC6D2B3CE5BF}"/>
            </c:ext>
          </c:extLst>
        </c:ser>
        <c:ser>
          <c:idx val="3"/>
          <c:order val="3"/>
          <c:tx>
            <c:strRef>
              <c:f>'TU863+_P_2116'!$F$22</c:f>
              <c:strCache>
                <c:ptCount val="1"/>
                <c:pt idx="0">
                  <c:v>1.0E+10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'TU863+_P_2116'!$F$23:$F$25</c:f>
              <c:numCache>
                <c:formatCode>0.00</c:formatCode>
                <c:ptCount val="3"/>
                <c:pt idx="0">
                  <c:v>3.9600000000000004</c:v>
                </c:pt>
                <c:pt idx="1">
                  <c:v>3.9000000000000004</c:v>
                </c:pt>
                <c:pt idx="2">
                  <c:v>3.8100000000000005</c:v>
                </c:pt>
              </c:numCache>
            </c:numRef>
          </c:yVal>
          <c:smooth val="0"/>
          <c:extLst>
            <c:ext xmlns:c16="http://schemas.microsoft.com/office/drawing/2014/chart" uri="{C3380CC4-5D6E-409C-BE32-E72D297353CC}">
              <c16:uniqueId val="{00000003-82BD-4E30-98BE-CC6D2B3CE5BF}"/>
            </c:ext>
          </c:extLst>
        </c:ser>
        <c:ser>
          <c:idx val="4"/>
          <c:order val="4"/>
          <c:tx>
            <c:strRef>
              <c:f>'TU863+_P_2116'!$H$22</c:f>
              <c:strCache>
                <c:ptCount val="1"/>
                <c:pt idx="0">
                  <c:v>2.0E+10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'TU863+_P_2116'!$H$23:$H$25</c:f>
              <c:numCache>
                <c:formatCode>0.00</c:formatCode>
                <c:ptCount val="3"/>
                <c:pt idx="0">
                  <c:v>3.8999999999999995</c:v>
                </c:pt>
                <c:pt idx="1">
                  <c:v>3.84</c:v>
                </c:pt>
                <c:pt idx="2">
                  <c:v>3.75</c:v>
                </c:pt>
              </c:numCache>
            </c:numRef>
          </c:yVal>
          <c:smooth val="0"/>
          <c:extLst>
            <c:ext xmlns:c16="http://schemas.microsoft.com/office/drawing/2014/chart" uri="{C3380CC4-5D6E-409C-BE32-E72D297353CC}">
              <c16:uniqueId val="{00000004-82BD-4E30-98BE-CC6D2B3CE5BF}"/>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'TU863+_P_2116'!$J$21:$Q$21</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'TU863+_P_2116'!$L$22</c:f>
              <c:strCache>
                <c:ptCount val="1"/>
                <c:pt idx="0">
                  <c:v>1.0E+09</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'TU863+_P_2116'!$L$23:$L$25</c:f>
              <c:numCache>
                <c:formatCode>0.00</c:formatCode>
                <c:ptCount val="3"/>
                <c:pt idx="0">
                  <c:v>3.4517688615280053</c:v>
                </c:pt>
                <c:pt idx="1">
                  <c:v>3.4006753350438306</c:v>
                </c:pt>
                <c:pt idx="2">
                  <c:v>3.3268095412058152</c:v>
                </c:pt>
              </c:numCache>
            </c:numRef>
          </c:yVal>
          <c:smooth val="0"/>
          <c:extLst>
            <c:ext xmlns:c16="http://schemas.microsoft.com/office/drawing/2014/chart" uri="{C3380CC4-5D6E-409C-BE32-E72D297353CC}">
              <c16:uniqueId val="{00000000-C21E-4EC9-9B76-9B29AB42CDFE}"/>
            </c:ext>
          </c:extLst>
        </c:ser>
        <c:ser>
          <c:idx val="1"/>
          <c:order val="1"/>
          <c:tx>
            <c:strRef>
              <c:f>'TU863+_P_2116'!$M$22</c:f>
              <c:strCache>
                <c:ptCount val="1"/>
                <c:pt idx="0">
                  <c:v>3.0E+09</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'TU863+_P_2116'!$M$23:$M$25</c:f>
              <c:numCache>
                <c:formatCode>0.00</c:formatCode>
                <c:ptCount val="3"/>
                <c:pt idx="0">
                  <c:v>3.4403597643059016</c:v>
                </c:pt>
                <c:pt idx="1">
                  <c:v>3.3893164767722106</c:v>
                </c:pt>
                <c:pt idx="2">
                  <c:v>3.3155296301206385</c:v>
                </c:pt>
              </c:numCache>
            </c:numRef>
          </c:yVal>
          <c:smooth val="0"/>
          <c:extLst>
            <c:ext xmlns:c16="http://schemas.microsoft.com/office/drawing/2014/chart" uri="{C3380CC4-5D6E-409C-BE32-E72D297353CC}">
              <c16:uniqueId val="{00000001-C21E-4EC9-9B76-9B29AB42CDFE}"/>
            </c:ext>
          </c:extLst>
        </c:ser>
        <c:ser>
          <c:idx val="2"/>
          <c:order val="2"/>
          <c:tx>
            <c:strRef>
              <c:f>'TU863+_P_2116'!$N$22</c:f>
              <c:strCache>
                <c:ptCount val="1"/>
                <c:pt idx="0">
                  <c:v>5.0E+09</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'TU863+_P_2116'!$N$23:$N$25</c:f>
              <c:numCache>
                <c:formatCode>0.00</c:formatCode>
                <c:ptCount val="3"/>
                <c:pt idx="0">
                  <c:v>3.4060922001022615</c:v>
                </c:pt>
                <c:pt idx="1">
                  <c:v>3.3552016455288993</c:v>
                </c:pt>
                <c:pt idx="2">
                  <c:v>3.2816546529366897</c:v>
                </c:pt>
              </c:numCache>
            </c:numRef>
          </c:yVal>
          <c:smooth val="0"/>
          <c:extLst>
            <c:ext xmlns:c16="http://schemas.microsoft.com/office/drawing/2014/chart" uri="{C3380CC4-5D6E-409C-BE32-E72D297353CC}">
              <c16:uniqueId val="{00000002-C21E-4EC9-9B76-9B29AB42CDFE}"/>
            </c:ext>
          </c:extLst>
        </c:ser>
        <c:ser>
          <c:idx val="3"/>
          <c:order val="3"/>
          <c:tx>
            <c:strRef>
              <c:f>'TU863+_P_2116'!$O$22</c:f>
              <c:strCache>
                <c:ptCount val="1"/>
                <c:pt idx="0">
                  <c:v>1.0E+10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'TU863+_P_2116'!$O$23:$O$25</c:f>
              <c:numCache>
                <c:formatCode>0.00</c:formatCode>
                <c:ptCount val="3"/>
                <c:pt idx="0">
                  <c:v>3.4184782608695645</c:v>
                </c:pt>
                <c:pt idx="1">
                  <c:v>3.3696428571428569</c:v>
                </c:pt>
                <c:pt idx="2">
                  <c:v>3.2989510489510487</c:v>
                </c:pt>
              </c:numCache>
            </c:numRef>
          </c:yVal>
          <c:smooth val="0"/>
          <c:extLst>
            <c:ext xmlns:c16="http://schemas.microsoft.com/office/drawing/2014/chart" uri="{C3380CC4-5D6E-409C-BE32-E72D297353CC}">
              <c16:uniqueId val="{00000003-C21E-4EC9-9B76-9B29AB42CDFE}"/>
            </c:ext>
          </c:extLst>
        </c:ser>
        <c:ser>
          <c:idx val="4"/>
          <c:order val="4"/>
          <c:tx>
            <c:strRef>
              <c:f>'TU863+_P_2116'!$Q$22</c:f>
              <c:strCache>
                <c:ptCount val="1"/>
                <c:pt idx="0">
                  <c:v>2.0E+10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'TU863+_P_2116'!$B$23:$B$25</c:f>
              <c:numCache>
                <c:formatCode>0%</c:formatCode>
                <c:ptCount val="3"/>
                <c:pt idx="0">
                  <c:v>0.53</c:v>
                </c:pt>
                <c:pt idx="1">
                  <c:v>0.55000000000000004</c:v>
                </c:pt>
                <c:pt idx="2">
                  <c:v>0.57999999999999996</c:v>
                </c:pt>
              </c:numCache>
            </c:numRef>
          </c:xVal>
          <c:yVal>
            <c:numRef>
              <c:f>'TU863+_P_2116'!$Q$23:$Q$25</c:f>
              <c:numCache>
                <c:formatCode>0.00</c:formatCode>
                <c:ptCount val="3"/>
                <c:pt idx="0">
                  <c:v>3.3505147058823526</c:v>
                </c:pt>
                <c:pt idx="1">
                  <c:v>3.3019565217391298</c:v>
                </c:pt>
                <c:pt idx="2">
                  <c:v>3.2317021276595734</c:v>
                </c:pt>
              </c:numCache>
            </c:numRef>
          </c:yVal>
          <c:smooth val="0"/>
          <c:extLst>
            <c:ext xmlns:c16="http://schemas.microsoft.com/office/drawing/2014/chart" uri="{C3380CC4-5D6E-409C-BE32-E72D297353CC}">
              <c16:uniqueId val="{00000004-C21E-4EC9-9B76-9B29AB42CDF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'TU863+_P_2116'!$A$42:$H$42</c:f>
              <c:strCache>
                <c:ptCount val="8"/>
                <c:pt idx="0">
                  <c:v>DK_InPlane (Thickness = 120µm)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'TU863+_P_2116'!$C$43:$H$43</c:f>
              <c:numCache>
                <c:formatCode>0.0E+00</c:formatCode>
                <c:ptCount val="6"/>
                <c:pt idx="0">
                  <c:v>1000000000</c:v>
                </c:pt>
                <c:pt idx="1">
                  <c:v>3000000000</c:v>
                </c:pt>
                <c:pt idx="2">
                  <c:v>5000000000</c:v>
                </c:pt>
                <c:pt idx="3">
                  <c:v>10000000000</c:v>
                </c:pt>
                <c:pt idx="4">
                  <c:v>15000000000</c:v>
                </c:pt>
                <c:pt idx="5">
                  <c:v>20000000000</c:v>
                </c:pt>
              </c:numCache>
            </c:numRef>
          </c:xVal>
          <c:yVal>
            <c:numRef>
              <c:f>'TU863+_P_2116'!$C$44:$H$44</c:f>
              <c:numCache>
                <c:formatCode>0.00</c:formatCode>
                <c:ptCount val="6"/>
                <c:pt idx="0">
                  <c:v>4.0559301971144066</c:v>
                </c:pt>
                <c:pt idx="1">
                  <c:v>4.0459301971144068</c:v>
                </c:pt>
                <c:pt idx="2">
                  <c:v>4.0159301971144075</c:v>
                </c:pt>
                <c:pt idx="3">
                  <c:v>3.9678185328185331</c:v>
                </c:pt>
                <c:pt idx="4">
                  <c:v>3.9378185328185324</c:v>
                </c:pt>
                <c:pt idx="5">
                  <c:v>3.9078185328185322</c:v>
                </c:pt>
              </c:numCache>
            </c:numRef>
          </c:yVal>
          <c:smooth val="0"/>
          <c:extLst>
            <c:ext xmlns:c16="http://schemas.microsoft.com/office/drawing/2014/chart" uri="{C3380CC4-5D6E-409C-BE32-E72D297353CC}">
              <c16:uniqueId val="{00000000-6ABF-4DE3-946F-E49A7EC4CE1E}"/>
            </c:ext>
          </c:extLst>
        </c:ser>
        <c:ser>
          <c:idx val="1"/>
          <c:order val="1"/>
          <c:tx>
            <c:strRef>
              <c:f>'TU863+_P_2116'!$J$42:$Q$42</c:f>
              <c:strCache>
                <c:ptCount val="8"/>
                <c:pt idx="0">
                  <c:v>DK_OutofPlane (Thickness = 120µm)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'TU863+_P_2116'!$L$43:$Q$43</c:f>
              <c:numCache>
                <c:formatCode>0.0E+00</c:formatCode>
                <c:ptCount val="6"/>
                <c:pt idx="0">
                  <c:v>1000000000</c:v>
                </c:pt>
                <c:pt idx="1">
                  <c:v>3000000000</c:v>
                </c:pt>
                <c:pt idx="2">
                  <c:v>5000000000</c:v>
                </c:pt>
                <c:pt idx="3">
                  <c:v>10000000000</c:v>
                </c:pt>
                <c:pt idx="4">
                  <c:v>15000000000</c:v>
                </c:pt>
                <c:pt idx="5">
                  <c:v>20000000000</c:v>
                </c:pt>
              </c:numCache>
            </c:numRef>
          </c:xVal>
          <c:yVal>
            <c:numRef>
              <c:f>'TU863+_P_2116'!$L$44:$Q$44</c:f>
              <c:numCache>
                <c:formatCode>0.00</c:formatCode>
                <c:ptCount val="6"/>
                <c:pt idx="0">
                  <c:v>3.4585400910429773</c:v>
                </c:pt>
                <c:pt idx="1">
                  <c:v>3.4471246040146015</c:v>
                </c:pt>
                <c:pt idx="2">
                  <c:v>3.4128376076518481</c:v>
                </c:pt>
                <c:pt idx="3">
                  <c:v>3.4249463902787705</c:v>
                </c:pt>
                <c:pt idx="4">
                  <c:v>3.390976267453512</c:v>
                </c:pt>
                <c:pt idx="5">
                  <c:v>3.3569476483722775</c:v>
                </c:pt>
              </c:numCache>
            </c:numRef>
          </c:yVal>
          <c:smooth val="0"/>
          <c:extLst>
            <c:ext xmlns:c16="http://schemas.microsoft.com/office/drawing/2014/chart" uri="{C3380CC4-5D6E-409C-BE32-E72D297353CC}">
              <c16:uniqueId val="{00000001-6ABF-4DE3-946F-E49A7EC4CE1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min val="3.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'TU863+_P_2116'!$S$6:$Y$6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'TU863+_P_2116'!$S$7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'TU863+_P_2116'!$U$2:$Z$2</c:f>
              <c:numCache>
                <c:formatCode>0.0E+00</c:formatCode>
                <c:ptCount val="6"/>
                <c:pt idx="0">
                  <c:v>1000000000</c:v>
                </c:pt>
                <c:pt idx="1">
                  <c:v>3000000000</c:v>
                </c:pt>
                <c:pt idx="2">
                  <c:v>5000000000</c:v>
                </c:pt>
                <c:pt idx="3">
                  <c:v>10000000000</c:v>
                </c:pt>
                <c:pt idx="4">
                  <c:v>15000000000</c:v>
                </c:pt>
                <c:pt idx="5">
                  <c:v>20000000000</c:v>
                </c:pt>
              </c:numCache>
            </c:numRef>
          </c:xVal>
          <c:yVal>
            <c:numRef>
              <c:f>'TU863+_P_2116'!$U$7:$Z$7</c:f>
              <c:numCache>
                <c:formatCode>0.00</c:formatCode>
                <c:ptCount val="6"/>
                <c:pt idx="0">
                  <c:v>0.9527233696368117</c:v>
                </c:pt>
                <c:pt idx="1">
                  <c:v>2.9598016558868414</c:v>
                </c:pt>
                <c:pt idx="2">
                  <c:v>5.3503489060531626</c:v>
                </c:pt>
                <c:pt idx="3">
                  <c:v>12.074701733258747</c:v>
                </c:pt>
                <c:pt idx="4">
                  <c:v>19.601652066539451</c:v>
                </c:pt>
                <c:pt idx="5">
                  <c:v>28.102807443751743</c:v>
                </c:pt>
              </c:numCache>
            </c:numRef>
          </c:yVal>
          <c:smooth val="0"/>
          <c:extLst>
            <c:ext xmlns:c16="http://schemas.microsoft.com/office/drawing/2014/chart" uri="{C3380CC4-5D6E-409C-BE32-E72D297353CC}">
              <c16:uniqueId val="{00000000-97B2-4417-BCA3-99B7A1BA86D6}"/>
            </c:ext>
          </c:extLst>
        </c:ser>
        <c:ser>
          <c:idx val="1"/>
          <c:order val="1"/>
          <c:tx>
            <c:strRef>
              <c:f>'TU863+_P_2116'!$S$8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'TU863+_P_2116'!$U$2:$Z$2</c:f>
              <c:numCache>
                <c:formatCode>0.0E+00</c:formatCode>
                <c:ptCount val="6"/>
                <c:pt idx="0">
                  <c:v>1000000000</c:v>
                </c:pt>
                <c:pt idx="1">
                  <c:v>3000000000</c:v>
                </c:pt>
                <c:pt idx="2">
                  <c:v>5000000000</c:v>
                </c:pt>
                <c:pt idx="3">
                  <c:v>10000000000</c:v>
                </c:pt>
                <c:pt idx="4">
                  <c:v>15000000000</c:v>
                </c:pt>
                <c:pt idx="5">
                  <c:v>20000000000</c:v>
                </c:pt>
              </c:numCache>
            </c:numRef>
          </c:xVal>
          <c:yVal>
            <c:numRef>
              <c:f>'TU863+_P_2116'!$U$8:$Z$8</c:f>
              <c:numCache>
                <c:formatCode>0.00</c:formatCode>
                <c:ptCount val="6"/>
                <c:pt idx="0">
                  <c:v>5.897910886776331</c:v>
                </c:pt>
                <c:pt idx="1">
                  <c:v>10.20091437958488</c:v>
                </c:pt>
                <c:pt idx="2">
                  <c:v>13.11270874227341</c:v>
                </c:pt>
                <c:pt idx="3">
                  <c:v>18.49917960479609</c:v>
                </c:pt>
                <c:pt idx="4">
                  <c:v>22.558537020849037</c:v>
                </c:pt>
                <c:pt idx="5">
                  <c:v>25.934318426290481</c:v>
                </c:pt>
              </c:numCache>
            </c:numRef>
          </c:yVal>
          <c:smooth val="0"/>
          <c:extLst>
            <c:ext xmlns:c16="http://schemas.microsoft.com/office/drawing/2014/chart" uri="{C3380CC4-5D6E-409C-BE32-E72D297353CC}">
              <c16:uniqueId val="{00000001-97B2-4417-BCA3-99B7A1BA86D6}"/>
            </c:ext>
          </c:extLst>
        </c:ser>
        <c:ser>
          <c:idx val="2"/>
          <c:order val="2"/>
          <c:tx>
            <c:strRef>
              <c:f>'TU863+_P_2116'!$S$9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'TU863+_P_2116'!$U$2:$Z$2</c:f>
              <c:numCache>
                <c:formatCode>0.0E+00</c:formatCode>
                <c:ptCount val="6"/>
                <c:pt idx="0">
                  <c:v>1000000000</c:v>
                </c:pt>
                <c:pt idx="1">
                  <c:v>3000000000</c:v>
                </c:pt>
                <c:pt idx="2">
                  <c:v>5000000000</c:v>
                </c:pt>
                <c:pt idx="3">
                  <c:v>10000000000</c:v>
                </c:pt>
                <c:pt idx="4">
                  <c:v>15000000000</c:v>
                </c:pt>
                <c:pt idx="5">
                  <c:v>20000000000</c:v>
                </c:pt>
              </c:numCache>
            </c:numRef>
          </c:xVal>
          <c:yVal>
            <c:numRef>
              <c:f>'TU863+_P_2116'!$U$9:$Z$9</c:f>
              <c:numCache>
                <c:formatCode>0.00</c:formatCode>
                <c:ptCount val="6"/>
                <c:pt idx="0">
                  <c:v>6.812161841406124</c:v>
                </c:pt>
                <c:pt idx="1">
                  <c:v>14.360162460184938</c:v>
                </c:pt>
                <c:pt idx="2">
                  <c:v>20.567013296697528</c:v>
                </c:pt>
                <c:pt idx="3">
                  <c:v>32.491390875909708</c:v>
                </c:pt>
                <c:pt idx="4">
                  <c:v>41.351812724518581</c:v>
                </c:pt>
                <c:pt idx="5">
                  <c:v>48.589419192070849</c:v>
                </c:pt>
              </c:numCache>
            </c:numRef>
          </c:yVal>
          <c:smooth val="0"/>
          <c:extLst>
            <c:ext xmlns:c16="http://schemas.microsoft.com/office/drawing/2014/chart" uri="{C3380CC4-5D6E-409C-BE32-E72D297353CC}">
              <c16:uniqueId val="{00000002-97B2-4417-BCA3-99B7A1BA86D6}"/>
            </c:ext>
          </c:extLst>
        </c:ser>
        <c:ser>
          <c:idx val="3"/>
          <c:order val="3"/>
          <c:tx>
            <c:strRef>
              <c:f>'TU863+_P_2116'!$S$10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'TU863+_P_2116'!$U$2:$Z$2</c:f>
              <c:numCache>
                <c:formatCode>0.0E+00</c:formatCode>
                <c:ptCount val="6"/>
                <c:pt idx="0">
                  <c:v>1000000000</c:v>
                </c:pt>
                <c:pt idx="1">
                  <c:v>3000000000</c:v>
                </c:pt>
                <c:pt idx="2">
                  <c:v>5000000000</c:v>
                </c:pt>
                <c:pt idx="3">
                  <c:v>10000000000</c:v>
                </c:pt>
                <c:pt idx="4">
                  <c:v>15000000000</c:v>
                </c:pt>
                <c:pt idx="5">
                  <c:v>20000000000</c:v>
                </c:pt>
              </c:numCache>
            </c:numRef>
          </c:xVal>
          <c:yVal>
            <c:numRef>
              <c:f>'TU863+_P_2116'!$U$10:$Z$10</c:f>
              <c:numCache>
                <c:formatCode>0.00</c:formatCode>
                <c:ptCount val="6"/>
                <c:pt idx="0">
                  <c:v>7.7648852110429356</c:v>
                </c:pt>
                <c:pt idx="1">
                  <c:v>17.31996411607178</c:v>
                </c:pt>
                <c:pt idx="2">
                  <c:v>25.917362202750692</c:v>
                </c:pt>
                <c:pt idx="3">
                  <c:v>44.566092609168457</c:v>
                </c:pt>
                <c:pt idx="4">
                  <c:v>60.953464791058032</c:v>
                </c:pt>
                <c:pt idx="5">
                  <c:v>76.692226635822593</c:v>
                </c:pt>
              </c:numCache>
            </c:numRef>
          </c:yVal>
          <c:smooth val="0"/>
          <c:extLst>
            <c:ext xmlns:c16="http://schemas.microsoft.com/office/drawing/2014/chart" uri="{C3380CC4-5D6E-409C-BE32-E72D297353CC}">
              <c16:uniqueId val="{00000003-97B2-4417-BCA3-99B7A1BA86D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'TU863+_P_2116'!$S$25:$Y$25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'TU863+_P_2116'!$U$26</c:f>
              <c:strCache>
                <c:ptCount val="1"/>
                <c:pt idx="0">
                  <c:v>1.0E+09</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'TU863+_P_2116'!$U$27:$U$30</c:f>
              <c:numCache>
                <c:formatCode>0.00</c:formatCode>
                <c:ptCount val="4"/>
                <c:pt idx="0">
                  <c:v>6.9473834332337558</c:v>
                </c:pt>
                <c:pt idx="1">
                  <c:v>7.4654501030257752</c:v>
                </c:pt>
                <c:pt idx="2">
                  <c:v>7.7648852110429356</c:v>
                </c:pt>
                <c:pt idx="3">
                  <c:v>8.4665130213035251</c:v>
                </c:pt>
              </c:numCache>
            </c:numRef>
          </c:yVal>
          <c:smooth val="0"/>
          <c:extLst>
            <c:ext xmlns:c16="http://schemas.microsoft.com/office/drawing/2014/chart" uri="{C3380CC4-5D6E-409C-BE32-E72D297353CC}">
              <c16:uniqueId val="{00000001-DB41-4E57-BE65-3AD6368AE66D}"/>
            </c:ext>
          </c:extLst>
        </c:ser>
        <c:ser>
          <c:idx val="1"/>
          <c:order val="1"/>
          <c:tx>
            <c:strRef>
              <c:f>'TU863+_P_2116'!$V$26</c:f>
              <c:strCache>
                <c:ptCount val="1"/>
                <c:pt idx="0">
                  <c:v>3.0E+09</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'TU863+_P_2116'!$V$27:$V$30</c:f>
              <c:numCache>
                <c:formatCode>0.00</c:formatCode>
                <c:ptCount val="4"/>
                <c:pt idx="0">
                  <c:v>15.589174742422871</c:v>
                </c:pt>
                <c:pt idx="1">
                  <c:v>16.698426177233657</c:v>
                </c:pt>
                <c:pt idx="2">
                  <c:v>17.31996411607178</c:v>
                </c:pt>
                <c:pt idx="3">
                  <c:v>18.748922651914452</c:v>
                </c:pt>
              </c:numCache>
            </c:numRef>
          </c:yVal>
          <c:smooth val="0"/>
          <c:extLst>
            <c:ext xmlns:c16="http://schemas.microsoft.com/office/drawing/2014/chart" uri="{C3380CC4-5D6E-409C-BE32-E72D297353CC}">
              <c16:uniqueId val="{00000003-DB41-4E57-BE65-3AD6368AE66D}"/>
            </c:ext>
          </c:extLst>
        </c:ser>
        <c:ser>
          <c:idx val="2"/>
          <c:order val="2"/>
          <c:tx>
            <c:strRef>
              <c:f>'TU863+_P_2116'!$W$26</c:f>
              <c:strCache>
                <c:ptCount val="1"/>
                <c:pt idx="0">
                  <c:v>5.0E+09</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'TU863+_P_2116'!$W$27:$W$30</c:f>
              <c:numCache>
                <c:formatCode>0.00</c:formatCode>
                <c:ptCount val="4"/>
                <c:pt idx="0">
                  <c:v>22.917736089248734</c:v>
                </c:pt>
                <c:pt idx="1">
                  <c:v>24.84931361501701</c:v>
                </c:pt>
                <c:pt idx="2">
                  <c:v>25.917362202750692</c:v>
                </c:pt>
                <c:pt idx="3">
                  <c:v>28.321419027714661</c:v>
                </c:pt>
              </c:numCache>
            </c:numRef>
          </c:yVal>
          <c:smooth val="0"/>
          <c:extLst>
            <c:ext xmlns:c16="http://schemas.microsoft.com/office/drawing/2014/chart" uri="{C3380CC4-5D6E-409C-BE32-E72D297353CC}">
              <c16:uniqueId val="{00000005-DB41-4E57-BE65-3AD6368AE66D}"/>
            </c:ext>
          </c:extLst>
        </c:ser>
        <c:ser>
          <c:idx val="3"/>
          <c:order val="3"/>
          <c:tx>
            <c:strRef>
              <c:f>'TU863+_P_2116'!$X$26</c:f>
              <c:strCache>
                <c:ptCount val="1"/>
                <c:pt idx="0">
                  <c:v>1.0E+10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'TU863+_P_2116'!$X$27:$X$30</c:f>
              <c:numCache>
                <c:formatCode>0.00</c:formatCode>
                <c:ptCount val="4"/>
                <c:pt idx="0">
                  <c:v>38.057248432110256</c:v>
                </c:pt>
                <c:pt idx="1">
                  <c:v>42.215922873235641</c:v>
                </c:pt>
                <c:pt idx="2">
                  <c:v>44.566092609168457</c:v>
                </c:pt>
                <c:pt idx="3">
                  <c:v>49.945813543407361</c:v>
                </c:pt>
              </c:numCache>
            </c:numRef>
          </c:yVal>
          <c:smooth val="0"/>
          <c:extLst>
            <c:ext xmlns:c16="http://schemas.microsoft.com/office/drawing/2014/chart" uri="{C3380CC4-5D6E-409C-BE32-E72D297353CC}">
              <c16:uniqueId val="{00000007-DB41-4E57-BE65-3AD6368AE66D}"/>
            </c:ext>
          </c:extLst>
        </c:ser>
        <c:ser>
          <c:idx val="4"/>
          <c:order val="4"/>
          <c:tx>
            <c:strRef>
              <c:f>'TU863+_P_2116'!$Y$26</c:f>
              <c:strCache>
                <c:ptCount val="1"/>
                <c:pt idx="0">
                  <c:v>1.5E+10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'TU863+_P_2116'!$Y$27:$Y$30</c:f>
              <c:numCache>
                <c:formatCode>0.00</c:formatCode>
                <c:ptCount val="4"/>
                <c:pt idx="0">
                  <c:v>50.97813253828955</c:v>
                </c:pt>
                <c:pt idx="1">
                  <c:v>57.314650286508225</c:v>
                </c:pt>
                <c:pt idx="2">
                  <c:v>60.953464791058032</c:v>
                </c:pt>
                <c:pt idx="3">
                  <c:v>69.440665711964016</c:v>
                </c:pt>
              </c:numCache>
            </c:numRef>
          </c:yVal>
          <c:smooth val="0"/>
          <c:extLst>
            <c:ext xmlns:c16="http://schemas.microsoft.com/office/drawing/2014/chart" uri="{C3380CC4-5D6E-409C-BE32-E72D297353CC}">
              <c16:uniqueId val="{00000009-DB41-4E57-BE65-3AD6368AE66D}"/>
            </c:ext>
          </c:extLst>
        </c:ser>
        <c:ser>
          <c:idx val="5"/>
          <c:order val="5"/>
          <c:tx>
            <c:strRef>
              <c:f>'TU863+_P_2116'!$Z$26</c:f>
              <c:strCache>
                <c:ptCount val="1"/>
                <c:pt idx="0">
                  <c:v>2.0E+10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'TU863+_P_2116'!$T$27:$T$30</c:f>
              <c:numCache>
                <c:formatCode>General</c:formatCode>
                <c:ptCount val="4"/>
                <c:pt idx="0">
                  <c:v>-40</c:v>
                </c:pt>
                <c:pt idx="1">
                  <c:v>0</c:v>
                </c:pt>
                <c:pt idx="2">
                  <c:v>25</c:v>
                </c:pt>
                <c:pt idx="3">
                  <c:v>90</c:v>
                </c:pt>
              </c:numCache>
            </c:numRef>
          </c:xVal>
          <c:yVal>
            <c:numRef>
              <c:f>'TU863+_P_2116'!$Z$27:$Z$30</c:f>
              <c:numCache>
                <c:formatCode>0.00</c:formatCode>
                <c:ptCount val="4"/>
                <c:pt idx="0">
                  <c:v>63.168270551537503</c:v>
                </c:pt>
                <c:pt idx="1">
                  <c:v>71.727782217593756</c:v>
                </c:pt>
                <c:pt idx="2">
                  <c:v>76.692226635822593</c:v>
                </c:pt>
                <c:pt idx="3">
                  <c:v>88.413408185529747</c:v>
                </c:pt>
              </c:numCache>
            </c:numRef>
          </c:yVal>
          <c:smooth val="0"/>
          <c:extLst>
            <c:ext xmlns:c16="http://schemas.microsoft.com/office/drawing/2014/chart" uri="{C3380CC4-5D6E-409C-BE32-E72D297353CC}">
              <c16:uniqueId val="{0000000B-DB41-4E57-BE65-3AD6368AE66D}"/>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'TU863+_P_2116'!$S$25:$Y$25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24089178450614401"/>
          <c:w val="0.6233309689179638"/>
          <c:h val="0.45504836180251068"/>
        </c:manualLayout>
      </c:layout>
      <c:scatterChart>
        <c:scatterStyle val="smoothMarker"/>
        <c:varyColors val="0"/>
        <c:ser>
          <c:idx val="0"/>
          <c:order val="0"/>
          <c:tx>
            <c:strRef>
              <c:f>'TU863+_P_2116'!$T$27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'TU863+_P_2116'!$U$26:$Z$26</c:f>
              <c:numCache>
                <c:formatCode>0.0E+00</c:formatCode>
                <c:ptCount val="6"/>
                <c:pt idx="0">
                  <c:v>1000000000</c:v>
                </c:pt>
                <c:pt idx="1">
                  <c:v>3000000000</c:v>
                </c:pt>
                <c:pt idx="2">
                  <c:v>5000000000</c:v>
                </c:pt>
                <c:pt idx="3">
                  <c:v>10000000000</c:v>
                </c:pt>
                <c:pt idx="4">
                  <c:v>15000000000</c:v>
                </c:pt>
                <c:pt idx="5">
                  <c:v>20000000000</c:v>
                </c:pt>
              </c:numCache>
            </c:numRef>
          </c:xVal>
          <c:yVal>
            <c:numRef>
              <c:f>'TU863+_P_2116'!$U$27:$Z$27</c:f>
              <c:numCache>
                <c:formatCode>0.00</c:formatCode>
                <c:ptCount val="6"/>
                <c:pt idx="0">
                  <c:v>6.9473834332337558</c:v>
                </c:pt>
                <c:pt idx="1">
                  <c:v>15.589174742422871</c:v>
                </c:pt>
                <c:pt idx="2">
                  <c:v>22.917736089248734</c:v>
                </c:pt>
                <c:pt idx="3">
                  <c:v>38.057248432110256</c:v>
                </c:pt>
                <c:pt idx="4">
                  <c:v>50.97813253828955</c:v>
                </c:pt>
                <c:pt idx="5">
                  <c:v>63.168270551537503</c:v>
                </c:pt>
              </c:numCache>
            </c:numRef>
          </c:yVal>
          <c:smooth val="1"/>
          <c:extLst>
            <c:ext xmlns:c16="http://schemas.microsoft.com/office/drawing/2014/chart" uri="{C3380CC4-5D6E-409C-BE32-E72D297353CC}">
              <c16:uniqueId val="{00000000-D872-44A2-87A3-AFADFD360110}"/>
            </c:ext>
          </c:extLst>
        </c:ser>
        <c:ser>
          <c:idx val="1"/>
          <c:order val="1"/>
          <c:tx>
            <c:strRef>
              <c:f>'TU863+_P_2116'!$T$28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'TU863+_P_2116'!$U$26:$Z$26</c:f>
              <c:numCache>
                <c:formatCode>0.0E+00</c:formatCode>
                <c:ptCount val="6"/>
                <c:pt idx="0">
                  <c:v>1000000000</c:v>
                </c:pt>
                <c:pt idx="1">
                  <c:v>3000000000</c:v>
                </c:pt>
                <c:pt idx="2">
                  <c:v>5000000000</c:v>
                </c:pt>
                <c:pt idx="3">
                  <c:v>10000000000</c:v>
                </c:pt>
                <c:pt idx="4">
                  <c:v>15000000000</c:v>
                </c:pt>
                <c:pt idx="5">
                  <c:v>20000000000</c:v>
                </c:pt>
              </c:numCache>
            </c:numRef>
          </c:xVal>
          <c:yVal>
            <c:numRef>
              <c:f>'TU863+_P_2116'!$U$28:$Z$28</c:f>
              <c:numCache>
                <c:formatCode>0.00</c:formatCode>
                <c:ptCount val="6"/>
                <c:pt idx="0">
                  <c:v>7.4654501030257752</c:v>
                </c:pt>
                <c:pt idx="1">
                  <c:v>16.698426177233657</c:v>
                </c:pt>
                <c:pt idx="2">
                  <c:v>24.84931361501701</c:v>
                </c:pt>
                <c:pt idx="3">
                  <c:v>42.215922873235641</c:v>
                </c:pt>
                <c:pt idx="4">
                  <c:v>57.314650286508225</c:v>
                </c:pt>
                <c:pt idx="5">
                  <c:v>71.727782217593756</c:v>
                </c:pt>
              </c:numCache>
            </c:numRef>
          </c:yVal>
          <c:smooth val="1"/>
          <c:extLst>
            <c:ext xmlns:c16="http://schemas.microsoft.com/office/drawing/2014/chart" uri="{C3380CC4-5D6E-409C-BE32-E72D297353CC}">
              <c16:uniqueId val="{00000001-D872-44A2-87A3-AFADFD360110}"/>
            </c:ext>
          </c:extLst>
        </c:ser>
        <c:ser>
          <c:idx val="2"/>
          <c:order val="2"/>
          <c:tx>
            <c:strRef>
              <c:f>'TU863+_P_2116'!$T$29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'TU863+_P_2116'!$U$26:$Z$26</c:f>
              <c:numCache>
                <c:formatCode>0.0E+00</c:formatCode>
                <c:ptCount val="6"/>
                <c:pt idx="0">
                  <c:v>1000000000</c:v>
                </c:pt>
                <c:pt idx="1">
                  <c:v>3000000000</c:v>
                </c:pt>
                <c:pt idx="2">
                  <c:v>5000000000</c:v>
                </c:pt>
                <c:pt idx="3">
                  <c:v>10000000000</c:v>
                </c:pt>
                <c:pt idx="4">
                  <c:v>15000000000</c:v>
                </c:pt>
                <c:pt idx="5">
                  <c:v>20000000000</c:v>
                </c:pt>
              </c:numCache>
            </c:numRef>
          </c:xVal>
          <c:yVal>
            <c:numRef>
              <c:f>'TU863+_P_2116'!$U$29:$Z$29</c:f>
              <c:numCache>
                <c:formatCode>0.00</c:formatCode>
                <c:ptCount val="6"/>
                <c:pt idx="0">
                  <c:v>7.7648852110429356</c:v>
                </c:pt>
                <c:pt idx="1">
                  <c:v>17.31996411607178</c:v>
                </c:pt>
                <c:pt idx="2">
                  <c:v>25.917362202750692</c:v>
                </c:pt>
                <c:pt idx="3">
                  <c:v>44.566092609168457</c:v>
                </c:pt>
                <c:pt idx="4">
                  <c:v>60.953464791058032</c:v>
                </c:pt>
                <c:pt idx="5">
                  <c:v>76.692226635822593</c:v>
                </c:pt>
              </c:numCache>
            </c:numRef>
          </c:yVal>
          <c:smooth val="1"/>
          <c:extLst>
            <c:ext xmlns:c16="http://schemas.microsoft.com/office/drawing/2014/chart" uri="{C3380CC4-5D6E-409C-BE32-E72D297353CC}">
              <c16:uniqueId val="{00000002-D872-44A2-87A3-AFADFD360110}"/>
            </c:ext>
          </c:extLst>
        </c:ser>
        <c:ser>
          <c:idx val="3"/>
          <c:order val="3"/>
          <c:tx>
            <c:strRef>
              <c:f>'TU863+_P_2116'!$T$30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'TU863+_P_2116'!$U$26:$Z$26</c:f>
              <c:numCache>
                <c:formatCode>0.0E+00</c:formatCode>
                <c:ptCount val="6"/>
                <c:pt idx="0">
                  <c:v>1000000000</c:v>
                </c:pt>
                <c:pt idx="1">
                  <c:v>3000000000</c:v>
                </c:pt>
                <c:pt idx="2">
                  <c:v>5000000000</c:v>
                </c:pt>
                <c:pt idx="3">
                  <c:v>10000000000</c:v>
                </c:pt>
                <c:pt idx="4">
                  <c:v>15000000000</c:v>
                </c:pt>
                <c:pt idx="5">
                  <c:v>20000000000</c:v>
                </c:pt>
              </c:numCache>
            </c:numRef>
          </c:xVal>
          <c:yVal>
            <c:numRef>
              <c:f>'TU863+_P_2116'!$U$30:$Z$30</c:f>
              <c:numCache>
                <c:formatCode>0.00</c:formatCode>
                <c:ptCount val="6"/>
                <c:pt idx="0">
                  <c:v>8.4665130213035251</c:v>
                </c:pt>
                <c:pt idx="1">
                  <c:v>18.748922651914452</c:v>
                </c:pt>
                <c:pt idx="2">
                  <c:v>28.321419027714661</c:v>
                </c:pt>
                <c:pt idx="3">
                  <c:v>49.945813543407361</c:v>
                </c:pt>
                <c:pt idx="4">
                  <c:v>69.440665711964016</c:v>
                </c:pt>
                <c:pt idx="5">
                  <c:v>88.413408185529747</c:v>
                </c:pt>
              </c:numCache>
            </c:numRef>
          </c:yVal>
          <c:smooth val="1"/>
          <c:extLst>
            <c:ext xmlns:c16="http://schemas.microsoft.com/office/drawing/2014/chart" uri="{C3380CC4-5D6E-409C-BE32-E72D297353CC}">
              <c16:uniqueId val="{00000003-D872-44A2-87A3-AFADFD360110}"/>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09800" cy="524914"/>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xdr:rowOff>
    </xdr:from>
    <xdr:to>
      <xdr:col>2</xdr:col>
      <xdr:colOff>636270</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 y="1"/>
          <a:ext cx="2030729" cy="519626"/>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25</xdr:row>
      <xdr:rowOff>180974</xdr:rowOff>
    </xdr:from>
    <xdr:to>
      <xdr:col>8</xdr:col>
      <xdr:colOff>9524</xdr:colOff>
      <xdr:row>39</xdr:row>
      <xdr:rowOff>171449</xdr:rowOff>
    </xdr:to>
    <xdr:graphicFrame macro="">
      <xdr:nvGraphicFramePr>
        <xdr:cNvPr id="2" name="Chart 1">
          <a:extLst>
            <a:ext uri="{FF2B5EF4-FFF2-40B4-BE49-F238E27FC236}">
              <a16:creationId xmlns:a16="http://schemas.microsoft.com/office/drawing/2014/main" id="{7234D1F0-E397-486F-ADA8-E977ED57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26</xdr:row>
      <xdr:rowOff>0</xdr:rowOff>
    </xdr:from>
    <xdr:to>
      <xdr:col>16</xdr:col>
      <xdr:colOff>561975</xdr:colOff>
      <xdr:row>39</xdr:row>
      <xdr:rowOff>169545</xdr:rowOff>
    </xdr:to>
    <xdr:graphicFrame macro="">
      <xdr:nvGraphicFramePr>
        <xdr:cNvPr id="3" name="Chart 2">
          <a:extLst>
            <a:ext uri="{FF2B5EF4-FFF2-40B4-BE49-F238E27FC236}">
              <a16:creationId xmlns:a16="http://schemas.microsoft.com/office/drawing/2014/main" id="{00AF60E0-9E31-4A6E-9768-8EC37CFBB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9720</xdr:rowOff>
    </xdr:from>
    <xdr:to>
      <xdr:col>17</xdr:col>
      <xdr:colOff>0</xdr:colOff>
      <xdr:row>19</xdr:row>
      <xdr:rowOff>0</xdr:rowOff>
    </xdr:to>
    <xdr:graphicFrame macro="">
      <xdr:nvGraphicFramePr>
        <xdr:cNvPr id="4" name="Chart 3">
          <a:extLst>
            <a:ext uri="{FF2B5EF4-FFF2-40B4-BE49-F238E27FC236}">
              <a16:creationId xmlns:a16="http://schemas.microsoft.com/office/drawing/2014/main" id="{D2E938E7-7B2C-4544-861B-1A35A9E55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1712</xdr:colOff>
      <xdr:row>11</xdr:row>
      <xdr:rowOff>8511</xdr:rowOff>
    </xdr:from>
    <xdr:to>
      <xdr:col>25</xdr:col>
      <xdr:colOff>485969</xdr:colOff>
      <xdr:row>23</xdr:row>
      <xdr:rowOff>182762</xdr:rowOff>
    </xdr:to>
    <xdr:graphicFrame macro="">
      <xdr:nvGraphicFramePr>
        <xdr:cNvPr id="5" name="Chart 4">
          <a:extLst>
            <a:ext uri="{FF2B5EF4-FFF2-40B4-BE49-F238E27FC236}">
              <a16:creationId xmlns:a16="http://schemas.microsoft.com/office/drawing/2014/main" id="{6A38F8A6-FE36-4348-90E7-670DB7F77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9719</xdr:colOff>
      <xdr:row>30</xdr:row>
      <xdr:rowOff>132256</xdr:rowOff>
    </xdr:from>
    <xdr:to>
      <xdr:col>26</xdr:col>
      <xdr:colOff>7815</xdr:colOff>
      <xdr:row>43</xdr:row>
      <xdr:rowOff>182757</xdr:rowOff>
    </xdr:to>
    <xdr:graphicFrame macro="">
      <xdr:nvGraphicFramePr>
        <xdr:cNvPr id="6" name="Chart 5">
          <a:extLst>
            <a:ext uri="{FF2B5EF4-FFF2-40B4-BE49-F238E27FC236}">
              <a16:creationId xmlns:a16="http://schemas.microsoft.com/office/drawing/2014/main" id="{FBF822F0-F2C8-4E43-8D34-B3F6D703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661</xdr:colOff>
      <xdr:row>30</xdr:row>
      <xdr:rowOff>152400</xdr:rowOff>
    </xdr:from>
    <xdr:to>
      <xdr:col>35</xdr:col>
      <xdr:colOff>0</xdr:colOff>
      <xdr:row>43</xdr:row>
      <xdr:rowOff>163325</xdr:rowOff>
    </xdr:to>
    <xdr:graphicFrame macro="">
      <xdr:nvGraphicFramePr>
        <xdr:cNvPr id="7" name="Chart 6">
          <a:extLst>
            <a:ext uri="{FF2B5EF4-FFF2-40B4-BE49-F238E27FC236}">
              <a16:creationId xmlns:a16="http://schemas.microsoft.com/office/drawing/2014/main" id="{6BB7A818-D19A-4CE3-BF38-9AF23BA1D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112434</xdr:colOff>
      <xdr:row>22</xdr:row>
      <xdr:rowOff>163325</xdr:rowOff>
    </xdr:from>
    <xdr:to>
      <xdr:col>34</xdr:col>
      <xdr:colOff>401784</xdr:colOff>
      <xdr:row>29</xdr:row>
      <xdr:rowOff>66130</xdr:rowOff>
    </xdr:to>
    <xdr:pic>
      <xdr:nvPicPr>
        <xdr:cNvPr id="8" name="Picture 7">
          <a:extLst>
            <a:ext uri="{FF2B5EF4-FFF2-40B4-BE49-F238E27FC236}">
              <a16:creationId xmlns:a16="http://schemas.microsoft.com/office/drawing/2014/main" id="{6829BC84-78D8-A24E-BE6F-F0773E07693E}"/>
            </a:ext>
          </a:extLst>
        </xdr:cNvPr>
        <xdr:cNvPicPr>
          <a:picLocks noChangeAspect="1"/>
        </xdr:cNvPicPr>
      </xdr:nvPicPr>
      <xdr:blipFill>
        <a:blip xmlns:r="http://schemas.openxmlformats.org/officeDocument/2006/relationships" r:embed="rId7"/>
        <a:stretch>
          <a:fillRect/>
        </a:stretch>
      </xdr:blipFill>
      <xdr:spPr>
        <a:xfrm>
          <a:off x="13942734" y="4144775"/>
          <a:ext cx="3851700" cy="11715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 dT="2024-10-03T21:19:16.88" personId="{685DAF9C-7E69-437C-B66A-60F972D4A0E6}" id="{1C1AA330-74F7-4449-9C8F-A1F6A73F9944}" done="1">
    <text>δs = sqrt(2/(σωµ))</text>
  </threadedComment>
  <threadedComment ref="H4" dT="2024-09-28T06:20:07.69" personId="{685DAF9C-7E69-437C-B66A-60F972D4A0E6}" id="{F09C4025-012E-4E14-895E-D7404B9ED43E}" done="1">
    <text>- Note: Multiply by 2 if both sides are treated
- Typical Manufacturer Data:
(STD)         5 &lt; Rz &lt; 7μm
(RTF)          3 &lt; Rz &lt; 5μm
(VLP)         2 &lt; Rz &lt; 3μm
(HVLP)      1 &lt; Rz &lt; 2μm
(HVLP2) 0.2 &lt; Rz &lt; 1μm 
- Roughness RMS = Rz *1.1/7.6</text>
  </threadedComment>
  <threadedComment ref="S4" dT="2024-10-03T21:19:31.59" personId="{685DAF9C-7E69-437C-B66A-60F972D4A0E6}" id="{505A69F4-E787-4AE5-A9F7-FB497E1EDA08}" done="1">
    <text>R' = Rstrip + Rgnd = 1/(σ δs W) + 0.15/(σ δs W)1`</text>
  </threadedComment>
  <threadedComment ref="S5" dT="2024-10-03T21:20:00.73" personId="{685DAF9C-7E69-437C-B66A-60F972D4A0E6}" id="{4F1B9420-F87F-4967-ADAB-0C15A62B89BE}" done="1">
    <text>Zdiff=2*Zo*(1-.347*(EXP(-2.9*(S/H)))), where Zo=60/SQRT(Er)*LN(1.9*(2*H+T)/(0.8*W+T))</text>
  </threadedComment>
  <threadedComment ref="AB5" dT="2024-10-03T21:19:16.88" personId="{685DAF9C-7E69-437C-B66A-60F972D4A0E6}" id="{5C2DC850-A3C0-4419-AFB1-7BBBAAED8991}" done="1">
    <text>δs = sqrt(2/(σωµ))</text>
  </threadedComment>
  <threadedComment ref="AB6" dT="2024-10-03T21:19:31.59" personId="{685DAF9C-7E69-437C-B66A-60F972D4A0E6}" id="{520F116A-4FAE-49C3-828F-654E341D9F6E}" done="1">
    <text>R' = Rstrip + Rgnd = 1/(σ δs W) + 0.15/(σ δs W)</text>
  </threadedComment>
  <threadedComment ref="S7" dT="2024-10-03T21:14:12.65" personId="{685DAF9C-7E69-437C-B66A-60F972D4A0E6}" id="{63296962-8CC1-4A76-87BB-8B869629B31B}" done="1">
    <text>α_Dielectric = 91.02 x sqrt(ɛr) x FGHz x DF</text>
  </threadedComment>
  <threadedComment ref="AB7" dT="2024-10-03T21:20:00.73" personId="{685DAF9C-7E69-437C-B66A-60F972D4A0E6}" id="{63B7447B-794D-4B47-B4B9-5C9EE388E02F}" done="1">
    <text>Zdiff=2*Zo*(1-.347*(EXP(-2.9*(S/H)))), where Zo=60/SQRT(Er)*LN(1.9*(2*H+T)/(0.8*W+T))</text>
  </threadedComment>
  <threadedComment ref="S8" dT="2024-10-03T21:15:07.76" personId="{685DAF9C-7E69-437C-B66A-60F972D4A0E6}" id="{1FF6E3ED-EEA7-4ACC-BF11-3523323C3B5D}" done="1">
    <text>α_SmoothCopper = 8.686 x R' / 2 Zo , where R' is TL resistance per unit length</text>
  </threadedComment>
  <threadedComment ref="S9" dT="2024-10-03T21:15:26.41" personId="{685DAF9C-7E69-437C-B66A-60F972D4A0E6}" id="{674EAE6D-F474-4827-AEB1-315E147D4384}" done="1">
    <text>α_RoughCopper = α_SmoothCopper * ( 1 + (2/π)* tan-1{1.4*(Δ/δs)^2}]</text>
  </threadedComment>
  <threadedComment ref="S10" dT="2024-10-03T21:15:37.11" personId="{685DAF9C-7E69-437C-B66A-60F972D4A0E6}" id="{3E2A534C-36EB-4DAB-A43F-FEF0132AAE76}" done="1">
    <text>α_Total = α_Dielectric + α_RoughCopper</text>
  </threadedComment>
  <threadedComment ref="AB10" dT="2024-10-03T21:19:16.88" personId="{685DAF9C-7E69-437C-B66A-60F972D4A0E6}" id="{FD115C2F-07E4-4AD3-8F2A-641C0BB6616B}" done="1">
    <text>δs = sqrt(2/(σωµ))</text>
  </threadedComment>
  <threadedComment ref="AB11" dT="2024-10-03T21:19:31.59" personId="{685DAF9C-7E69-437C-B66A-60F972D4A0E6}" id="{E9B01815-738C-49F4-A38F-10A5561C7600}" done="1">
    <text>R' = Rstrip + Rgnd = 1/(σ δs W) + 0.15/(σ δs W)</text>
  </threadedComment>
  <threadedComment ref="AB12" dT="2024-10-03T21:20:00.73" personId="{685DAF9C-7E69-437C-B66A-60F972D4A0E6}" id="{0FECF95E-78B2-461E-B65E-7684B23FD77E}" done="1">
    <text>Zdiff=2*Zo*(1-.347*(EXP(-2.9*(S/H)))), where Zo=60/SQRT(Er)*LN(1.9*(2*H+T)/(0.8*W+T))</text>
  </threadedComment>
  <threadedComment ref="AB15" dT="2024-10-03T21:19:16.88" personId="{685DAF9C-7E69-437C-B66A-60F972D4A0E6}" id="{D2D5B552-21A2-426E-87B8-8626729CFC07}" done="1">
    <text>δs = sqrt(2/(σωµ))</text>
  </threadedComment>
  <threadedComment ref="AB16" dT="2024-10-03T21:19:31.59" personId="{685DAF9C-7E69-437C-B66A-60F972D4A0E6}" id="{75996CBB-29AF-4D3A-8BA0-FE1DD15F8B65}" done="1">
    <text>R' = Rstrip + Rgnd = 1/(σ δs W) + 0.15/(σ δs W)</text>
  </threadedComment>
  <threadedComment ref="AB17" dT="2024-10-03T21:20:00.73" personId="{685DAF9C-7E69-437C-B66A-60F972D4A0E6}" id="{F68EE5E9-EEC4-4615-AAA2-213D985BAB87}" done="1">
    <text>Zdiff=2*Zo*(1-.347*(EXP(-2.9*(S/H)))), where Zo=60/SQRT(Er)*LN(1.9*(2*H+T)/(0.8*W+T))</text>
  </threadedComment>
  <threadedComment ref="AB20" dT="2024-10-03T21:19:16.88" personId="{685DAF9C-7E69-437C-B66A-60F972D4A0E6}" id="{9182A5B0-97E5-45E0-9258-BFAA02DD33E7}" done="1">
    <text>δs = sqrt(2/(σωµ))</text>
  </threadedComment>
  <threadedComment ref="AB21" dT="2024-10-03T21:19:31.59" personId="{685DAF9C-7E69-437C-B66A-60F972D4A0E6}" id="{B684214D-E84A-4DB4-BF31-E8042D427350}" done="1">
    <text>R' = Rstrip + Rgnd = 1/(σ δs W) + 0.15/(σ δs W)</text>
  </threadedComment>
  <threadedComment ref="AB22" dT="2024-10-03T21:20:00.73" personId="{685DAF9C-7E69-437C-B66A-60F972D4A0E6}" id="{D0044E7C-CC5D-403D-B63D-AB5A3DF36301}" done="1">
    <text>Zdiff=2*Zo*(1-.347*(EXP(-2.9*(S/H)))), where Zo=60/SQRT(Er)*LN(1.9*(2*H+T)/(0.8*W+T))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dimension ref="A1:L33"/>
  <sheetViews>
    <sheetView zoomScaleNormal="100" workbookViewId="0">
      <selection activeCell="D55" sqref="D55"/>
    </sheetView>
  </sheetViews>
  <sheetFormatPr defaultRowHeight="14.4" x14ac:dyDescent="0.55000000000000004"/>
  <cols>
    <col min="1" max="1" width="15.578125" style="33" customWidth="1"/>
    <col min="2" max="2" width="10.41796875" style="33" customWidth="1"/>
    <col min="3" max="11" width="8.83984375" style="33"/>
    <col min="12" max="12" width="17.83984375" style="33" bestFit="1" customWidth="1"/>
    <col min="13" max="16384" width="8.83984375" style="33"/>
  </cols>
  <sheetData>
    <row r="1" spans="1:12" x14ac:dyDescent="0.55000000000000004">
      <c r="A1" s="30" t="s">
        <v>33</v>
      </c>
      <c r="B1" s="31"/>
      <c r="C1" s="31"/>
      <c r="D1" s="31"/>
      <c r="E1" s="31"/>
      <c r="F1" s="31"/>
      <c r="G1" s="31"/>
      <c r="H1" s="31"/>
      <c r="I1" s="31"/>
      <c r="J1" s="31"/>
      <c r="K1" s="31"/>
      <c r="L1" s="32"/>
    </row>
    <row r="2" spans="1:12" x14ac:dyDescent="0.55000000000000004">
      <c r="A2" s="34"/>
      <c r="B2" s="35"/>
      <c r="C2" s="35"/>
      <c r="D2" s="35"/>
      <c r="E2" s="35"/>
      <c r="F2" s="35"/>
      <c r="G2" s="35"/>
      <c r="H2" s="35"/>
      <c r="I2" s="35"/>
      <c r="J2" s="35"/>
      <c r="K2" s="35"/>
      <c r="L2" s="36"/>
    </row>
    <row r="3" spans="1:12" x14ac:dyDescent="0.55000000000000004">
      <c r="A3" s="34"/>
      <c r="B3" s="35"/>
      <c r="C3" s="35"/>
      <c r="D3" s="35"/>
      <c r="E3" s="35"/>
      <c r="F3" s="35"/>
      <c r="G3" s="35"/>
      <c r="H3" s="35"/>
      <c r="I3" s="35"/>
      <c r="J3" s="35"/>
      <c r="K3" s="35"/>
      <c r="L3" s="36"/>
    </row>
    <row r="4" spans="1:12" x14ac:dyDescent="0.55000000000000004">
      <c r="A4" s="37"/>
      <c r="B4" s="38"/>
      <c r="C4" s="38"/>
      <c r="D4" s="38"/>
      <c r="E4" s="38"/>
      <c r="F4" s="38"/>
      <c r="G4" s="38"/>
      <c r="H4" s="38"/>
      <c r="I4" s="38"/>
      <c r="J4" s="38"/>
      <c r="K4" s="38"/>
      <c r="L4" s="39"/>
    </row>
    <row r="5" spans="1:12" ht="17.7" x14ac:dyDescent="0.6">
      <c r="A5" s="40" t="s">
        <v>50</v>
      </c>
      <c r="B5" s="40"/>
      <c r="C5" s="40"/>
      <c r="D5" s="40"/>
      <c r="E5" s="40"/>
      <c r="F5" s="40"/>
      <c r="G5" s="40"/>
      <c r="H5" s="40"/>
      <c r="I5" s="40"/>
      <c r="J5" s="40"/>
      <c r="K5" s="40"/>
      <c r="L5" s="41"/>
    </row>
    <row r="6" spans="1:12" ht="17.7" x14ac:dyDescent="0.6">
      <c r="A6" s="40" t="s">
        <v>34</v>
      </c>
      <c r="B6" s="40"/>
      <c r="C6" s="42" t="str">
        <f>A30</f>
        <v>1.0.0</v>
      </c>
      <c r="D6" s="43"/>
      <c r="E6" s="43"/>
      <c r="F6" s="43"/>
      <c r="G6" s="43"/>
      <c r="H6" s="43"/>
      <c r="I6" s="43"/>
      <c r="J6" s="43"/>
      <c r="K6" s="44"/>
      <c r="L6" s="45"/>
    </row>
    <row r="7" spans="1:12" ht="17.7" x14ac:dyDescent="0.6">
      <c r="A7" s="40" t="s">
        <v>35</v>
      </c>
      <c r="B7" s="40"/>
      <c r="C7" s="42" t="s">
        <v>36</v>
      </c>
      <c r="D7" s="43"/>
      <c r="E7" s="43"/>
      <c r="F7" s="43"/>
      <c r="G7" s="43"/>
      <c r="H7" s="43"/>
      <c r="I7" s="43"/>
      <c r="J7" s="46"/>
      <c r="K7" s="46"/>
      <c r="L7" s="45"/>
    </row>
    <row r="8" spans="1:12" x14ac:dyDescent="0.55000000000000004">
      <c r="A8" s="47"/>
      <c r="B8" s="48"/>
      <c r="C8" s="48"/>
      <c r="D8" s="48"/>
      <c r="E8" s="48"/>
      <c r="F8" s="48"/>
      <c r="G8" s="48"/>
      <c r="H8" s="48"/>
      <c r="I8" s="48"/>
      <c r="J8" s="48"/>
      <c r="K8" s="48"/>
      <c r="L8" s="49"/>
    </row>
    <row r="9" spans="1:12" ht="20.399999999999999" x14ac:dyDescent="0.75">
      <c r="A9" s="50" t="s">
        <v>37</v>
      </c>
      <c r="B9" s="51"/>
      <c r="C9" s="51"/>
      <c r="D9" s="51"/>
      <c r="E9" s="51"/>
      <c r="F9" s="51"/>
      <c r="G9" s="51"/>
      <c r="H9" s="51"/>
      <c r="I9" s="51"/>
      <c r="J9" s="51"/>
      <c r="K9" s="51"/>
      <c r="L9" s="52"/>
    </row>
    <row r="10" spans="1:12" x14ac:dyDescent="0.55000000000000004">
      <c r="A10" s="47" t="s">
        <v>38</v>
      </c>
      <c r="B10" s="48"/>
      <c r="C10" s="48"/>
      <c r="D10" s="48"/>
      <c r="E10" s="48"/>
      <c r="F10" s="48"/>
      <c r="G10" s="48"/>
      <c r="H10" s="48"/>
      <c r="I10" s="48"/>
      <c r="J10" s="48"/>
      <c r="K10" s="48"/>
      <c r="L10" s="49"/>
    </row>
    <row r="11" spans="1:12" x14ac:dyDescent="0.55000000000000004">
      <c r="A11" s="47"/>
      <c r="B11" s="48"/>
      <c r="C11" s="48"/>
      <c r="D11" s="48"/>
      <c r="E11" s="48"/>
      <c r="F11" s="48"/>
      <c r="G11" s="48"/>
      <c r="H11" s="48"/>
      <c r="I11" s="48"/>
      <c r="J11" s="48"/>
      <c r="K11" s="48"/>
      <c r="L11" s="49"/>
    </row>
    <row r="12" spans="1:12" x14ac:dyDescent="0.55000000000000004">
      <c r="A12" s="53" t="s">
        <v>39</v>
      </c>
      <c r="B12" s="54"/>
      <c r="C12" s="54"/>
      <c r="D12" s="54"/>
      <c r="E12" s="54"/>
      <c r="F12" s="54"/>
      <c r="G12" s="54"/>
      <c r="H12" s="54"/>
      <c r="I12" s="54"/>
      <c r="J12" s="54"/>
      <c r="K12" s="54"/>
      <c r="L12" s="55"/>
    </row>
    <row r="13" spans="1:12" x14ac:dyDescent="0.55000000000000004">
      <c r="A13" s="53"/>
      <c r="B13" s="54"/>
      <c r="C13" s="54"/>
      <c r="D13" s="54"/>
      <c r="E13" s="54"/>
      <c r="F13" s="54"/>
      <c r="G13" s="54"/>
      <c r="H13" s="54"/>
      <c r="I13" s="54"/>
      <c r="J13" s="54"/>
      <c r="K13" s="54"/>
      <c r="L13" s="55"/>
    </row>
    <row r="14" spans="1:12" x14ac:dyDescent="0.55000000000000004">
      <c r="A14" s="53"/>
      <c r="B14" s="54"/>
      <c r="C14" s="54"/>
      <c r="D14" s="54"/>
      <c r="E14" s="54"/>
      <c r="F14" s="54"/>
      <c r="G14" s="54"/>
      <c r="H14" s="54"/>
      <c r="I14" s="54"/>
      <c r="J14" s="54"/>
      <c r="K14" s="54"/>
      <c r="L14" s="55"/>
    </row>
    <row r="15" spans="1:12" x14ac:dyDescent="0.55000000000000004">
      <c r="A15" s="53"/>
      <c r="B15" s="54"/>
      <c r="C15" s="54"/>
      <c r="D15" s="54"/>
      <c r="E15" s="54"/>
      <c r="F15" s="54"/>
      <c r="G15" s="54"/>
      <c r="H15" s="54"/>
      <c r="I15" s="54"/>
      <c r="J15" s="54"/>
      <c r="K15" s="54"/>
      <c r="L15" s="55"/>
    </row>
    <row r="16" spans="1:12" x14ac:dyDescent="0.55000000000000004">
      <c r="A16" s="53"/>
      <c r="B16" s="54"/>
      <c r="C16" s="54"/>
      <c r="D16" s="54"/>
      <c r="E16" s="54"/>
      <c r="F16" s="54"/>
      <c r="G16" s="54"/>
      <c r="H16" s="54"/>
      <c r="I16" s="54"/>
      <c r="J16" s="54"/>
      <c r="K16" s="54"/>
      <c r="L16" s="55"/>
    </row>
    <row r="17" spans="1:12" x14ac:dyDescent="0.55000000000000004">
      <c r="A17" s="53"/>
      <c r="B17" s="54"/>
      <c r="C17" s="54"/>
      <c r="D17" s="54"/>
      <c r="E17" s="54"/>
      <c r="F17" s="54"/>
      <c r="G17" s="54"/>
      <c r="H17" s="54"/>
      <c r="I17" s="54"/>
      <c r="J17" s="54"/>
      <c r="K17" s="54"/>
      <c r="L17" s="55"/>
    </row>
    <row r="18" spans="1:12" ht="20.399999999999999" x14ac:dyDescent="0.75">
      <c r="A18" s="50" t="s">
        <v>40</v>
      </c>
      <c r="B18" s="51"/>
      <c r="C18" s="51"/>
      <c r="D18" s="51"/>
      <c r="E18" s="51"/>
      <c r="F18" s="51"/>
      <c r="G18" s="51"/>
      <c r="H18" s="51"/>
      <c r="I18" s="51"/>
      <c r="J18" s="51"/>
      <c r="K18" s="51"/>
      <c r="L18" s="52"/>
    </row>
    <row r="19" spans="1:12" x14ac:dyDescent="0.55000000000000004">
      <c r="A19" s="56" t="s">
        <v>41</v>
      </c>
      <c r="B19" s="57"/>
      <c r="C19" s="57"/>
      <c r="D19" s="57"/>
      <c r="E19" s="57"/>
      <c r="F19" s="57"/>
      <c r="G19" s="57"/>
      <c r="H19" s="57"/>
      <c r="I19" s="57"/>
      <c r="J19" s="57"/>
      <c r="K19" s="57"/>
      <c r="L19" s="58"/>
    </row>
    <row r="20" spans="1:12" x14ac:dyDescent="0.55000000000000004">
      <c r="A20" s="56" t="s">
        <v>42</v>
      </c>
      <c r="B20" s="74"/>
      <c r="C20" s="74"/>
      <c r="D20" s="74"/>
      <c r="E20" s="74"/>
      <c r="F20" s="74"/>
      <c r="G20" s="74"/>
      <c r="H20" s="74"/>
      <c r="I20" s="74"/>
      <c r="J20" s="74"/>
      <c r="K20" s="74"/>
      <c r="L20" s="58"/>
    </row>
    <row r="21" spans="1:12" x14ac:dyDescent="0.55000000000000004">
      <c r="A21" s="47"/>
      <c r="B21" s="48"/>
      <c r="C21" s="48"/>
      <c r="D21" s="48"/>
      <c r="E21" s="48"/>
      <c r="F21" s="48"/>
      <c r="G21" s="48"/>
      <c r="H21" s="48"/>
      <c r="I21" s="48"/>
      <c r="J21" s="48"/>
      <c r="K21" s="48"/>
      <c r="L21" s="49"/>
    </row>
    <row r="22" spans="1:12" ht="20.399999999999999" x14ac:dyDescent="0.75">
      <c r="A22" s="50" t="s">
        <v>43</v>
      </c>
      <c r="B22" s="51"/>
      <c r="C22" s="51"/>
      <c r="D22" s="51"/>
      <c r="E22" s="51"/>
      <c r="F22" s="51"/>
      <c r="G22" s="51"/>
      <c r="H22" s="51"/>
      <c r="I22" s="51"/>
      <c r="J22" s="51"/>
      <c r="K22" s="51"/>
      <c r="L22" s="52"/>
    </row>
    <row r="23" spans="1:12" ht="14.4" customHeight="1" x14ac:dyDescent="0.55000000000000004">
      <c r="A23" s="53" t="s">
        <v>44</v>
      </c>
      <c r="B23" s="54"/>
      <c r="C23" s="54"/>
      <c r="D23" s="54"/>
      <c r="E23" s="54"/>
      <c r="F23" s="54"/>
      <c r="G23" s="54"/>
      <c r="H23" s="54"/>
      <c r="I23" s="54"/>
      <c r="J23" s="54"/>
      <c r="K23" s="54"/>
      <c r="L23" s="55"/>
    </row>
    <row r="24" spans="1:12" x14ac:dyDescent="0.55000000000000004">
      <c r="A24" s="53"/>
      <c r="B24" s="54"/>
      <c r="C24" s="54"/>
      <c r="D24" s="54"/>
      <c r="E24" s="54"/>
      <c r="F24" s="54"/>
      <c r="G24" s="54"/>
      <c r="H24" s="54"/>
      <c r="I24" s="54"/>
      <c r="J24" s="54"/>
      <c r="K24" s="54"/>
      <c r="L24" s="55"/>
    </row>
    <row r="25" spans="1:12" x14ac:dyDescent="0.55000000000000004">
      <c r="A25" s="53"/>
      <c r="B25" s="54"/>
      <c r="C25" s="54"/>
      <c r="D25" s="54"/>
      <c r="E25" s="54"/>
      <c r="F25" s="54"/>
      <c r="G25" s="54"/>
      <c r="H25" s="54"/>
      <c r="I25" s="54"/>
      <c r="J25" s="54"/>
      <c r="K25" s="54"/>
      <c r="L25" s="55"/>
    </row>
    <row r="26" spans="1:12" x14ac:dyDescent="0.55000000000000004">
      <c r="A26" s="53"/>
      <c r="B26" s="54"/>
      <c r="C26" s="54"/>
      <c r="D26" s="54"/>
      <c r="E26" s="54"/>
      <c r="F26" s="54"/>
      <c r="G26" s="54"/>
      <c r="H26" s="54"/>
      <c r="I26" s="54"/>
      <c r="J26" s="54"/>
      <c r="K26" s="54"/>
      <c r="L26" s="55"/>
    </row>
    <row r="27" spans="1:12" x14ac:dyDescent="0.55000000000000004">
      <c r="A27" s="59"/>
      <c r="B27" s="60"/>
      <c r="C27" s="61"/>
      <c r="D27" s="61"/>
      <c r="E27" s="61"/>
      <c r="F27" s="61"/>
      <c r="G27" s="61"/>
      <c r="H27" s="61"/>
      <c r="I27" s="61"/>
      <c r="J27" s="61"/>
      <c r="K27" s="61"/>
      <c r="L27" s="62"/>
    </row>
    <row r="28" spans="1:12" x14ac:dyDescent="0.55000000000000004">
      <c r="A28" s="63" t="s">
        <v>45</v>
      </c>
      <c r="B28" s="64"/>
      <c r="C28" s="61"/>
      <c r="D28" s="61"/>
      <c r="E28" s="61"/>
      <c r="F28" s="61"/>
      <c r="G28" s="61"/>
      <c r="H28" s="61"/>
      <c r="I28" s="61"/>
      <c r="J28" s="61"/>
      <c r="K28" s="61"/>
      <c r="L28" s="65"/>
    </row>
    <row r="29" spans="1:12" x14ac:dyDescent="0.55000000000000004">
      <c r="A29" s="66" t="s">
        <v>46</v>
      </c>
      <c r="B29" s="67" t="s">
        <v>47</v>
      </c>
      <c r="C29" s="67"/>
      <c r="D29" s="67"/>
      <c r="E29" s="67"/>
      <c r="F29" s="67"/>
      <c r="G29" s="67"/>
      <c r="H29" s="67"/>
      <c r="I29" s="67"/>
      <c r="J29" s="67"/>
      <c r="K29" s="67"/>
      <c r="L29" s="68"/>
    </row>
    <row r="30" spans="1:12" ht="14.4" customHeight="1" x14ac:dyDescent="0.55000000000000004">
      <c r="A30" s="63" t="s">
        <v>48</v>
      </c>
      <c r="B30" s="60" t="s">
        <v>49</v>
      </c>
      <c r="C30" s="60"/>
      <c r="D30" s="60"/>
      <c r="E30" s="60"/>
      <c r="F30" s="60"/>
      <c r="G30" s="60"/>
      <c r="H30" s="60"/>
      <c r="I30" s="60"/>
      <c r="J30" s="60"/>
      <c r="K30" s="60"/>
      <c r="L30" s="65"/>
    </row>
    <row r="31" spans="1:12" x14ac:dyDescent="0.55000000000000004">
      <c r="A31" s="63"/>
      <c r="B31" s="69"/>
      <c r="C31" s="69"/>
      <c r="D31" s="69"/>
      <c r="E31" s="69"/>
      <c r="F31" s="69"/>
      <c r="G31" s="69"/>
      <c r="H31" s="69"/>
      <c r="I31" s="69"/>
      <c r="J31" s="69"/>
      <c r="K31" s="69"/>
      <c r="L31" s="65"/>
    </row>
    <row r="32" spans="1:12" x14ac:dyDescent="0.55000000000000004">
      <c r="A32" s="63"/>
      <c r="B32" s="60"/>
      <c r="C32" s="61"/>
      <c r="D32" s="61"/>
      <c r="E32" s="61"/>
      <c r="F32" s="61"/>
      <c r="G32" s="61"/>
      <c r="H32" s="61"/>
      <c r="I32" s="61"/>
      <c r="J32" s="61"/>
      <c r="K32" s="61"/>
      <c r="L32" s="65"/>
    </row>
    <row r="33" spans="1:12" ht="14.7" thickBot="1" x14ac:dyDescent="0.6">
      <c r="A33" s="70"/>
      <c r="B33" s="71"/>
      <c r="C33" s="72"/>
      <c r="D33" s="72"/>
      <c r="E33" s="72"/>
      <c r="F33" s="72"/>
      <c r="G33" s="72"/>
      <c r="H33" s="72"/>
      <c r="I33" s="72"/>
      <c r="J33" s="72"/>
      <c r="K33" s="72"/>
      <c r="L33" s="73"/>
    </row>
  </sheetData>
  <mergeCells count="14">
    <mergeCell ref="B29:K29"/>
    <mergeCell ref="B31:K31"/>
    <mergeCell ref="A12:L17"/>
    <mergeCell ref="A18:L18"/>
    <mergeCell ref="A19:L19"/>
    <mergeCell ref="A20:L20"/>
    <mergeCell ref="A22:L22"/>
    <mergeCell ref="A23:L26"/>
    <mergeCell ref="A1:L3"/>
    <mergeCell ref="A4:L4"/>
    <mergeCell ref="A5:L5"/>
    <mergeCell ref="A6:B6"/>
    <mergeCell ref="A7:B7"/>
    <mergeCell ref="A9:L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dimension ref="A1:S33"/>
  <sheetViews>
    <sheetView tabSelected="1" zoomScaleNormal="100" workbookViewId="0">
      <selection activeCell="J21" sqref="J21"/>
    </sheetView>
  </sheetViews>
  <sheetFormatPr defaultRowHeight="14.4" x14ac:dyDescent="0.55000000000000004"/>
  <cols>
    <col min="1" max="19" width="9.62890625" style="33" customWidth="1"/>
    <col min="20" max="16384" width="8.83984375" style="33"/>
  </cols>
  <sheetData>
    <row r="1" spans="1:19" x14ac:dyDescent="0.55000000000000004">
      <c r="A1" s="30" t="s">
        <v>33</v>
      </c>
      <c r="B1" s="31"/>
      <c r="C1" s="31"/>
      <c r="D1" s="31"/>
      <c r="E1" s="31"/>
      <c r="F1" s="31"/>
      <c r="G1" s="31"/>
      <c r="H1" s="31"/>
      <c r="I1" s="31"/>
      <c r="J1" s="31"/>
      <c r="K1" s="31"/>
      <c r="L1" s="31"/>
      <c r="M1" s="31"/>
      <c r="N1" s="31"/>
      <c r="O1" s="31"/>
      <c r="P1" s="31"/>
      <c r="Q1" s="31"/>
      <c r="R1" s="31"/>
      <c r="S1" s="32"/>
    </row>
    <row r="2" spans="1:19" x14ac:dyDescent="0.55000000000000004">
      <c r="A2" s="34"/>
      <c r="B2" s="35"/>
      <c r="C2" s="35"/>
      <c r="D2" s="35"/>
      <c r="E2" s="35"/>
      <c r="F2" s="35"/>
      <c r="G2" s="35"/>
      <c r="H2" s="35"/>
      <c r="I2" s="35"/>
      <c r="J2" s="35"/>
      <c r="K2" s="35"/>
      <c r="L2" s="35"/>
      <c r="M2" s="35"/>
      <c r="N2" s="35"/>
      <c r="O2" s="35"/>
      <c r="P2" s="35"/>
      <c r="Q2" s="35"/>
      <c r="R2" s="35"/>
      <c r="S2" s="36"/>
    </row>
    <row r="3" spans="1:19" x14ac:dyDescent="0.55000000000000004">
      <c r="A3" s="34"/>
      <c r="B3" s="35"/>
      <c r="C3" s="35"/>
      <c r="D3" s="35"/>
      <c r="E3" s="35"/>
      <c r="F3" s="35"/>
      <c r="G3" s="35"/>
      <c r="H3" s="35"/>
      <c r="I3" s="35"/>
      <c r="J3" s="35"/>
      <c r="K3" s="35"/>
      <c r="L3" s="35"/>
      <c r="M3" s="35"/>
      <c r="N3" s="35"/>
      <c r="O3" s="35"/>
      <c r="P3" s="35"/>
      <c r="Q3" s="35"/>
      <c r="R3" s="35"/>
      <c r="S3" s="36"/>
    </row>
    <row r="4" spans="1:19" x14ac:dyDescent="0.55000000000000004">
      <c r="A4" s="37"/>
      <c r="B4" s="38"/>
      <c r="C4" s="38"/>
      <c r="D4" s="38"/>
      <c r="E4" s="38"/>
      <c r="F4" s="38"/>
      <c r="G4" s="38"/>
      <c r="H4" s="38"/>
      <c r="I4" s="38"/>
      <c r="J4" s="38"/>
      <c r="K4" s="38"/>
      <c r="L4" s="38"/>
      <c r="M4" s="38"/>
      <c r="N4" s="38"/>
      <c r="O4" s="38"/>
      <c r="P4" s="38"/>
      <c r="Q4" s="38"/>
      <c r="R4" s="38"/>
      <c r="S4" s="39"/>
    </row>
    <row r="5" spans="1:19" ht="17.7" x14ac:dyDescent="0.6">
      <c r="A5" s="76" t="s">
        <v>53</v>
      </c>
      <c r="B5" s="40"/>
      <c r="C5" s="40"/>
      <c r="D5" s="40"/>
      <c r="E5" s="40"/>
      <c r="F5" s="40"/>
      <c r="G5" s="40"/>
      <c r="H5" s="40"/>
      <c r="I5" s="40"/>
      <c r="J5" s="40"/>
      <c r="K5" s="40"/>
      <c r="L5" s="40"/>
      <c r="M5" s="40"/>
      <c r="N5" s="40"/>
      <c r="O5" s="40"/>
      <c r="P5" s="40"/>
      <c r="Q5" s="40"/>
      <c r="R5" s="40"/>
      <c r="S5" s="41"/>
    </row>
    <row r="6" spans="1:19" ht="17.7" x14ac:dyDescent="0.6">
      <c r="A6" s="76"/>
      <c r="B6" s="40"/>
      <c r="C6" s="42"/>
      <c r="D6" s="43"/>
      <c r="E6" s="43"/>
      <c r="F6" s="43"/>
      <c r="G6" s="43"/>
      <c r="H6" s="43"/>
      <c r="I6" s="43"/>
      <c r="J6" s="43"/>
      <c r="K6" s="44"/>
      <c r="L6" s="44"/>
      <c r="M6" s="44"/>
      <c r="N6" s="44"/>
      <c r="O6" s="44"/>
      <c r="P6" s="44"/>
      <c r="Q6" s="44"/>
      <c r="R6" s="44"/>
      <c r="S6" s="45"/>
    </row>
    <row r="7" spans="1:19" x14ac:dyDescent="0.55000000000000004">
      <c r="A7" s="77" t="s">
        <v>54</v>
      </c>
      <c r="B7" s="78" t="s">
        <v>55</v>
      </c>
      <c r="C7" s="78"/>
      <c r="D7" s="78"/>
      <c r="E7" s="78"/>
      <c r="F7" s="78"/>
      <c r="G7" s="78"/>
      <c r="H7" s="79"/>
      <c r="I7" s="80"/>
      <c r="J7" s="80"/>
      <c r="K7" s="80"/>
      <c r="L7" s="80"/>
      <c r="M7" s="80"/>
      <c r="N7" s="80"/>
      <c r="O7" s="80"/>
      <c r="P7" s="80"/>
      <c r="Q7" s="80"/>
      <c r="R7" s="80"/>
      <c r="S7" s="45"/>
    </row>
    <row r="8" spans="1:19" ht="17.7" x14ac:dyDescent="0.6">
      <c r="A8" s="81"/>
      <c r="B8" s="82"/>
      <c r="C8" s="42"/>
      <c r="D8" s="43"/>
      <c r="E8" s="43"/>
      <c r="F8" s="43"/>
      <c r="G8" s="83"/>
      <c r="H8" s="43"/>
      <c r="I8" s="43"/>
      <c r="J8" s="43"/>
      <c r="K8" s="44"/>
      <c r="L8" s="44"/>
      <c r="M8" s="44"/>
      <c r="N8" s="44"/>
      <c r="O8" s="44"/>
      <c r="P8" s="44"/>
      <c r="Q8" s="44"/>
      <c r="R8" s="44"/>
      <c r="S8" s="45"/>
    </row>
    <row r="9" spans="1:19" ht="14.4" customHeight="1" x14ac:dyDescent="0.55000000000000004">
      <c r="A9" s="84"/>
      <c r="B9" s="85"/>
      <c r="C9" s="85"/>
      <c r="D9" s="85"/>
      <c r="F9" s="85"/>
      <c r="G9" s="85"/>
      <c r="H9" s="85"/>
      <c r="I9" s="85"/>
      <c r="J9" s="85"/>
      <c r="K9" s="85"/>
      <c r="L9" s="85"/>
      <c r="M9" s="85"/>
      <c r="N9" s="85"/>
      <c r="O9" s="85"/>
      <c r="P9" s="85"/>
      <c r="Q9" s="85"/>
      <c r="R9" s="85"/>
      <c r="S9" s="86"/>
    </row>
    <row r="10" spans="1:19" x14ac:dyDescent="0.55000000000000004">
      <c r="A10" s="84"/>
      <c r="B10" s="85"/>
      <c r="C10" s="85"/>
      <c r="D10" s="85"/>
      <c r="F10" s="85"/>
      <c r="G10" s="85"/>
      <c r="H10" s="85"/>
      <c r="I10" s="85"/>
      <c r="J10" s="85"/>
      <c r="K10" s="85"/>
      <c r="L10" s="85"/>
      <c r="M10" s="85"/>
      <c r="N10" s="85"/>
      <c r="O10" s="85"/>
      <c r="P10" s="85"/>
      <c r="Q10" s="85"/>
      <c r="R10" s="85"/>
      <c r="S10" s="86"/>
    </row>
    <row r="11" spans="1:19" ht="20.399999999999999" customHeight="1" x14ac:dyDescent="0.55000000000000004">
      <c r="A11" s="84"/>
      <c r="B11" s="85"/>
      <c r="C11" s="85"/>
      <c r="D11" s="85"/>
      <c r="I11" s="87"/>
      <c r="J11" s="87"/>
      <c r="K11" s="87"/>
      <c r="L11" s="87"/>
      <c r="M11" s="85"/>
      <c r="N11" s="85"/>
      <c r="O11" s="85"/>
      <c r="P11" s="85"/>
      <c r="Q11" s="85"/>
      <c r="R11" s="85"/>
      <c r="S11" s="86"/>
    </row>
    <row r="12" spans="1:19" x14ac:dyDescent="0.55000000000000004">
      <c r="A12" s="88"/>
      <c r="B12" s="87"/>
      <c r="C12" s="87"/>
      <c r="D12" s="87"/>
      <c r="I12" s="87"/>
      <c r="J12" s="87"/>
      <c r="K12" s="87"/>
      <c r="L12" s="87"/>
      <c r="M12" s="85"/>
      <c r="N12" s="85"/>
      <c r="O12" s="85"/>
      <c r="P12" s="85"/>
      <c r="Q12" s="85"/>
      <c r="R12" s="85"/>
      <c r="S12" s="86"/>
    </row>
    <row r="13" spans="1:19" x14ac:dyDescent="0.55000000000000004">
      <c r="A13" s="47"/>
      <c r="B13" s="48"/>
      <c r="C13" s="48"/>
      <c r="D13" s="48"/>
      <c r="E13" s="48"/>
      <c r="F13" s="48"/>
      <c r="G13" s="48"/>
      <c r="H13" s="48"/>
      <c r="I13" s="48"/>
      <c r="J13" s="48"/>
      <c r="K13" s="48"/>
      <c r="L13" s="48"/>
      <c r="M13" s="48"/>
      <c r="N13" s="48"/>
      <c r="O13" s="48"/>
      <c r="P13" s="48"/>
      <c r="Q13" s="48"/>
      <c r="R13" s="48"/>
      <c r="S13" s="49"/>
    </row>
    <row r="14" spans="1:19" x14ac:dyDescent="0.55000000000000004">
      <c r="A14" s="89"/>
      <c r="B14" s="90"/>
      <c r="C14" s="90"/>
      <c r="D14" s="90"/>
      <c r="E14" s="90"/>
      <c r="F14" s="90"/>
      <c r="G14" s="90"/>
      <c r="H14" s="90"/>
      <c r="I14" s="90"/>
      <c r="J14" s="90"/>
      <c r="K14" s="90"/>
      <c r="L14" s="90"/>
      <c r="M14" s="90"/>
      <c r="N14" s="90"/>
      <c r="O14" s="90"/>
      <c r="P14" s="90"/>
      <c r="Q14" s="90"/>
      <c r="R14" s="90"/>
      <c r="S14" s="91"/>
    </row>
    <row r="15" spans="1:19" x14ac:dyDescent="0.55000000000000004">
      <c r="A15" s="89"/>
      <c r="B15" s="90"/>
      <c r="C15" s="90"/>
      <c r="D15" s="90"/>
      <c r="E15" s="90"/>
      <c r="F15" s="90"/>
      <c r="G15" s="90"/>
      <c r="H15" s="90"/>
      <c r="I15" s="90"/>
      <c r="J15" s="90"/>
      <c r="K15" s="90"/>
      <c r="L15" s="90"/>
      <c r="M15" s="90"/>
      <c r="N15" s="90"/>
      <c r="O15" s="90"/>
      <c r="P15" s="90"/>
      <c r="Q15" s="90"/>
      <c r="R15" s="90"/>
      <c r="S15" s="91"/>
    </row>
    <row r="16" spans="1:19" x14ac:dyDescent="0.55000000000000004">
      <c r="A16" s="89"/>
      <c r="B16" s="90"/>
      <c r="C16" s="90"/>
      <c r="D16" s="90"/>
      <c r="E16" s="90"/>
      <c r="F16" s="90"/>
      <c r="G16" s="90"/>
      <c r="H16" s="90"/>
      <c r="I16" s="90"/>
      <c r="J16" s="90"/>
      <c r="K16" s="90"/>
      <c r="L16" s="90"/>
      <c r="M16" s="90"/>
      <c r="N16" s="90"/>
      <c r="O16" s="90"/>
      <c r="P16" s="90"/>
      <c r="Q16" s="90"/>
      <c r="R16" s="90"/>
      <c r="S16" s="91"/>
    </row>
    <row r="17" spans="1:19" x14ac:dyDescent="0.55000000000000004">
      <c r="A17" s="89"/>
      <c r="B17" s="90"/>
      <c r="C17" s="90"/>
      <c r="D17" s="90"/>
      <c r="E17" s="90"/>
      <c r="F17" s="90"/>
      <c r="G17" s="90"/>
      <c r="H17" s="90"/>
      <c r="I17" s="90"/>
      <c r="J17" s="90"/>
      <c r="K17" s="90"/>
      <c r="L17" s="90"/>
      <c r="M17" s="90"/>
      <c r="N17" s="90"/>
      <c r="O17" s="90"/>
      <c r="P17" s="90"/>
      <c r="Q17" s="90"/>
      <c r="R17" s="90"/>
      <c r="S17" s="91"/>
    </row>
    <row r="18" spans="1:19" x14ac:dyDescent="0.55000000000000004">
      <c r="A18" s="89"/>
      <c r="B18" s="90"/>
      <c r="C18" s="90"/>
      <c r="D18" s="90"/>
      <c r="E18" s="90"/>
      <c r="F18" s="90"/>
      <c r="G18" s="90"/>
      <c r="H18" s="90"/>
      <c r="I18" s="90"/>
      <c r="J18" s="90"/>
      <c r="K18" s="90"/>
      <c r="L18" s="90"/>
      <c r="M18" s="90"/>
      <c r="N18" s="90"/>
      <c r="O18" s="90"/>
      <c r="P18" s="90"/>
      <c r="Q18" s="90"/>
      <c r="R18" s="90"/>
      <c r="S18" s="91"/>
    </row>
    <row r="19" spans="1:19" x14ac:dyDescent="0.55000000000000004">
      <c r="A19" s="89"/>
      <c r="B19" s="90"/>
      <c r="C19" s="90"/>
      <c r="D19" s="90"/>
      <c r="E19" s="90"/>
      <c r="F19" s="90"/>
      <c r="G19" s="90"/>
      <c r="H19" s="90"/>
      <c r="I19" s="90"/>
      <c r="J19" s="90"/>
      <c r="K19" s="90"/>
      <c r="L19" s="90"/>
      <c r="M19" s="90"/>
      <c r="N19" s="90"/>
      <c r="O19" s="90"/>
      <c r="P19" s="90"/>
      <c r="Q19" s="90"/>
      <c r="R19" s="90"/>
      <c r="S19" s="91"/>
    </row>
    <row r="20" spans="1:19" ht="20.399999999999999" x14ac:dyDescent="0.75">
      <c r="A20" s="92"/>
      <c r="B20" s="93"/>
      <c r="C20" s="93"/>
      <c r="D20" s="93"/>
      <c r="E20" s="93"/>
      <c r="F20" s="93"/>
      <c r="G20" s="93"/>
      <c r="H20" s="93"/>
      <c r="I20" s="93"/>
      <c r="J20" s="93"/>
      <c r="K20" s="93"/>
      <c r="L20" s="93"/>
      <c r="M20" s="93"/>
      <c r="N20" s="93"/>
      <c r="O20" s="93"/>
      <c r="P20" s="93"/>
      <c r="Q20" s="93"/>
      <c r="R20" s="93"/>
      <c r="S20" s="94"/>
    </row>
    <row r="21" spans="1:19" x14ac:dyDescent="0.55000000000000004">
      <c r="A21" s="47"/>
      <c r="B21" s="48"/>
      <c r="C21" s="48"/>
      <c r="D21" s="48"/>
      <c r="E21" s="48"/>
      <c r="F21" s="48"/>
      <c r="G21" s="48"/>
      <c r="H21" s="48"/>
      <c r="I21" s="48"/>
      <c r="J21" s="48"/>
      <c r="K21" s="48"/>
      <c r="L21" s="48"/>
      <c r="M21" s="48"/>
      <c r="N21" s="48"/>
      <c r="O21" s="48"/>
      <c r="P21" s="48"/>
      <c r="Q21" s="48"/>
      <c r="R21" s="48"/>
      <c r="S21" s="49"/>
    </row>
    <row r="22" spans="1:19" x14ac:dyDescent="0.55000000000000004">
      <c r="A22" s="47"/>
      <c r="B22" s="48"/>
      <c r="C22" s="48"/>
      <c r="D22" s="48"/>
      <c r="E22" s="48"/>
      <c r="F22" s="48"/>
      <c r="G22" s="48"/>
      <c r="H22" s="48"/>
      <c r="I22" s="48"/>
      <c r="J22" s="48"/>
      <c r="K22" s="48"/>
      <c r="L22" s="48"/>
      <c r="M22" s="48"/>
      <c r="N22" s="48"/>
      <c r="O22" s="48"/>
      <c r="P22" s="48"/>
      <c r="Q22" s="48"/>
      <c r="R22" s="48"/>
      <c r="S22" s="49"/>
    </row>
    <row r="23" spans="1:19" x14ac:dyDescent="0.55000000000000004">
      <c r="A23" s="47"/>
      <c r="B23" s="48"/>
      <c r="C23" s="48"/>
      <c r="D23" s="48"/>
      <c r="E23" s="48"/>
      <c r="F23" s="48"/>
      <c r="G23" s="48"/>
      <c r="H23" s="48"/>
      <c r="I23" s="48"/>
      <c r="J23" s="48"/>
      <c r="K23" s="48"/>
      <c r="L23" s="48"/>
      <c r="M23" s="48"/>
      <c r="N23" s="48"/>
      <c r="O23" s="48"/>
      <c r="P23" s="48"/>
      <c r="Q23" s="48"/>
      <c r="R23" s="48"/>
      <c r="S23" s="49"/>
    </row>
    <row r="24" spans="1:19" ht="20.399999999999999" x14ac:dyDescent="0.75">
      <c r="A24" s="92"/>
      <c r="B24" s="93"/>
      <c r="C24" s="93"/>
      <c r="D24" s="93"/>
      <c r="E24" s="93"/>
      <c r="F24" s="93"/>
      <c r="G24" s="93"/>
      <c r="H24" s="93"/>
      <c r="I24" s="93"/>
      <c r="J24" s="93"/>
      <c r="K24" s="93"/>
      <c r="L24" s="93"/>
      <c r="M24" s="93"/>
      <c r="N24" s="93"/>
      <c r="O24" s="93"/>
      <c r="P24" s="93"/>
      <c r="Q24" s="93"/>
      <c r="R24" s="93"/>
      <c r="S24" s="94"/>
    </row>
    <row r="25" spans="1:19" x14ac:dyDescent="0.55000000000000004">
      <c r="A25" s="89"/>
      <c r="B25" s="90"/>
      <c r="C25" s="90"/>
      <c r="D25" s="90"/>
      <c r="E25" s="90"/>
      <c r="F25" s="90"/>
      <c r="G25" s="90"/>
      <c r="H25" s="90"/>
      <c r="I25" s="90"/>
      <c r="J25" s="90"/>
      <c r="K25" s="90"/>
      <c r="L25" s="90"/>
      <c r="M25" s="90"/>
      <c r="N25" s="90"/>
      <c r="O25" s="90"/>
      <c r="P25" s="90"/>
      <c r="Q25" s="90"/>
      <c r="R25" s="90"/>
      <c r="S25" s="91"/>
    </row>
    <row r="26" spans="1:19" x14ac:dyDescent="0.55000000000000004">
      <c r="E26" s="90"/>
      <c r="F26" s="90"/>
      <c r="G26" s="90"/>
      <c r="H26" s="90"/>
      <c r="I26" s="90"/>
      <c r="J26" s="90"/>
      <c r="K26" s="90"/>
      <c r="L26" s="90"/>
      <c r="M26" s="90"/>
      <c r="N26" s="90"/>
      <c r="O26" s="90"/>
      <c r="P26" s="90"/>
      <c r="Q26" s="90"/>
      <c r="R26" s="90"/>
      <c r="S26" s="91"/>
    </row>
    <row r="27" spans="1:19" x14ac:dyDescent="0.55000000000000004">
      <c r="E27" s="90"/>
      <c r="F27" s="90"/>
      <c r="G27" s="90"/>
      <c r="H27" s="90"/>
      <c r="I27" s="90"/>
      <c r="J27" s="90"/>
      <c r="K27" s="90"/>
      <c r="L27" s="90"/>
      <c r="M27" s="90"/>
      <c r="N27" s="90"/>
      <c r="O27" s="90"/>
      <c r="P27" s="90"/>
      <c r="Q27" s="90"/>
      <c r="R27" s="90"/>
      <c r="S27" s="91"/>
    </row>
    <row r="28" spans="1:19" x14ac:dyDescent="0.55000000000000004">
      <c r="A28" s="84"/>
      <c r="B28" s="85"/>
      <c r="C28" s="85"/>
      <c r="D28" s="85"/>
      <c r="E28" s="90"/>
      <c r="F28" s="90"/>
      <c r="G28" s="90"/>
      <c r="H28" s="90"/>
      <c r="I28" s="90"/>
      <c r="J28" s="90"/>
      <c r="K28" s="90"/>
      <c r="L28" s="90"/>
      <c r="M28" s="90"/>
      <c r="N28" s="90"/>
      <c r="O28" s="90"/>
      <c r="P28" s="90"/>
      <c r="Q28" s="90"/>
      <c r="R28" s="90"/>
      <c r="S28" s="91"/>
    </row>
    <row r="29" spans="1:19" x14ac:dyDescent="0.55000000000000004">
      <c r="A29" s="84"/>
      <c r="B29" s="85"/>
      <c r="C29" s="85"/>
      <c r="D29" s="85"/>
      <c r="E29" s="61"/>
      <c r="F29" s="61"/>
      <c r="G29" s="61"/>
      <c r="H29" s="61"/>
      <c r="I29" s="61"/>
      <c r="J29" s="61"/>
      <c r="K29" s="61"/>
      <c r="L29" s="61"/>
      <c r="M29" s="61"/>
      <c r="N29" s="61"/>
      <c r="O29" s="61"/>
      <c r="P29" s="61"/>
      <c r="Q29" s="61"/>
      <c r="R29" s="61"/>
      <c r="S29" s="62"/>
    </row>
    <row r="30" spans="1:19" x14ac:dyDescent="0.55000000000000004">
      <c r="A30" s="88"/>
      <c r="B30" s="87"/>
      <c r="C30" s="87"/>
      <c r="D30" s="87"/>
      <c r="E30" s="61"/>
      <c r="F30" s="61"/>
      <c r="G30" s="61"/>
      <c r="H30" s="61"/>
      <c r="I30" s="61"/>
      <c r="J30" s="61"/>
      <c r="K30" s="61"/>
      <c r="L30" s="61"/>
      <c r="M30" s="61"/>
      <c r="N30" s="61"/>
      <c r="O30" s="61"/>
      <c r="P30" s="61"/>
      <c r="Q30" s="61"/>
      <c r="R30" s="61"/>
      <c r="S30" s="62"/>
    </row>
    <row r="31" spans="1:19" x14ac:dyDescent="0.55000000000000004">
      <c r="A31" s="88"/>
      <c r="B31" s="87"/>
      <c r="C31" s="87"/>
      <c r="D31" s="87"/>
      <c r="E31" s="61"/>
      <c r="F31" s="61"/>
      <c r="G31" s="61"/>
      <c r="H31" s="61"/>
      <c r="I31" s="61"/>
      <c r="J31" s="61"/>
      <c r="K31" s="61"/>
      <c r="L31" s="61"/>
      <c r="M31" s="61"/>
      <c r="N31" s="61"/>
      <c r="O31" s="61"/>
      <c r="P31" s="61"/>
      <c r="Q31" s="61"/>
      <c r="R31" s="61"/>
      <c r="S31" s="62"/>
    </row>
    <row r="32" spans="1:19" x14ac:dyDescent="0.55000000000000004">
      <c r="A32" s="88"/>
      <c r="B32" s="87"/>
      <c r="C32" s="87"/>
      <c r="D32" s="87"/>
      <c r="E32" s="61"/>
      <c r="F32" s="61"/>
      <c r="G32" s="61"/>
      <c r="H32" s="61"/>
      <c r="I32" s="61"/>
      <c r="J32" s="61"/>
      <c r="K32" s="61"/>
      <c r="L32" s="61"/>
      <c r="M32" s="61"/>
      <c r="N32" s="61"/>
      <c r="O32" s="61"/>
      <c r="P32" s="61"/>
      <c r="Q32" s="61"/>
      <c r="R32" s="61"/>
      <c r="S32" s="62"/>
    </row>
    <row r="33" spans="1:19" ht="14.7" thickBot="1" x14ac:dyDescent="0.6">
      <c r="A33" s="70"/>
      <c r="B33" s="71"/>
      <c r="C33" s="72"/>
      <c r="D33" s="72"/>
      <c r="E33" s="72"/>
      <c r="F33" s="72"/>
      <c r="G33" s="72"/>
      <c r="H33" s="72"/>
      <c r="I33" s="72"/>
      <c r="J33" s="72"/>
      <c r="K33" s="72"/>
      <c r="L33" s="72"/>
      <c r="M33" s="72"/>
      <c r="N33" s="72"/>
      <c r="O33" s="72"/>
      <c r="P33" s="72"/>
      <c r="Q33" s="72"/>
      <c r="R33" s="72"/>
      <c r="S33" s="73"/>
    </row>
  </sheetData>
  <mergeCells count="9">
    <mergeCell ref="A28:D29"/>
    <mergeCell ref="A1:S3"/>
    <mergeCell ref="A4:S4"/>
    <mergeCell ref="A5:S5"/>
    <mergeCell ref="A6:B6"/>
    <mergeCell ref="B7:G7"/>
    <mergeCell ref="A9:D11"/>
    <mergeCell ref="F9:L10"/>
    <mergeCell ref="M9:S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C87B0-7F67-42DD-86B3-CB52AA68408B}">
  <sheetPr>
    <tabColor theme="0" tint="-4.9989318521683403E-2"/>
  </sheetPr>
  <dimension ref="A1:AJ55"/>
  <sheetViews>
    <sheetView zoomScaleNormal="100" workbookViewId="0">
      <selection activeCell="C9" sqref="C9:D10"/>
    </sheetView>
  </sheetViews>
  <sheetFormatPr defaultRowHeight="14.4" x14ac:dyDescent="0.55000000000000004"/>
  <cols>
    <col min="1" max="1" width="12.3671875" style="9" bestFit="1" customWidth="1"/>
    <col min="2" max="2" width="7.83984375" style="9" customWidth="1"/>
    <col min="3" max="4" width="7.05078125" style="9" bestFit="1" customWidth="1"/>
    <col min="5" max="7" width="7.05078125" style="9" customWidth="1"/>
    <col min="8" max="8" width="7.89453125" style="9" customWidth="1"/>
    <col min="9" max="9" width="1.9453125" style="9" customWidth="1"/>
    <col min="10" max="10" width="12.3671875" style="9" bestFit="1" customWidth="1"/>
    <col min="11" max="11" width="6.5234375" style="9" bestFit="1" customWidth="1"/>
    <col min="12" max="12" width="7.05078125" style="9" bestFit="1" customWidth="1"/>
    <col min="13" max="13" width="7.26171875" style="9" bestFit="1" customWidth="1"/>
    <col min="14" max="15" width="7.05078125" style="9" bestFit="1" customWidth="1"/>
    <col min="16" max="16" width="7" style="9" customWidth="1"/>
    <col min="17" max="17" width="7.15625" style="9" customWidth="1"/>
    <col min="18" max="18" width="2.47265625" style="9" customWidth="1"/>
    <col min="19" max="19" width="18.20703125" style="9" bestFit="1" customWidth="1"/>
    <col min="20" max="20" width="3.47265625" style="9" customWidth="1"/>
    <col min="21" max="26" width="6.7890625" style="9" customWidth="1"/>
    <col min="27" max="27" width="2.41796875" style="9" customWidth="1"/>
    <col min="28" max="28" width="7.05078125" style="9" bestFit="1" customWidth="1"/>
    <col min="29" max="29" width="4.20703125" style="9" customWidth="1"/>
    <col min="30" max="35" width="7.1015625" style="9" customWidth="1"/>
    <col min="36" max="36" width="4.62890625" style="9" customWidth="1"/>
    <col min="37" max="16384" width="8.83984375" style="9"/>
  </cols>
  <sheetData>
    <row r="1" spans="1:35" x14ac:dyDescent="0.55000000000000004">
      <c r="A1" s="25" t="s">
        <v>51</v>
      </c>
      <c r="B1" s="25"/>
      <c r="C1" s="1">
        <v>120</v>
      </c>
      <c r="D1" s="23"/>
      <c r="E1" s="24" t="s">
        <v>29</v>
      </c>
      <c r="F1" s="24"/>
      <c r="G1" s="24"/>
      <c r="H1" s="2">
        <v>59600000</v>
      </c>
      <c r="J1" s="16" t="s">
        <v>27</v>
      </c>
      <c r="K1" s="16"/>
      <c r="L1" s="16"/>
      <c r="M1" s="8">
        <v>-7.9000000000000001E-4</v>
      </c>
      <c r="O1" s="3"/>
      <c r="P1" s="9" t="s">
        <v>0</v>
      </c>
      <c r="S1" s="75" t="str">
        <f>_xlfn.CONCAT("Stripline Parameters (dB/m)")</f>
        <v>Stripline Parameters (dB/m)</v>
      </c>
      <c r="T1" s="75"/>
      <c r="U1" s="75"/>
      <c r="V1" s="75"/>
      <c r="W1" s="75"/>
      <c r="X1" s="75"/>
      <c r="Y1" s="75"/>
      <c r="Z1" s="75"/>
      <c r="AB1" s="75" t="str">
        <f>_xlfn.CONCAT("Stripline Parameters and Loss Decomposition vs Temperature")</f>
        <v>Stripline Parameters and Loss Decomposition vs Temperature</v>
      </c>
      <c r="AC1" s="75"/>
      <c r="AD1" s="75"/>
      <c r="AE1" s="75"/>
      <c r="AF1" s="75"/>
      <c r="AG1" s="75"/>
      <c r="AH1" s="75"/>
      <c r="AI1" s="75"/>
    </row>
    <row r="2" spans="1:35" x14ac:dyDescent="0.55000000000000004">
      <c r="A2" s="25" t="s">
        <v>52</v>
      </c>
      <c r="B2" s="25"/>
      <c r="C2" s="1">
        <v>17</v>
      </c>
      <c r="D2" s="16" t="s">
        <v>30</v>
      </c>
      <c r="E2" s="16"/>
      <c r="F2" s="16"/>
      <c r="G2" s="16"/>
      <c r="H2" s="2">
        <v>3.9300000000000003E-3</v>
      </c>
      <c r="J2" s="16" t="s">
        <v>28</v>
      </c>
      <c r="K2" s="16"/>
      <c r="L2" s="16"/>
      <c r="M2" s="7">
        <v>5.0000000000000001E-3</v>
      </c>
      <c r="O2" s="26"/>
      <c r="P2" s="9" t="s">
        <v>1</v>
      </c>
      <c r="S2" s="16" t="s">
        <v>2</v>
      </c>
      <c r="T2" s="16"/>
      <c r="U2" s="19">
        <f t="shared" ref="U2:Z2" si="0">L22</f>
        <v>1000000000</v>
      </c>
      <c r="V2" s="19">
        <f t="shared" si="0"/>
        <v>3000000000</v>
      </c>
      <c r="W2" s="19">
        <f t="shared" si="0"/>
        <v>5000000000</v>
      </c>
      <c r="X2" s="19">
        <f t="shared" si="0"/>
        <v>10000000000</v>
      </c>
      <c r="Y2" s="19">
        <f t="shared" si="0"/>
        <v>15000000000</v>
      </c>
      <c r="Z2" s="19">
        <f t="shared" si="0"/>
        <v>20000000000</v>
      </c>
      <c r="AB2" s="16" t="s">
        <v>2</v>
      </c>
      <c r="AC2" s="16"/>
      <c r="AD2" s="19">
        <f t="shared" ref="AD2:AI2" si="1">L22</f>
        <v>1000000000</v>
      </c>
      <c r="AE2" s="19">
        <f t="shared" si="1"/>
        <v>3000000000</v>
      </c>
      <c r="AF2" s="19">
        <f t="shared" si="1"/>
        <v>5000000000</v>
      </c>
      <c r="AG2" s="19">
        <f t="shared" si="1"/>
        <v>10000000000</v>
      </c>
      <c r="AH2" s="19">
        <f t="shared" si="1"/>
        <v>15000000000</v>
      </c>
      <c r="AI2" s="19">
        <f t="shared" si="1"/>
        <v>20000000000</v>
      </c>
    </row>
    <row r="3" spans="1:35" x14ac:dyDescent="0.55000000000000004">
      <c r="A3" s="16" t="s">
        <v>3</v>
      </c>
      <c r="B3" s="16"/>
      <c r="C3" s="1">
        <v>100</v>
      </c>
      <c r="D3" s="23"/>
      <c r="E3" s="25" t="s">
        <v>31</v>
      </c>
      <c r="F3" s="25"/>
      <c r="G3" s="25"/>
      <c r="H3" s="1">
        <v>25</v>
      </c>
      <c r="S3" s="9" t="s">
        <v>4</v>
      </c>
      <c r="T3" s="18">
        <f>H3</f>
        <v>25</v>
      </c>
      <c r="U3" s="10">
        <f t="shared" ref="U3:Z3" si="2">IF(U$2=0,$C$2,SQRT(1/(($H$1/(1+$H$2*($T$3-$H$3)))*PI()*U$2*0.999991*0.0000004*PI()))*1000000)</f>
        <v>2.0615741316329186</v>
      </c>
      <c r="V3" s="10">
        <f t="shared" si="2"/>
        <v>1.1902503798526345</v>
      </c>
      <c r="W3" s="10">
        <f t="shared" si="2"/>
        <v>0.92196397979726119</v>
      </c>
      <c r="X3" s="10">
        <f t="shared" si="2"/>
        <v>0.65192698212438038</v>
      </c>
      <c r="Y3" s="10">
        <f t="shared" si="2"/>
        <v>0.53229615191908741</v>
      </c>
      <c r="Z3" s="10">
        <f t="shared" si="2"/>
        <v>0.4609819898986306</v>
      </c>
      <c r="AB3" s="9" t="s">
        <v>5</v>
      </c>
      <c r="AC3" s="18">
        <f>T27</f>
        <v>-40</v>
      </c>
      <c r="AD3" s="10">
        <f t="shared" ref="AD3:AH3" si="3">($M$1*($AC$3-$H$3)+1)*AVERAGE(C$44,L$44)</f>
        <v>3.9501691687271325</v>
      </c>
      <c r="AE3" s="10">
        <f t="shared" si="3"/>
        <v>3.9389115825834913</v>
      </c>
      <c r="AF3" s="10">
        <f t="shared" si="3"/>
        <v>3.9051175157705016</v>
      </c>
      <c r="AG3" s="10">
        <f t="shared" si="3"/>
        <v>3.8861917009491749</v>
      </c>
      <c r="AH3" s="10">
        <f t="shared" si="3"/>
        <v>3.8525642066330068</v>
      </c>
      <c r="AI3" s="10">
        <f>($M$1*($AC$3-$H$3)+1)*AVERAGE(H$44,Q$44)</f>
        <v>3.818905962297479</v>
      </c>
    </row>
    <row r="4" spans="1:35" x14ac:dyDescent="0.55000000000000004">
      <c r="A4" s="24" t="s">
        <v>6</v>
      </c>
      <c r="B4" s="24"/>
      <c r="C4" s="1">
        <v>120</v>
      </c>
      <c r="D4" s="23"/>
      <c r="E4" s="24" t="s">
        <v>32</v>
      </c>
      <c r="F4" s="24"/>
      <c r="G4" s="24"/>
      <c r="H4" s="1">
        <f>2*3*1.1/7.6</f>
        <v>0.86842105263157909</v>
      </c>
      <c r="S4" s="9" t="s">
        <v>26</v>
      </c>
      <c r="T4" s="18"/>
      <c r="U4" s="10">
        <f t="shared" ref="U4:Z4" si="4">0.76*(1/(($H$1/(1+$H$2*($T$3-$H$3)))*U3*$C$3*0.000000000001))</f>
        <v>61.854083521356216</v>
      </c>
      <c r="V4" s="10">
        <f t="shared" si="4"/>
        <v>107.13441531459782</v>
      </c>
      <c r="W4" s="10">
        <f t="shared" si="4"/>
        <v>138.30993543970203</v>
      </c>
      <c r="X4" s="10">
        <f t="shared" si="4"/>
        <v>195.59978650977382</v>
      </c>
      <c r="Y4" s="10">
        <f t="shared" si="4"/>
        <v>239.55983537313517</v>
      </c>
      <c r="Z4" s="10">
        <f t="shared" si="4"/>
        <v>276.61987087940406</v>
      </c>
      <c r="AB4" s="9" t="s">
        <v>7</v>
      </c>
      <c r="AC4" s="18"/>
      <c r="AD4" s="20">
        <f t="shared" ref="AD4:AH4" si="5">($M$2*($AC$3-$H$3)+1)*C$16</f>
        <v>3.6450000000000002E-3</v>
      </c>
      <c r="AE4" s="20">
        <f t="shared" si="5"/>
        <v>3.7800000000000004E-3</v>
      </c>
      <c r="AF4" s="20">
        <f t="shared" si="5"/>
        <v>4.1175000000000005E-3</v>
      </c>
      <c r="AG4" s="20">
        <f t="shared" si="5"/>
        <v>4.6575000000000002E-3</v>
      </c>
      <c r="AH4" s="20">
        <f t="shared" si="5"/>
        <v>5.0625000000000002E-3</v>
      </c>
      <c r="AI4" s="20">
        <f>($M$2*($AC$3-$H$3)+1)*H$16</f>
        <v>5.4675000000000001E-3</v>
      </c>
    </row>
    <row r="5" spans="1:35" ht="14.4" customHeight="1" x14ac:dyDescent="0.55000000000000004">
      <c r="S5" s="9" t="s">
        <v>25</v>
      </c>
      <c r="T5" s="18"/>
      <c r="U5" s="28">
        <f t="shared" ref="U5:Z5" si="6">2*(60/SQRT(AVERAGE(C$44,L$44))*LN(1.9*(2*$C$1+$C$2)/(0.8*$C$3+$C$2)))*(1-0.347*(EXP(-2.9*($C$4/(2*$C$1+$C$2)))))</f>
        <v>91.092889235532454</v>
      </c>
      <c r="V5" s="28">
        <f t="shared" si="6"/>
        <v>91.222970141142369</v>
      </c>
      <c r="W5" s="28">
        <f t="shared" si="6"/>
        <v>91.616832089329961</v>
      </c>
      <c r="X5" s="28">
        <f t="shared" si="6"/>
        <v>91.839648846509192</v>
      </c>
      <c r="Y5" s="28">
        <f t="shared" si="6"/>
        <v>92.239593810581511</v>
      </c>
      <c r="Z5" s="28">
        <f t="shared" si="6"/>
        <v>92.645182752079492</v>
      </c>
      <c r="AB5" s="9" t="s">
        <v>8</v>
      </c>
      <c r="AC5" s="18"/>
      <c r="AD5" s="10">
        <f>IF(U$2=0,$C$2,SQRT(1/(($H$1/(1+$H$2*($T$27-$H$3)))*PI()*U$2*0.999991*0.0000004*PI()))*1000000)</f>
        <v>1.7788768777257542</v>
      </c>
      <c r="AE5" s="10">
        <f t="shared" ref="AE5:AI5" si="7">IF(V$2=0,$C$2,SQRT(1/(($H$1/(1+$H$2*($T$27-$H$3)))*PI()*V$2*0.999991*0.0000004*PI()))*1000000)</f>
        <v>1.0270350442101652</v>
      </c>
      <c r="AF5" s="10">
        <f t="shared" si="7"/>
        <v>0.79553792443947369</v>
      </c>
      <c r="AG5" s="10">
        <f t="shared" si="7"/>
        <v>0.56253026106222304</v>
      </c>
      <c r="AH5" s="10">
        <f t="shared" si="7"/>
        <v>0.45930403482568627</v>
      </c>
      <c r="AI5" s="10">
        <f t="shared" si="7"/>
        <v>0.39776896221973684</v>
      </c>
    </row>
    <row r="6" spans="1:35" x14ac:dyDescent="0.55000000000000004">
      <c r="A6" s="22" t="s">
        <v>9</v>
      </c>
      <c r="B6" s="22"/>
      <c r="C6" s="22"/>
      <c r="D6" s="22"/>
      <c r="E6" s="22"/>
      <c r="F6" s="22"/>
      <c r="G6" s="22"/>
      <c r="H6" s="22"/>
      <c r="S6" s="75" t="str">
        <f>_xlfn.CONCAT("Stripline Loss Decomposition at Temp = ",H3,"°C (dB/m)")</f>
        <v>Stripline Loss Decomposition at Temp = 25°C (dB/m)</v>
      </c>
      <c r="T6" s="75"/>
      <c r="U6" s="75"/>
      <c r="V6" s="75"/>
      <c r="W6" s="75"/>
      <c r="X6" s="75"/>
      <c r="Y6" s="75"/>
      <c r="Z6" s="75"/>
      <c r="AB6" s="9" t="s">
        <v>20</v>
      </c>
      <c r="AC6" s="18"/>
      <c r="AD6" s="10">
        <f>0.76*(1/(($H$1/(1+$H$2*($T$27-$H$3)))*AD5*$C$3*0.000000000001))</f>
        <v>53.372225272299893</v>
      </c>
      <c r="AE6" s="10">
        <f t="shared" ref="AE6:AI6" si="8">0.76*(1/(($H$1/(1+$H$2*($T$27-$H$3)))*AE5*$C$3*0.000000000001))</f>
        <v>92.443405884635084</v>
      </c>
      <c r="AF6" s="10">
        <f t="shared" si="8"/>
        <v>119.34392381929477</v>
      </c>
      <c r="AG6" s="10">
        <f t="shared" si="8"/>
        <v>168.77779565206816</v>
      </c>
      <c r="AH6" s="10">
        <f t="shared" si="8"/>
        <v>206.70973962964811</v>
      </c>
      <c r="AI6" s="10">
        <f t="shared" si="8"/>
        <v>238.68784763858955</v>
      </c>
    </row>
    <row r="7" spans="1:35" x14ac:dyDescent="0.55000000000000004">
      <c r="A7" s="22"/>
      <c r="B7" s="22"/>
      <c r="C7" s="22"/>
      <c r="D7" s="22"/>
      <c r="E7" s="22"/>
      <c r="F7" s="22"/>
      <c r="G7" s="22"/>
      <c r="H7" s="22"/>
      <c r="I7" s="14"/>
      <c r="S7" s="9" t="s">
        <v>23</v>
      </c>
      <c r="T7" s="18">
        <f>H3</f>
        <v>25</v>
      </c>
      <c r="U7" s="28">
        <f t="shared" ref="U7:Z7" si="9">20*LOG(EXP(1))*(2*PI()/(2*0.299795637693216))*SQRT(AVERAGE(C44,L44))*U2*0.000000001*C16</f>
        <v>0.9527233696368117</v>
      </c>
      <c r="V7" s="28">
        <f t="shared" si="9"/>
        <v>2.9598016558868414</v>
      </c>
      <c r="W7" s="28">
        <f t="shared" si="9"/>
        <v>5.3503489060531626</v>
      </c>
      <c r="X7" s="28">
        <f t="shared" si="9"/>
        <v>12.074701733258747</v>
      </c>
      <c r="Y7" s="28">
        <f t="shared" si="9"/>
        <v>19.601652066539451</v>
      </c>
      <c r="Z7" s="28">
        <f t="shared" si="9"/>
        <v>28.102807443751743</v>
      </c>
      <c r="AB7" s="9" t="s">
        <v>10</v>
      </c>
      <c r="AC7" s="18"/>
      <c r="AD7" s="10">
        <f>2*(60/SQRT(AD$3)*LN(1.9*(2*$C$1+$C$2)/(0.8*$C$3+$C$2)))*(1-0.347*(EXP(-2.9*($C$4/(2*$C$1+$C$2)))))</f>
        <v>88.84046386882504</v>
      </c>
      <c r="AE7" s="10">
        <f t="shared" ref="AE7:AI7" si="10">2*(60/SQRT(AE$3)*LN(1.9*(2*$C$1+$C$2)/(0.8*$C$3+$C$2)))*(1-0.347*(EXP(-2.9*($C$4/(2*$C$1+$C$2)))))</f>
        <v>88.967328304587753</v>
      </c>
      <c r="AF7" s="10">
        <f t="shared" si="10"/>
        <v>89.35145135163252</v>
      </c>
      <c r="AG7" s="10">
        <f t="shared" si="10"/>
        <v>89.568758588582369</v>
      </c>
      <c r="AH7" s="10">
        <f t="shared" si="10"/>
        <v>89.958814238681626</v>
      </c>
      <c r="AI7" s="10">
        <f t="shared" si="10"/>
        <v>90.354374309342859</v>
      </c>
    </row>
    <row r="8" spans="1:35" x14ac:dyDescent="0.55000000000000004">
      <c r="A8" s="75" t="s">
        <v>11</v>
      </c>
      <c r="B8" s="75"/>
      <c r="C8" s="75"/>
      <c r="D8" s="75"/>
      <c r="E8" s="75"/>
      <c r="F8" s="75"/>
      <c r="G8" s="75"/>
      <c r="H8" s="75"/>
      <c r="S8" s="9" t="s">
        <v>24</v>
      </c>
      <c r="T8" s="18"/>
      <c r="U8" s="28">
        <f t="shared" ref="U8:Z8" si="11">20*LOG(EXP(1))*U4/(U5)</f>
        <v>5.897910886776331</v>
      </c>
      <c r="V8" s="28">
        <f t="shared" si="11"/>
        <v>10.20091437958488</v>
      </c>
      <c r="W8" s="28">
        <f t="shared" si="11"/>
        <v>13.11270874227341</v>
      </c>
      <c r="X8" s="28">
        <f t="shared" si="11"/>
        <v>18.49917960479609</v>
      </c>
      <c r="Y8" s="28">
        <f t="shared" si="11"/>
        <v>22.558537020849037</v>
      </c>
      <c r="Z8" s="28">
        <f t="shared" si="11"/>
        <v>25.934318426290481</v>
      </c>
      <c r="AB8" s="9" t="s">
        <v>5</v>
      </c>
      <c r="AC8" s="18">
        <f>T28</f>
        <v>0</v>
      </c>
      <c r="AD8" s="10">
        <f t="shared" ref="AD8:AH8" si="12">($M$1*($AC$8-$H$3)+1)*AVERAGE(C$44,L$44)</f>
        <v>3.8314405381742458</v>
      </c>
      <c r="AE8" s="10">
        <f t="shared" si="12"/>
        <v>3.8205213167256531</v>
      </c>
      <c r="AF8" s="10">
        <f t="shared" si="12"/>
        <v>3.7877429844551944</v>
      </c>
      <c r="AG8" s="10">
        <f t="shared" si="12"/>
        <v>3.7693860151642373</v>
      </c>
      <c r="AH8" s="10">
        <f t="shared" si="12"/>
        <v>3.7367692487887085</v>
      </c>
      <c r="AI8" s="10">
        <f>($M$1*($AC$8-$H$3)+1)*AVERAGE(H$44,Q$44)</f>
        <v>3.7041226566346639</v>
      </c>
    </row>
    <row r="9" spans="1:35" x14ac:dyDescent="0.55000000000000004">
      <c r="A9" s="21" t="s">
        <v>12</v>
      </c>
      <c r="B9" s="21" t="s">
        <v>13</v>
      </c>
      <c r="C9" s="5">
        <v>1000000000</v>
      </c>
      <c r="D9" s="5">
        <v>3000000000</v>
      </c>
      <c r="E9" s="5">
        <v>5000000000</v>
      </c>
      <c r="F9" s="5">
        <v>10000000000</v>
      </c>
      <c r="G9" s="5">
        <v>15000000000</v>
      </c>
      <c r="H9" s="5">
        <v>20000000000</v>
      </c>
      <c r="S9" s="9" t="s">
        <v>21</v>
      </c>
      <c r="T9" s="18"/>
      <c r="U9" s="28">
        <f t="shared" ref="U9:Z9" si="13">U8*(1+(2/PI())*ATAN(1.4*($H$4/U$3)^2))</f>
        <v>6.812161841406124</v>
      </c>
      <c r="V9" s="28">
        <f t="shared" si="13"/>
        <v>14.360162460184938</v>
      </c>
      <c r="W9" s="28">
        <f t="shared" si="13"/>
        <v>20.567013296697528</v>
      </c>
      <c r="X9" s="28">
        <f t="shared" si="13"/>
        <v>32.491390875909708</v>
      </c>
      <c r="Y9" s="28">
        <f t="shared" si="13"/>
        <v>41.351812724518581</v>
      </c>
      <c r="Z9" s="28">
        <f t="shared" si="13"/>
        <v>48.589419192070849</v>
      </c>
      <c r="AB9" s="9" t="s">
        <v>7</v>
      </c>
      <c r="AC9" s="18"/>
      <c r="AD9" s="20">
        <f t="shared" ref="AD9:AH9" si="14">($M$2*($AC$8-$H$3)+1)*C$16</f>
        <v>4.725E-3</v>
      </c>
      <c r="AE9" s="20">
        <f t="shared" si="14"/>
        <v>4.8999999999999998E-3</v>
      </c>
      <c r="AF9" s="20">
        <f t="shared" si="14"/>
        <v>5.3375000000000002E-3</v>
      </c>
      <c r="AG9" s="20">
        <f t="shared" si="14"/>
        <v>6.0374999999999995E-3</v>
      </c>
      <c r="AH9" s="20">
        <f t="shared" si="14"/>
        <v>6.5624999999999998E-3</v>
      </c>
      <c r="AI9" s="20">
        <f>($M$2*($AC$8-$H$3)+1)*H$16</f>
        <v>7.0875E-3</v>
      </c>
    </row>
    <row r="10" spans="1:35" x14ac:dyDescent="0.55000000000000004">
      <c r="A10" s="3">
        <v>122</v>
      </c>
      <c r="B10" s="6">
        <v>0.53</v>
      </c>
      <c r="C10" s="3">
        <v>4.05</v>
      </c>
      <c r="D10" s="3">
        <v>4.04</v>
      </c>
      <c r="E10" s="3">
        <v>4.01</v>
      </c>
      <c r="F10" s="3">
        <v>3.96</v>
      </c>
      <c r="G10" s="3">
        <v>3.93</v>
      </c>
      <c r="H10" s="3">
        <v>3.9</v>
      </c>
      <c r="S10" s="9" t="s">
        <v>22</v>
      </c>
      <c r="T10" s="18"/>
      <c r="U10" s="28">
        <f t="shared" ref="U10:Z10" si="15">U9+U7</f>
        <v>7.7648852110429356</v>
      </c>
      <c r="V10" s="28">
        <f t="shared" si="15"/>
        <v>17.31996411607178</v>
      </c>
      <c r="W10" s="28">
        <f t="shared" si="15"/>
        <v>25.917362202750692</v>
      </c>
      <c r="X10" s="28">
        <f t="shared" si="15"/>
        <v>44.566092609168457</v>
      </c>
      <c r="Y10" s="28">
        <f t="shared" si="15"/>
        <v>60.953464791058032</v>
      </c>
      <c r="Z10" s="28">
        <f t="shared" si="15"/>
        <v>76.692226635822593</v>
      </c>
      <c r="AB10" s="9" t="s">
        <v>8</v>
      </c>
      <c r="AC10" s="18"/>
      <c r="AD10" s="10">
        <f>IF(U$2=0,$C$2,SQRT(1/(($H$1/(1+$H$2*($T$28-$H$3)))*PI()*U$2*0.999991*0.0000004*PI()))*1000000)</f>
        <v>1.957681476650786</v>
      </c>
      <c r="AE10" s="10">
        <f t="shared" ref="AE10:AI10" si="16">IF(V$2=0,$C$2,SQRT(1/(($H$1/(1+$H$2*($T$28-$H$3)))*PI()*V$2*0.999991*0.0000004*PI()))*1000000)</f>
        <v>1.1302679275318752</v>
      </c>
      <c r="AF10" s="10">
        <f t="shared" si="16"/>
        <v>0.8755017720166649</v>
      </c>
      <c r="AG10" s="10">
        <f t="shared" si="16"/>
        <v>0.61907323993382257</v>
      </c>
      <c r="AH10" s="10">
        <f t="shared" si="16"/>
        <v>0.50547118374981581</v>
      </c>
      <c r="AI10" s="10">
        <f t="shared" si="16"/>
        <v>0.43775088600833245</v>
      </c>
    </row>
    <row r="11" spans="1:35" x14ac:dyDescent="0.55000000000000004">
      <c r="A11" s="3">
        <v>127</v>
      </c>
      <c r="B11" s="6">
        <v>0.55000000000000004</v>
      </c>
      <c r="C11" s="3">
        <v>3.98</v>
      </c>
      <c r="D11" s="3">
        <v>3.97</v>
      </c>
      <c r="E11" s="3">
        <v>3.94</v>
      </c>
      <c r="F11" s="3">
        <v>3.9</v>
      </c>
      <c r="G11" s="3">
        <v>3.87</v>
      </c>
      <c r="H11" s="3">
        <v>3.84</v>
      </c>
      <c r="AB11" s="9" t="s">
        <v>20</v>
      </c>
      <c r="AC11" s="18"/>
      <c r="AD11" s="10">
        <f>0.76*(1/(($H$1/(1+$H$2*($T$28-$H$3)))*AD10*$C$3*0.000000000001))</f>
        <v>58.736958184985077</v>
      </c>
      <c r="AE11" s="10">
        <f t="shared" ref="AE11:AI11" si="17">0.76*(1/(($H$1/(1+$H$2*($T$28-$H$3)))*AE10*$C$3*0.000000000001))</f>
        <v>101.73539585844279</v>
      </c>
      <c r="AF11" s="10">
        <f t="shared" si="17"/>
        <v>131.33983129318929</v>
      </c>
      <c r="AG11" s="10">
        <f t="shared" si="17"/>
        <v>185.74257069462251</v>
      </c>
      <c r="AH11" s="10">
        <f t="shared" si="17"/>
        <v>227.48726085732864</v>
      </c>
      <c r="AI11" s="10">
        <f t="shared" si="17"/>
        <v>262.67966258637858</v>
      </c>
    </row>
    <row r="12" spans="1:35" x14ac:dyDescent="0.55000000000000004">
      <c r="A12" s="3">
        <v>140</v>
      </c>
      <c r="B12" s="6">
        <v>0.57999999999999996</v>
      </c>
      <c r="C12" s="3">
        <v>3.89</v>
      </c>
      <c r="D12" s="3">
        <v>3.88</v>
      </c>
      <c r="E12" s="3">
        <v>3.85</v>
      </c>
      <c r="F12" s="3">
        <v>3.81</v>
      </c>
      <c r="G12" s="3">
        <v>3.78</v>
      </c>
      <c r="H12" s="3">
        <v>3.75</v>
      </c>
      <c r="AB12" s="9" t="s">
        <v>10</v>
      </c>
      <c r="AC12" s="18"/>
      <c r="AD12" s="10">
        <f>2*(60/SQRT(AD$8)*LN(1.9*(2*$C$1+$C$2)/(0.8*$C$3+$C$2)))*(1-0.347*(EXP(-2.9*($C$4/(2*$C$1+$C$2)))))</f>
        <v>90.206455849390565</v>
      </c>
      <c r="AE12" s="10">
        <f t="shared" ref="AE12:AI12" si="18">2*(60/SQRT(AE$8)*LN(1.9*(2*$C$1+$C$2)/(0.8*$C$3+$C$2)))*(1-0.347*(EXP(-2.9*($C$4/(2*$C$1+$C$2)))))</f>
        <v>90.335270925597101</v>
      </c>
      <c r="AF12" s="10">
        <f t="shared" si="18"/>
        <v>90.725300166497306</v>
      </c>
      <c r="AG12" s="10">
        <f t="shared" si="18"/>
        <v>90.945948673067591</v>
      </c>
      <c r="AH12" s="10">
        <f t="shared" si="18"/>
        <v>91.342001735458567</v>
      </c>
      <c r="AI12" s="10">
        <f t="shared" si="18"/>
        <v>91.743643853205413</v>
      </c>
    </row>
    <row r="13" spans="1:35" x14ac:dyDescent="0.55000000000000004">
      <c r="AB13" s="9" t="s">
        <v>5</v>
      </c>
      <c r="AC13" s="18">
        <f>T29</f>
        <v>25</v>
      </c>
      <c r="AD13" s="10">
        <f t="shared" ref="AD13:AH13" si="19">($M$1*($AC$13-$H$3)+1)*AVERAGE(C$44,L$44)</f>
        <v>3.7572351440786917</v>
      </c>
      <c r="AE13" s="10">
        <f t="shared" si="19"/>
        <v>3.7465274005645042</v>
      </c>
      <c r="AF13" s="10">
        <f t="shared" si="19"/>
        <v>3.714383902383128</v>
      </c>
      <c r="AG13" s="10">
        <f t="shared" si="19"/>
        <v>3.6963824615486516</v>
      </c>
      <c r="AH13" s="10">
        <f t="shared" si="19"/>
        <v>3.6643974001360222</v>
      </c>
      <c r="AI13" s="10">
        <f>($M$1*($AC$13-$H$3)+1)*AVERAGE(H$44,Q$44)</f>
        <v>3.6323830905954049</v>
      </c>
    </row>
    <row r="14" spans="1:35" x14ac:dyDescent="0.55000000000000004">
      <c r="A14" s="75" t="s">
        <v>14</v>
      </c>
      <c r="B14" s="75"/>
      <c r="C14" s="75"/>
      <c r="D14" s="75"/>
      <c r="E14" s="75"/>
      <c r="F14" s="75"/>
      <c r="G14" s="75"/>
      <c r="H14" s="75"/>
      <c r="AB14" s="9" t="s">
        <v>7</v>
      </c>
      <c r="AC14" s="18"/>
      <c r="AD14" s="20">
        <f t="shared" ref="AD14:AH14" si="20">($M$2*($AC$13-$H$3)+1)*C$16</f>
        <v>5.4000000000000003E-3</v>
      </c>
      <c r="AE14" s="20">
        <f t="shared" si="20"/>
        <v>5.5999999999999999E-3</v>
      </c>
      <c r="AF14" s="20">
        <f t="shared" si="20"/>
        <v>6.1000000000000004E-3</v>
      </c>
      <c r="AG14" s="20">
        <f t="shared" si="20"/>
        <v>6.8999999999999999E-3</v>
      </c>
      <c r="AH14" s="20">
        <f t="shared" si="20"/>
        <v>7.4999999999999997E-3</v>
      </c>
      <c r="AI14" s="20">
        <f>($M$2*($AC$13-$H$3)+1)*H$16</f>
        <v>8.0999999999999996E-3</v>
      </c>
    </row>
    <row r="15" spans="1:35" x14ac:dyDescent="0.55000000000000004">
      <c r="A15" s="21" t="s">
        <v>12</v>
      </c>
      <c r="B15" s="21" t="s">
        <v>13</v>
      </c>
      <c r="C15" s="19">
        <f>C9</f>
        <v>1000000000</v>
      </c>
      <c r="D15" s="19">
        <f t="shared" ref="D15:H15" si="21">D9</f>
        <v>3000000000</v>
      </c>
      <c r="E15" s="19">
        <f t="shared" si="21"/>
        <v>5000000000</v>
      </c>
      <c r="F15" s="19">
        <f t="shared" si="21"/>
        <v>10000000000</v>
      </c>
      <c r="G15" s="19">
        <f t="shared" si="21"/>
        <v>15000000000</v>
      </c>
      <c r="H15" s="19">
        <f t="shared" si="21"/>
        <v>20000000000</v>
      </c>
      <c r="AB15" s="9" t="s">
        <v>8</v>
      </c>
      <c r="AC15" s="18"/>
      <c r="AD15" s="10">
        <f>IF(U$2=0,$C$2,SQRT(1/(($H$1/(1+$H$2*($T$29-$H$3)))*PI()*U$2*0.999991*0.0000004*PI()))*1000000)</f>
        <v>2.0615741316329186</v>
      </c>
      <c r="AE15" s="10">
        <f t="shared" ref="AE15:AI15" si="22">IF(V$2=0,$C$2,SQRT(1/(($H$1/(1+$H$2*($T$29-$H$3)))*PI()*V$2*0.999991*0.0000004*PI()))*1000000)</f>
        <v>1.1902503798526345</v>
      </c>
      <c r="AF15" s="10">
        <f t="shared" si="22"/>
        <v>0.92196397979726119</v>
      </c>
      <c r="AG15" s="10">
        <f t="shared" si="22"/>
        <v>0.65192698212438038</v>
      </c>
      <c r="AH15" s="10">
        <f t="shared" si="22"/>
        <v>0.53229615191908741</v>
      </c>
      <c r="AI15" s="10">
        <f t="shared" si="22"/>
        <v>0.4609819898986306</v>
      </c>
    </row>
    <row r="16" spans="1:35" x14ac:dyDescent="0.55000000000000004">
      <c r="A16" s="3">
        <v>122</v>
      </c>
      <c r="B16" s="6">
        <v>0.51</v>
      </c>
      <c r="C16" s="4">
        <v>5.4000000000000003E-3</v>
      </c>
      <c r="D16" s="4">
        <v>5.5999999999999999E-3</v>
      </c>
      <c r="E16" s="4">
        <v>6.1000000000000004E-3</v>
      </c>
      <c r="F16" s="4">
        <v>6.8999999999999999E-3</v>
      </c>
      <c r="G16" s="4">
        <v>7.4999999999999997E-3</v>
      </c>
      <c r="H16" s="4">
        <v>8.0999999999999996E-3</v>
      </c>
      <c r="AB16" s="9" t="s">
        <v>20</v>
      </c>
      <c r="AC16" s="18"/>
      <c r="AD16" s="10">
        <f>0.76*(1/(($H$1/(1+$H$2*($T$29-$H$3)))*AD15*$C$3*0.000000000001))</f>
        <v>61.854083521356216</v>
      </c>
      <c r="AE16" s="10">
        <f t="shared" ref="AE16:AI16" si="23">0.76*(1/(($H$1/(1+$H$2*($T$29-$H$3)))*AE15*$C$3*0.000000000001))</f>
        <v>107.13441531459782</v>
      </c>
      <c r="AF16" s="10">
        <f t="shared" si="23"/>
        <v>138.30993543970203</v>
      </c>
      <c r="AG16" s="10">
        <f t="shared" si="23"/>
        <v>195.59978650977382</v>
      </c>
      <c r="AH16" s="10">
        <f t="shared" si="23"/>
        <v>239.55983537313517</v>
      </c>
      <c r="AI16" s="10">
        <f t="shared" si="23"/>
        <v>276.61987087940406</v>
      </c>
    </row>
    <row r="17" spans="1:35" x14ac:dyDescent="0.55000000000000004">
      <c r="AB17" s="9" t="s">
        <v>10</v>
      </c>
      <c r="AC17" s="18"/>
      <c r="AD17" s="10">
        <f>2*(60/SQRT(AD$13)*LN(1.9*(2*$C$1+$C$2)/(0.8*$C$3+$C$2)))*(1-0.347*(EXP(-2.9*($C$4/(2*$C$1+$C$2)))))</f>
        <v>91.092889235532454</v>
      </c>
      <c r="AE17" s="10">
        <f t="shared" ref="AE17:AI17" si="24">2*(60/SQRT(AE$13)*LN(1.9*(2*$C$1+$C$2)/(0.8*$C$3+$C$2)))*(1-0.347*(EXP(-2.9*($C$4/(2*$C$1+$C$2)))))</f>
        <v>91.222970141142369</v>
      </c>
      <c r="AF17" s="10">
        <f t="shared" si="24"/>
        <v>91.616832089329961</v>
      </c>
      <c r="AG17" s="10">
        <f t="shared" si="24"/>
        <v>91.839648846509192</v>
      </c>
      <c r="AH17" s="10">
        <f t="shared" si="24"/>
        <v>92.239593810581511</v>
      </c>
      <c r="AI17" s="10">
        <f t="shared" si="24"/>
        <v>92.645182752079492</v>
      </c>
    </row>
    <row r="18" spans="1:35" x14ac:dyDescent="0.55000000000000004">
      <c r="A18" s="29" t="s">
        <v>15</v>
      </c>
      <c r="B18" s="29"/>
      <c r="C18" s="27">
        <f t="shared" ref="C18:H18" si="25">INTERCEPT(C10:C12,$B10:$B12)</f>
        <v>5.7352631578947362</v>
      </c>
      <c r="D18" s="27">
        <f t="shared" si="25"/>
        <v>5.7252631578947408</v>
      </c>
      <c r="E18" s="27">
        <f t="shared" si="25"/>
        <v>5.6952631578947361</v>
      </c>
      <c r="F18" s="27">
        <f t="shared" si="25"/>
        <v>5.5500000000000016</v>
      </c>
      <c r="G18" s="27">
        <f t="shared" si="25"/>
        <v>5.5200000000000067</v>
      </c>
      <c r="H18" s="27">
        <f t="shared" si="25"/>
        <v>5.4900000000000011</v>
      </c>
      <c r="AB18" s="9" t="s">
        <v>5</v>
      </c>
      <c r="AC18" s="18">
        <f>T30</f>
        <v>90</v>
      </c>
      <c r="AD18" s="10">
        <f t="shared" ref="AD18:AH18" si="26">($M$1*($AC$18-$H$3)+1)*AVERAGE(C$44,L$44)</f>
        <v>3.564301119430251</v>
      </c>
      <c r="AE18" s="10">
        <f t="shared" si="26"/>
        <v>3.5541432185455171</v>
      </c>
      <c r="AF18" s="10">
        <f t="shared" si="26"/>
        <v>3.5236502889957544</v>
      </c>
      <c r="AG18" s="10">
        <f t="shared" si="26"/>
        <v>3.5065732221481283</v>
      </c>
      <c r="AH18" s="10">
        <f t="shared" si="26"/>
        <v>3.4762305936390376</v>
      </c>
      <c r="AI18" s="10">
        <f>($M$1*($AC$18-$H$3)+1)*AVERAGE(H$44,Q$44)</f>
        <v>3.4458602188933307</v>
      </c>
    </row>
    <row r="19" spans="1:35" x14ac:dyDescent="0.55000000000000004">
      <c r="A19" s="29" t="s">
        <v>16</v>
      </c>
      <c r="B19" s="29"/>
      <c r="C19" s="27">
        <f t="shared" ref="C19:H19" si="27">SLOPE(C10:C12,$B10:$B12)*100%+C18</f>
        <v>2.5510526315789477</v>
      </c>
      <c r="D19" s="27">
        <f t="shared" si="27"/>
        <v>2.5410526315789435</v>
      </c>
      <c r="E19" s="27">
        <f t="shared" si="27"/>
        <v>2.5110526315789476</v>
      </c>
      <c r="F19" s="27">
        <f t="shared" si="27"/>
        <v>2.5499999999999994</v>
      </c>
      <c r="G19" s="27">
        <f t="shared" si="27"/>
        <v>2.5199999999999947</v>
      </c>
      <c r="H19" s="27">
        <f t="shared" si="27"/>
        <v>2.4899999999999989</v>
      </c>
      <c r="AB19" s="9" t="s">
        <v>7</v>
      </c>
      <c r="AC19" s="18"/>
      <c r="AD19" s="20">
        <f t="shared" ref="AD19:AH19" si="28">($M$2*($AC$18-$H$3)+1)*C$16</f>
        <v>7.1549999999999999E-3</v>
      </c>
      <c r="AE19" s="20">
        <f t="shared" si="28"/>
        <v>7.4199999999999995E-3</v>
      </c>
      <c r="AF19" s="20">
        <f t="shared" si="28"/>
        <v>8.0824999999999994E-3</v>
      </c>
      <c r="AG19" s="20">
        <f t="shared" si="28"/>
        <v>9.1424999999999996E-3</v>
      </c>
      <c r="AH19" s="20">
        <f t="shared" si="28"/>
        <v>9.9375000000000002E-3</v>
      </c>
      <c r="AI19" s="20">
        <f>($M$2*($AC$18-$H$3)+1)*H$16</f>
        <v>1.0732499999999999E-2</v>
      </c>
    </row>
    <row r="20" spans="1:35" x14ac:dyDescent="0.55000000000000004">
      <c r="AA20" s="17"/>
      <c r="AB20" s="9" t="s">
        <v>8</v>
      </c>
      <c r="AC20" s="18"/>
      <c r="AD20" s="10">
        <f>IF(U$2=0,$C$2,SQRT(1/(($H$1/(1+$H$2*($T$30-$H$3)))*PI()*U$2*0.999991*0.0000004*PI()))*1000000)</f>
        <v>2.3099291881632897</v>
      </c>
      <c r="AE20" s="10">
        <f t="shared" ref="AE20:AI20" si="29">IF(V$2=0,$C$2,SQRT(1/(($H$1/(1+$H$2*($T$30-$H$3)))*PI()*V$2*0.999991*0.0000004*PI()))*1000000)</f>
        <v>1.3336382385950494</v>
      </c>
      <c r="AF20" s="10">
        <f t="shared" si="29"/>
        <v>1.0330317375888038</v>
      </c>
      <c r="AG20" s="10">
        <f t="shared" si="29"/>
        <v>0.7304637468299654</v>
      </c>
      <c r="AH20" s="10">
        <f t="shared" si="29"/>
        <v>0.59642115177832278</v>
      </c>
      <c r="AI20" s="10">
        <f t="shared" si="29"/>
        <v>0.51651586879440192</v>
      </c>
    </row>
    <row r="21" spans="1:35" x14ac:dyDescent="0.55000000000000004">
      <c r="A21" s="75" t="s">
        <v>17</v>
      </c>
      <c r="B21" s="75"/>
      <c r="C21" s="75"/>
      <c r="D21" s="75"/>
      <c r="E21" s="75"/>
      <c r="F21" s="75"/>
      <c r="G21" s="75"/>
      <c r="H21" s="75"/>
      <c r="J21" s="75" t="s">
        <v>18</v>
      </c>
      <c r="K21" s="75"/>
      <c r="L21" s="75"/>
      <c r="M21" s="75"/>
      <c r="N21" s="75"/>
      <c r="O21" s="75"/>
      <c r="P21" s="75"/>
      <c r="Q21" s="75"/>
      <c r="AB21" s="9" t="s">
        <v>20</v>
      </c>
      <c r="AC21" s="18"/>
      <c r="AD21" s="10">
        <f>0.76*(1/(($H$1/(1+$H$2*($T$30-$H$3)))*AD20*$C$3*0.000000000001))</f>
        <v>69.305561580703554</v>
      </c>
      <c r="AE21" s="10">
        <f t="shared" ref="AE21:AI21" si="30">0.76*(1/(($H$1/(1+$H$2*($T$30-$H$3)))*AE20*$C$3*0.000000000001))</f>
        <v>120.0407539048721</v>
      </c>
      <c r="AF21" s="10">
        <f t="shared" si="30"/>
        <v>154.97194691325089</v>
      </c>
      <c r="AG21" s="10">
        <f t="shared" si="30"/>
        <v>219.16342911208267</v>
      </c>
      <c r="AH21" s="10">
        <f t="shared" si="30"/>
        <v>268.41928580161738</v>
      </c>
      <c r="AI21" s="10">
        <f t="shared" si="30"/>
        <v>309.94389382650178</v>
      </c>
    </row>
    <row r="22" spans="1:35" x14ac:dyDescent="0.55000000000000004">
      <c r="A22" s="9" t="str">
        <f t="shared" ref="A22:H25" si="31">A9</f>
        <v>Thickness (um)</v>
      </c>
      <c r="B22" s="9" t="str">
        <f t="shared" si="31"/>
        <v>RC (%)</v>
      </c>
      <c r="C22" s="19">
        <f t="shared" si="31"/>
        <v>1000000000</v>
      </c>
      <c r="D22" s="19">
        <f t="shared" si="31"/>
        <v>3000000000</v>
      </c>
      <c r="E22" s="19">
        <f t="shared" si="31"/>
        <v>5000000000</v>
      </c>
      <c r="F22" s="19">
        <f t="shared" si="31"/>
        <v>10000000000</v>
      </c>
      <c r="G22" s="19">
        <f t="shared" si="31"/>
        <v>15000000000</v>
      </c>
      <c r="H22" s="19">
        <f t="shared" si="31"/>
        <v>20000000000</v>
      </c>
      <c r="J22" s="9" t="str">
        <f t="shared" ref="J22:Q22" si="32">A9</f>
        <v>Thickness (um)</v>
      </c>
      <c r="K22" s="9" t="str">
        <f t="shared" si="32"/>
        <v>RC (%)</v>
      </c>
      <c r="L22" s="19">
        <f t="shared" si="32"/>
        <v>1000000000</v>
      </c>
      <c r="M22" s="19">
        <f t="shared" si="32"/>
        <v>3000000000</v>
      </c>
      <c r="N22" s="19">
        <f t="shared" si="32"/>
        <v>5000000000</v>
      </c>
      <c r="O22" s="19">
        <f t="shared" si="32"/>
        <v>10000000000</v>
      </c>
      <c r="P22" s="19">
        <f t="shared" si="32"/>
        <v>15000000000</v>
      </c>
      <c r="Q22" s="19">
        <f t="shared" si="32"/>
        <v>20000000000</v>
      </c>
      <c r="AB22" s="9" t="s">
        <v>10</v>
      </c>
      <c r="AC22" s="18"/>
      <c r="AD22" s="10">
        <f>2*(60/SQRT(AD$18)*LN(1.9*(2*$C$1+$C$2)/(0.8*$C$3+$C$2)))*(1-0.347*(EXP(-2.9*($C$4/(2*$C$1+$C$2)))))</f>
        <v>93.525808557664007</v>
      </c>
      <c r="AE22" s="10">
        <f t="shared" ref="AE22:AI22" si="33">2*(60/SQRT(AE$18)*LN(1.9*(2*$C$1+$C$2)/(0.8*$C$3+$C$2)))*(1-0.347*(EXP(-2.9*($C$4/(2*$C$1+$C$2)))))</f>
        <v>93.659363679004201</v>
      </c>
      <c r="AF22" s="10">
        <f t="shared" si="33"/>
        <v>94.063744937228392</v>
      </c>
      <c r="AG22" s="10">
        <f t="shared" si="33"/>
        <v>94.292512709886282</v>
      </c>
      <c r="AH22" s="10">
        <f>2*(60/SQRT(AH$18)*LN(1.9*(2*$C$1+$C$2)/(0.8*$C$3+$C$2)))*(1-0.347*(EXP(-2.9*($C$4/(2*$C$1+$C$2)))))</f>
        <v>94.703139449880382</v>
      </c>
      <c r="AI22" s="10">
        <f t="shared" si="33"/>
        <v>95.119560907295821</v>
      </c>
    </row>
    <row r="23" spans="1:35" x14ac:dyDescent="0.55000000000000004">
      <c r="A23" s="9">
        <f t="shared" si="31"/>
        <v>122</v>
      </c>
      <c r="B23" s="13">
        <f t="shared" si="31"/>
        <v>0.53</v>
      </c>
      <c r="C23" s="28">
        <f t="shared" ref="C23:H25" si="34">((C$18*(100%-$B23))+(C$19*$B23))/100%</f>
        <v>4.0476315789473682</v>
      </c>
      <c r="D23" s="28">
        <f t="shared" si="34"/>
        <v>4.0376315789473685</v>
      </c>
      <c r="E23" s="28">
        <f t="shared" si="34"/>
        <v>4.0076315789473682</v>
      </c>
      <c r="F23" s="28">
        <f t="shared" si="34"/>
        <v>3.9600000000000004</v>
      </c>
      <c r="G23" s="28">
        <f t="shared" si="34"/>
        <v>3.93</v>
      </c>
      <c r="H23" s="28">
        <f t="shared" si="34"/>
        <v>3.8999999999999995</v>
      </c>
      <c r="J23" s="9">
        <f t="shared" ref="J23:K25" si="35">A10</f>
        <v>122</v>
      </c>
      <c r="K23" s="13">
        <f t="shared" si="35"/>
        <v>0.53</v>
      </c>
      <c r="L23" s="28">
        <f t="shared" ref="L23:Q25" si="36">100%/((100%-$K23)/C$18+$K23/C$19)</f>
        <v>3.4517688615280053</v>
      </c>
      <c r="M23" s="28">
        <f t="shared" si="36"/>
        <v>3.4403597643059016</v>
      </c>
      <c r="N23" s="28">
        <f t="shared" si="36"/>
        <v>3.4060922001022615</v>
      </c>
      <c r="O23" s="28">
        <f t="shared" si="36"/>
        <v>3.4184782608695645</v>
      </c>
      <c r="P23" s="28">
        <f t="shared" si="36"/>
        <v>3.3845255474452514</v>
      </c>
      <c r="Q23" s="28">
        <f t="shared" si="36"/>
        <v>3.3505147058823526</v>
      </c>
    </row>
    <row r="24" spans="1:35" x14ac:dyDescent="0.55000000000000004">
      <c r="A24" s="9">
        <f t="shared" si="31"/>
        <v>127</v>
      </c>
      <c r="B24" s="13">
        <f t="shared" si="31"/>
        <v>0.55000000000000004</v>
      </c>
      <c r="C24" s="28">
        <f t="shared" si="34"/>
        <v>3.9839473684210525</v>
      </c>
      <c r="D24" s="28">
        <f t="shared" si="34"/>
        <v>3.9739473684210522</v>
      </c>
      <c r="E24" s="28">
        <f t="shared" si="34"/>
        <v>3.9439473684210524</v>
      </c>
      <c r="F24" s="28">
        <f t="shared" si="34"/>
        <v>3.9000000000000004</v>
      </c>
      <c r="G24" s="28">
        <f t="shared" si="34"/>
        <v>3.87</v>
      </c>
      <c r="H24" s="28">
        <f t="shared" si="34"/>
        <v>3.84</v>
      </c>
      <c r="J24" s="9">
        <f t="shared" si="35"/>
        <v>127</v>
      </c>
      <c r="K24" s="13">
        <f t="shared" si="35"/>
        <v>0.55000000000000004</v>
      </c>
      <c r="L24" s="28">
        <f t="shared" si="36"/>
        <v>3.4006753350438306</v>
      </c>
      <c r="M24" s="28">
        <f t="shared" si="36"/>
        <v>3.3893164767722106</v>
      </c>
      <c r="N24" s="28">
        <f t="shared" si="36"/>
        <v>3.3552016455288993</v>
      </c>
      <c r="O24" s="28">
        <f t="shared" si="36"/>
        <v>3.3696428571428569</v>
      </c>
      <c r="P24" s="28">
        <f t="shared" si="36"/>
        <v>3.3358273381294925</v>
      </c>
      <c r="Q24" s="28">
        <f t="shared" si="36"/>
        <v>3.3019565217391298</v>
      </c>
    </row>
    <row r="25" spans="1:35" x14ac:dyDescent="0.55000000000000004">
      <c r="A25" s="9">
        <f t="shared" si="31"/>
        <v>140</v>
      </c>
      <c r="B25" s="13">
        <f t="shared" si="31"/>
        <v>0.57999999999999996</v>
      </c>
      <c r="C25" s="28">
        <f t="shared" si="34"/>
        <v>3.8884210526315792</v>
      </c>
      <c r="D25" s="28">
        <f t="shared" si="34"/>
        <v>3.8784210526315785</v>
      </c>
      <c r="E25" s="28">
        <f t="shared" si="34"/>
        <v>3.8484210526315792</v>
      </c>
      <c r="F25" s="28">
        <f t="shared" si="34"/>
        <v>3.8100000000000005</v>
      </c>
      <c r="G25" s="28">
        <f t="shared" si="34"/>
        <v>3.7800000000000002</v>
      </c>
      <c r="H25" s="28">
        <f t="shared" si="34"/>
        <v>3.75</v>
      </c>
      <c r="J25" s="9">
        <f t="shared" si="35"/>
        <v>140</v>
      </c>
      <c r="K25" s="13">
        <f t="shared" si="35"/>
        <v>0.57999999999999996</v>
      </c>
      <c r="L25" s="28">
        <f t="shared" si="36"/>
        <v>3.3268095412058152</v>
      </c>
      <c r="M25" s="28">
        <f t="shared" si="36"/>
        <v>3.3155296301206385</v>
      </c>
      <c r="N25" s="28">
        <f t="shared" si="36"/>
        <v>3.2816546529366897</v>
      </c>
      <c r="O25" s="28">
        <f t="shared" si="36"/>
        <v>3.2989510489510487</v>
      </c>
      <c r="P25" s="28">
        <f t="shared" si="36"/>
        <v>3.2653521126760521</v>
      </c>
      <c r="Q25" s="28">
        <f t="shared" si="36"/>
        <v>3.2317021276595734</v>
      </c>
      <c r="S25" s="75" t="s">
        <v>19</v>
      </c>
      <c r="T25" s="75"/>
      <c r="U25" s="75"/>
      <c r="V25" s="75"/>
      <c r="W25" s="75"/>
      <c r="X25" s="75"/>
      <c r="Y25" s="75"/>
      <c r="Z25" s="75"/>
    </row>
    <row r="26" spans="1:35" x14ac:dyDescent="0.55000000000000004">
      <c r="S26" s="16" t="s">
        <v>2</v>
      </c>
      <c r="T26" s="16"/>
      <c r="U26" s="15">
        <f t="shared" ref="U26:Z26" si="37">U2</f>
        <v>1000000000</v>
      </c>
      <c r="V26" s="15">
        <f t="shared" si="37"/>
        <v>3000000000</v>
      </c>
      <c r="W26" s="15">
        <f t="shared" si="37"/>
        <v>5000000000</v>
      </c>
      <c r="X26" s="15">
        <f t="shared" si="37"/>
        <v>10000000000</v>
      </c>
      <c r="Y26" s="15">
        <f t="shared" si="37"/>
        <v>15000000000</v>
      </c>
      <c r="Z26" s="15">
        <f t="shared" si="37"/>
        <v>20000000000</v>
      </c>
    </row>
    <row r="27" spans="1:35" x14ac:dyDescent="0.55000000000000004">
      <c r="T27" s="3">
        <v>-40</v>
      </c>
      <c r="U27" s="28">
        <f>(20*LOG(EXP(1))*(2*PI()/(2*0.299795637693216))*SQRT(AD$3)*U2*0.000000001*AD$4)+(20*LOG(EXP(1))*AD6/(AD7))*(1+(2/PI())*ATAN(1.4*($H$4/AD$5)^2))</f>
        <v>6.9473834332337558</v>
      </c>
      <c r="V27" s="28">
        <f t="shared" ref="V27:Z27" si="38">(20*LOG(EXP(1))*(2*PI()/(2*0.299795637693216))*SQRT(AE$3)*V2*0.000000001*AE$4)+(20*LOG(EXP(1))*AE6/(AE7))*(1+(2/PI())*ATAN(1.4*($H$4/AE$5)^2))</f>
        <v>15.589174742422871</v>
      </c>
      <c r="W27" s="28">
        <f t="shared" si="38"/>
        <v>22.917736089248734</v>
      </c>
      <c r="X27" s="28">
        <f t="shared" si="38"/>
        <v>38.057248432110256</v>
      </c>
      <c r="Y27" s="28">
        <f t="shared" si="38"/>
        <v>50.97813253828955</v>
      </c>
      <c r="Z27" s="28">
        <f t="shared" si="38"/>
        <v>63.168270551537503</v>
      </c>
    </row>
    <row r="28" spans="1:35" x14ac:dyDescent="0.55000000000000004">
      <c r="T28" s="3">
        <v>0</v>
      </c>
      <c r="U28" s="28">
        <f>(20*LOG(EXP(1))*(2*PI()/(2*0.299795637693216))*SQRT(AD$8)*U2*0.000000001*AD9)+(20*LOG(EXP(1))*AD11/(AD12))*(1+(2/PI())*ATAN(1.4*($H$4/AD$10)^2))</f>
        <v>7.4654501030257752</v>
      </c>
      <c r="V28" s="28">
        <f t="shared" ref="V28:Z28" si="39">(20*LOG(EXP(1))*(2*PI()/(2*0.299795637693216))*SQRT(AE$8)*V2*0.000000001*AE9)+(20*LOG(EXP(1))*AE11/(AE12))*(1+(2/PI())*ATAN(1.4*($H$4/AE$10)^2))</f>
        <v>16.698426177233657</v>
      </c>
      <c r="W28" s="28">
        <f t="shared" si="39"/>
        <v>24.84931361501701</v>
      </c>
      <c r="X28" s="28">
        <f t="shared" si="39"/>
        <v>42.215922873235641</v>
      </c>
      <c r="Y28" s="28">
        <f t="shared" si="39"/>
        <v>57.314650286508225</v>
      </c>
      <c r="Z28" s="28">
        <f t="shared" si="39"/>
        <v>71.727782217593756</v>
      </c>
    </row>
    <row r="29" spans="1:35" x14ac:dyDescent="0.55000000000000004">
      <c r="T29" s="3">
        <v>25</v>
      </c>
      <c r="U29" s="28">
        <f>(20*LOG(EXP(1))*(2*PI()/(2*0.299795637693216))*SQRT(AD$13)*AD2*0.000000001*AD14)+((20*LOG(EXP(1))*AD16/(AD17))*(1+(2/PI())*ATAN(1.4*($H$4/AD$15)^2)))</f>
        <v>7.7648852110429356</v>
      </c>
      <c r="V29" s="28">
        <f t="shared" ref="V29:Z29" si="40">(20*LOG(EXP(1))*(2*PI()/(2*0.299795637693216))*SQRT(AE$13)*AE2*0.000000001*AE14)+((20*LOG(EXP(1))*AE16/(AE17))*(1+(2/PI())*ATAN(1.4*($H$4/AE$15)^2)))</f>
        <v>17.31996411607178</v>
      </c>
      <c r="W29" s="28">
        <f t="shared" si="40"/>
        <v>25.917362202750692</v>
      </c>
      <c r="X29" s="28">
        <f t="shared" si="40"/>
        <v>44.566092609168457</v>
      </c>
      <c r="Y29" s="28">
        <f t="shared" si="40"/>
        <v>60.953464791058032</v>
      </c>
      <c r="Z29" s="28">
        <f t="shared" si="40"/>
        <v>76.692226635822593</v>
      </c>
    </row>
    <row r="30" spans="1:35" x14ac:dyDescent="0.55000000000000004">
      <c r="T30" s="3">
        <v>90</v>
      </c>
      <c r="U30" s="28">
        <f>(20*LOG(EXP(1))*(2*PI()/(2*0.299795637693216))*SQRT(AD$18)*U2*0.000000001*AD19)+(20*LOG(EXP(1))*AD21/(AD22))*(1+(2/PI())*ATAN(1.4*($H$4/AD$20)^2))</f>
        <v>8.4665130213035251</v>
      </c>
      <c r="V30" s="28">
        <f t="shared" ref="V30:Z30" si="41">(20*LOG(EXP(1))*(2*PI()/(2*0.299795637693216))*SQRT(AE$18)*V2*0.000000001*AE19)+(20*LOG(EXP(1))*AE21/(AE22))*(1+(2/PI())*ATAN(1.4*($H$4/AE$20)^2))</f>
        <v>18.748922651914452</v>
      </c>
      <c r="W30" s="28">
        <f t="shared" si="41"/>
        <v>28.321419027714661</v>
      </c>
      <c r="X30" s="28">
        <f t="shared" si="41"/>
        <v>49.945813543407361</v>
      </c>
      <c r="Y30" s="28">
        <f t="shared" si="41"/>
        <v>69.440665711964016</v>
      </c>
      <c r="Z30" s="28">
        <f t="shared" si="41"/>
        <v>88.413408185529747</v>
      </c>
    </row>
    <row r="32" spans="1:35" x14ac:dyDescent="0.55000000000000004">
      <c r="B32" s="13"/>
    </row>
    <row r="33" spans="1:35" x14ac:dyDescent="0.55000000000000004">
      <c r="B33" s="13"/>
    </row>
    <row r="37" spans="1:35" x14ac:dyDescent="0.55000000000000004">
      <c r="AB37" s="14"/>
    </row>
    <row r="38" spans="1:35" x14ac:dyDescent="0.55000000000000004">
      <c r="S38" s="14"/>
      <c r="AC38" s="10"/>
      <c r="AD38" s="10"/>
      <c r="AE38" s="10"/>
      <c r="AF38" s="10"/>
      <c r="AG38" s="10"/>
      <c r="AH38" s="10"/>
    </row>
    <row r="39" spans="1:35" x14ac:dyDescent="0.55000000000000004">
      <c r="AC39" s="10"/>
      <c r="AD39" s="10"/>
      <c r="AE39" s="10"/>
      <c r="AF39" s="10"/>
      <c r="AG39" s="10"/>
      <c r="AH39" s="10"/>
    </row>
    <row r="40" spans="1:35" x14ac:dyDescent="0.55000000000000004">
      <c r="AC40" s="10"/>
      <c r="AD40" s="10"/>
      <c r="AE40" s="10"/>
      <c r="AF40" s="10"/>
      <c r="AG40" s="10"/>
      <c r="AH40" s="10"/>
    </row>
    <row r="42" spans="1:35" x14ac:dyDescent="0.55000000000000004">
      <c r="A42" s="75" t="str">
        <f>_xlfn.CONCAT("DK_InPlane (Thickness = ",$C$1,"µm)")</f>
        <v>DK_InPlane (Thickness = 120µm)</v>
      </c>
      <c r="B42" s="75"/>
      <c r="C42" s="75"/>
      <c r="D42" s="75"/>
      <c r="E42" s="75"/>
      <c r="F42" s="75"/>
      <c r="G42" s="75"/>
      <c r="H42" s="75"/>
      <c r="J42" s="75" t="str">
        <f>_xlfn.CONCAT("DK_OutofPlane (Thickness = ",$C$1,"µm)")</f>
        <v>DK_OutofPlane (Thickness = 120µm)</v>
      </c>
      <c r="K42" s="75"/>
      <c r="L42" s="75"/>
      <c r="M42" s="75"/>
      <c r="N42" s="75"/>
      <c r="O42" s="75"/>
      <c r="P42" s="75"/>
      <c r="Q42" s="75"/>
    </row>
    <row r="43" spans="1:35" x14ac:dyDescent="0.55000000000000004">
      <c r="A43" s="9" t="str">
        <f t="shared" ref="A43:H43" si="42">A22</f>
        <v>Thickness (um)</v>
      </c>
      <c r="B43" s="21" t="str">
        <f t="shared" si="42"/>
        <v>RC (%)</v>
      </c>
      <c r="C43" s="15">
        <f t="shared" si="42"/>
        <v>1000000000</v>
      </c>
      <c r="D43" s="15">
        <f t="shared" si="42"/>
        <v>3000000000</v>
      </c>
      <c r="E43" s="15">
        <f t="shared" si="42"/>
        <v>5000000000</v>
      </c>
      <c r="F43" s="15">
        <f t="shared" si="42"/>
        <v>10000000000</v>
      </c>
      <c r="G43" s="15">
        <f t="shared" si="42"/>
        <v>15000000000</v>
      </c>
      <c r="H43" s="15">
        <f t="shared" si="42"/>
        <v>20000000000</v>
      </c>
      <c r="J43" s="9" t="str">
        <f t="shared" ref="J43:Q43" si="43">J22</f>
        <v>Thickness (um)</v>
      </c>
      <c r="K43" s="21" t="str">
        <f t="shared" si="43"/>
        <v>RC (%)</v>
      </c>
      <c r="L43" s="15">
        <f t="shared" si="43"/>
        <v>1000000000</v>
      </c>
      <c r="M43" s="15">
        <f t="shared" si="43"/>
        <v>3000000000</v>
      </c>
      <c r="N43" s="15">
        <f t="shared" si="43"/>
        <v>5000000000</v>
      </c>
      <c r="O43" s="15">
        <f t="shared" si="43"/>
        <v>10000000000</v>
      </c>
      <c r="P43" s="15">
        <f t="shared" si="43"/>
        <v>15000000000</v>
      </c>
      <c r="Q43" s="15">
        <f t="shared" si="43"/>
        <v>20000000000</v>
      </c>
    </row>
    <row r="44" spans="1:35" x14ac:dyDescent="0.55000000000000004">
      <c r="A44" s="9">
        <f>C1</f>
        <v>120</v>
      </c>
      <c r="B44" s="11">
        <f>SLOPE(B10:B12,A10:A12)*A44+INTERCEPT(B10:B12,A10:A12)</f>
        <v>0.52739382239382249</v>
      </c>
      <c r="C44" s="28">
        <f t="shared" ref="C44:H44" si="44">((C$18*(100%-$B44))+(C$19*$B44))/100%</f>
        <v>4.0559301971144066</v>
      </c>
      <c r="D44" s="28">
        <f t="shared" si="44"/>
        <v>4.0459301971144068</v>
      </c>
      <c r="E44" s="28">
        <f t="shared" si="44"/>
        <v>4.0159301971144075</v>
      </c>
      <c r="F44" s="28">
        <f t="shared" si="44"/>
        <v>3.9678185328185331</v>
      </c>
      <c r="G44" s="28">
        <f t="shared" si="44"/>
        <v>3.9378185328185324</v>
      </c>
      <c r="H44" s="28">
        <f t="shared" si="44"/>
        <v>3.9078185328185322</v>
      </c>
      <c r="J44" s="9">
        <f>A44</f>
        <v>120</v>
      </c>
      <c r="K44" s="11">
        <f>SLOPE(B10:B12,A10:A12)*A44+INTERCEPT(B10:B12,A10:A12)</f>
        <v>0.52739382239382249</v>
      </c>
      <c r="L44" s="28">
        <f t="shared" ref="L44:Q44" si="45">100%/((100%-$K44)/C$18+$K44/C$19)</f>
        <v>3.4585400910429773</v>
      </c>
      <c r="M44" s="28">
        <f t="shared" si="45"/>
        <v>3.4471246040146015</v>
      </c>
      <c r="N44" s="28">
        <f t="shared" si="45"/>
        <v>3.4128376076518481</v>
      </c>
      <c r="O44" s="28">
        <f t="shared" si="45"/>
        <v>3.4249463902787705</v>
      </c>
      <c r="P44" s="28">
        <f t="shared" si="45"/>
        <v>3.390976267453512</v>
      </c>
      <c r="Q44" s="28">
        <f t="shared" si="45"/>
        <v>3.3569476483722775</v>
      </c>
      <c r="AI44" s="12"/>
    </row>
    <row r="45" spans="1:35" x14ac:dyDescent="0.55000000000000004">
      <c r="G45" s="10"/>
      <c r="K45" s="11"/>
    </row>
    <row r="55" spans="36:36" x14ac:dyDescent="0.55000000000000004">
      <c r="AJ55" s="12"/>
    </row>
  </sheetData>
  <mergeCells count="32">
    <mergeCell ref="A1:B1"/>
    <mergeCell ref="E1:G1"/>
    <mergeCell ref="S1:Z1"/>
    <mergeCell ref="AB1:AI1"/>
    <mergeCell ref="A2:B2"/>
    <mergeCell ref="S2:T2"/>
    <mergeCell ref="AB2:AC2"/>
    <mergeCell ref="J1:L1"/>
    <mergeCell ref="D2:G2"/>
    <mergeCell ref="AC13:AC17"/>
    <mergeCell ref="A14:H14"/>
    <mergeCell ref="A18:B18"/>
    <mergeCell ref="AC18:AC22"/>
    <mergeCell ref="A19:B19"/>
    <mergeCell ref="A21:H21"/>
    <mergeCell ref="J21:Q21"/>
    <mergeCell ref="AC3:AC7"/>
    <mergeCell ref="A4:B4"/>
    <mergeCell ref="E4:G4"/>
    <mergeCell ref="A6:H7"/>
    <mergeCell ref="AC8:AC12"/>
    <mergeCell ref="S25:Z25"/>
    <mergeCell ref="S26:T26"/>
    <mergeCell ref="A42:H42"/>
    <mergeCell ref="J42:Q42"/>
    <mergeCell ref="J2:L2"/>
    <mergeCell ref="S6:Z6"/>
    <mergeCell ref="T7:T10"/>
    <mergeCell ref="A8:H8"/>
    <mergeCell ref="A3:B3"/>
    <mergeCell ref="E3:G3"/>
    <mergeCell ref="T3:T5"/>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User Guide</vt:lpstr>
      <vt:lpstr>TU863+_P_2116</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2024-10-04T04:04:47Z</dcterms:created>
  <dcterms:modified xsi:type="dcterms:W3CDTF">2024-12-05T02:16:27Z</dcterms:modified>
</cp:coreProperties>
</file>