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ehibamr\Downloads\Downloads\"/>
    </mc:Choice>
  </mc:AlternateContent>
  <xr:revisionPtr revIDLastSave="0" documentId="13_ncr:1_{6F236844-F47E-4323-9E3D-DCFDCC238AFD}" xr6:coauthVersionLast="47" xr6:coauthVersionMax="47" xr10:uidLastSave="{00000000-0000-0000-0000-000000000000}"/>
  <workbookProtection workbookAlgorithmName="SHA-512" workbookHashValue="YOK7o+BBMa0RAhrK7yz0rlueE288b9UWK7I8aWL90mlxAgTUnhrHgaA1oEzhe6WExvtVIrRam3GleADgnHBx9w==" workbookSaltValue="Viifl1GAdNiXqC3kKh9EdA==" workbookSpinCount="100000" lockStructure="1"/>
  <bookViews>
    <workbookView xWindow="-38520" yWindow="-120" windowWidth="38640" windowHeight="21120" xr2:uid="{5EA1DA88-E9FB-4521-A55E-B04EDA6703B2}"/>
  </bookViews>
  <sheets>
    <sheet name="Revision" sheetId="4" r:id="rId1"/>
    <sheet name="User Guide" sheetId="5" r:id="rId2"/>
    <sheet name="Material Database" sheetId="13" r:id="rId3"/>
    <sheet name="Material Modeler" sheetId="12" r:id="rId4"/>
    <sheet name="Transmission Line Design" sheetId="17" r:id="rId5"/>
  </sheets>
  <definedNames>
    <definedName name="Google_Sheet_Link_1785581074" localSheetId="3" hidden="1">_EMI_Filter</definedName>
    <definedName name="Google_Sheet_Link_1785581074" localSheetId="4" hidden="1">_EMI_Filter</definedName>
    <definedName name="Google_Sheet_Link_1785581074" localSheetId="1" hidden="1">_EMI_Filter</definedName>
    <definedName name="Google_Sheet_Link_1785581074" hidden="1">_EMI_Filter</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8" i="13" l="1"/>
  <c r="B4" i="13"/>
  <c r="G6" i="17"/>
  <c r="L12" i="17"/>
  <c r="L13" i="17" s="1"/>
  <c r="K12" i="17"/>
  <c r="K13" i="17" s="1"/>
  <c r="L11" i="17"/>
  <c r="K11" i="17"/>
  <c r="G4" i="17" s="1"/>
  <c r="L10" i="17"/>
  <c r="K10" i="17"/>
  <c r="AU19" i="17"/>
  <c r="AT17" i="17" s="1"/>
  <c r="AL19" i="17"/>
  <c r="AL45" i="17" s="1"/>
  <c r="AT44" i="17"/>
  <c r="AT33" i="17"/>
  <c r="AK44" i="17"/>
  <c r="AK33" i="17"/>
  <c r="H19" i="17"/>
  <c r="H34" i="17" s="1"/>
  <c r="AB19" i="17"/>
  <c r="AA44" i="17"/>
  <c r="AA33" i="17"/>
  <c r="G44" i="17"/>
  <c r="G33" i="17"/>
  <c r="BJ9" i="13"/>
  <c r="BJ5" i="13"/>
  <c r="R45" i="17"/>
  <c r="Q44" i="17"/>
  <c r="R34" i="17"/>
  <c r="Q33" i="17"/>
  <c r="Q17" i="17"/>
  <c r="C1" i="12"/>
  <c r="BJ6" i="13"/>
  <c r="C3" i="12"/>
  <c r="AD2" i="12" s="1"/>
  <c r="BJ7" i="13"/>
  <c r="L2" i="17" l="1"/>
  <c r="L5" i="17"/>
  <c r="J5" i="17"/>
  <c r="I2" i="17"/>
  <c r="AU45" i="17"/>
  <c r="AU34" i="17"/>
  <c r="AK17" i="17"/>
  <c r="AL34" i="17"/>
  <c r="H45" i="17"/>
  <c r="AA17" i="17"/>
  <c r="AB34" i="17"/>
  <c r="AB45" i="17"/>
  <c r="G17" i="17"/>
  <c r="A28" i="12"/>
  <c r="C4" i="12"/>
  <c r="AE5" i="12" s="1"/>
  <c r="BC6" i="13"/>
  <c r="BD6" i="13"/>
  <c r="BE6" i="13"/>
  <c r="BF6" i="13"/>
  <c r="BG6" i="13"/>
  <c r="BB6" i="13"/>
  <c r="T6" i="13"/>
  <c r="W6" i="13"/>
  <c r="B12" i="12" s="1"/>
  <c r="AK6" i="13"/>
  <c r="AL6" i="13"/>
  <c r="AM6" i="13"/>
  <c r="AN6" i="13"/>
  <c r="AO6" i="13"/>
  <c r="H12" i="12" s="1"/>
  <c r="AJ6" i="13"/>
  <c r="C12" i="12" s="1"/>
  <c r="G12" i="12"/>
  <c r="G11" i="12"/>
  <c r="A11" i="12"/>
  <c r="B11" i="12"/>
  <c r="C11" i="12"/>
  <c r="D11" i="12"/>
  <c r="E11" i="12"/>
  <c r="F11" i="12"/>
  <c r="H11" i="12"/>
  <c r="A12" i="12"/>
  <c r="D12" i="12"/>
  <c r="E12" i="12"/>
  <c r="F12" i="12"/>
  <c r="J28" i="12" l="1"/>
  <c r="S28" i="12" s="1"/>
  <c r="BJ11" i="13"/>
  <c r="BJ10" i="13"/>
  <c r="H3" i="12"/>
  <c r="BJ4" i="13"/>
  <c r="BJ3" i="13"/>
  <c r="C2" i="12"/>
  <c r="H1" i="12"/>
  <c r="H2" i="12"/>
  <c r="AB9" i="12" s="1"/>
  <c r="M3" i="12"/>
  <c r="A10" i="12"/>
  <c r="A25" i="12" s="1"/>
  <c r="S26" i="12"/>
  <c r="S27" i="12"/>
  <c r="B10" i="12"/>
  <c r="K26" i="12"/>
  <c r="T27" i="12"/>
  <c r="C9" i="12"/>
  <c r="C10" i="12"/>
  <c r="D9" i="12"/>
  <c r="D24" i="12" s="1"/>
  <c r="D10" i="12"/>
  <c r="E9" i="12"/>
  <c r="F9" i="12"/>
  <c r="G9" i="12"/>
  <c r="P24" i="12" s="1"/>
  <c r="H9" i="12"/>
  <c r="E10" i="12"/>
  <c r="F10" i="12"/>
  <c r="G10" i="12"/>
  <c r="H10" i="12"/>
  <c r="A16" i="12"/>
  <c r="A17" i="12"/>
  <c r="A18" i="12"/>
  <c r="B16" i="12"/>
  <c r="B17" i="12"/>
  <c r="B18" i="12"/>
  <c r="C15" i="12"/>
  <c r="D15" i="12"/>
  <c r="E15" i="12"/>
  <c r="F15" i="12"/>
  <c r="G15" i="12"/>
  <c r="H15" i="12"/>
  <c r="C16" i="12"/>
  <c r="D16" i="12"/>
  <c r="E16" i="12"/>
  <c r="F16" i="12"/>
  <c r="G16" i="12"/>
  <c r="C17" i="12"/>
  <c r="D17" i="12"/>
  <c r="E17" i="12"/>
  <c r="F17" i="12"/>
  <c r="G17" i="12"/>
  <c r="H17" i="12"/>
  <c r="C18" i="12"/>
  <c r="D18" i="12"/>
  <c r="E18" i="12"/>
  <c r="F18" i="12"/>
  <c r="G18" i="12"/>
  <c r="H18" i="12"/>
  <c r="H16" i="12"/>
  <c r="C4" i="13"/>
  <c r="C3" i="13"/>
  <c r="B3" i="13"/>
  <c r="T24" i="12"/>
  <c r="S24" i="12"/>
  <c r="K24" i="12"/>
  <c r="J24" i="12"/>
  <c r="B24" i="12"/>
  <c r="A24" i="12"/>
  <c r="AL18" i="12"/>
  <c r="AL13" i="12"/>
  <c r="AL8" i="12"/>
  <c r="AL3" i="12"/>
  <c r="AK1" i="12"/>
  <c r="T28" i="12" l="1"/>
  <c r="K28" i="12"/>
  <c r="AG18" i="17"/>
  <c r="AQ18" i="17"/>
  <c r="M18" i="17"/>
  <c r="M21" i="17" s="1"/>
  <c r="AZ18" i="17"/>
  <c r="W18" i="17"/>
  <c r="M1" i="12"/>
  <c r="AB4" i="12"/>
  <c r="AG5" i="12"/>
  <c r="AG2" i="12"/>
  <c r="M2" i="12"/>
  <c r="AC11" i="12"/>
  <c r="U24" i="12"/>
  <c r="A27" i="12"/>
  <c r="B27" i="12"/>
  <c r="X20" i="12"/>
  <c r="X21" i="12" s="1"/>
  <c r="G24" i="12"/>
  <c r="X24" i="12"/>
  <c r="E24" i="12"/>
  <c r="Y20" i="12"/>
  <c r="Y21" i="12" s="1"/>
  <c r="Z20" i="12"/>
  <c r="Z21" i="12" s="1"/>
  <c r="U20" i="12"/>
  <c r="V20" i="12"/>
  <c r="W20" i="12"/>
  <c r="W21" i="12" s="1"/>
  <c r="K27" i="12"/>
  <c r="D20" i="12"/>
  <c r="D21" i="12" s="1"/>
  <c r="T26" i="12"/>
  <c r="E20" i="12"/>
  <c r="E21" i="12" s="1"/>
  <c r="C20" i="12"/>
  <c r="F20" i="12"/>
  <c r="F21" i="12" s="1"/>
  <c r="G20" i="12"/>
  <c r="G21" i="12" s="1"/>
  <c r="B25" i="12"/>
  <c r="H20" i="12"/>
  <c r="H21" i="12" s="1"/>
  <c r="K25" i="12"/>
  <c r="T25" i="12"/>
  <c r="B26" i="12"/>
  <c r="J25" i="12"/>
  <c r="A26" i="12"/>
  <c r="J27" i="12"/>
  <c r="J26" i="12"/>
  <c r="S25" i="12"/>
  <c r="Q24" i="12"/>
  <c r="Z24" i="12"/>
  <c r="O24" i="12"/>
  <c r="F24" i="12"/>
  <c r="N24" i="12"/>
  <c r="H24" i="12"/>
  <c r="AQ2" i="12"/>
  <c r="Y24" i="12"/>
  <c r="W24" i="12"/>
  <c r="V24" i="12"/>
  <c r="M24" i="12"/>
  <c r="C24" i="12"/>
  <c r="L24" i="12"/>
  <c r="AC14" i="12"/>
  <c r="AH10" i="12"/>
  <c r="W21" i="17" l="1"/>
  <c r="AF19" i="17"/>
  <c r="N19" i="17"/>
  <c r="U19" i="17"/>
  <c r="AG19" i="17"/>
  <c r="V19" i="17"/>
  <c r="W19" i="17"/>
  <c r="M19" i="17"/>
  <c r="AH19" i="17"/>
  <c r="X19" i="17"/>
  <c r="K19" i="17"/>
  <c r="AD19" i="17"/>
  <c r="L19" i="17"/>
  <c r="AE19" i="17"/>
  <c r="T19" i="17"/>
  <c r="J19" i="17"/>
  <c r="AQ21" i="17"/>
  <c r="S18" i="17"/>
  <c r="AM18" i="17"/>
  <c r="I18" i="17"/>
  <c r="AV18" i="17"/>
  <c r="AC18" i="17"/>
  <c r="AC21" i="17" s="1"/>
  <c r="AX18" i="17"/>
  <c r="AE18" i="17"/>
  <c r="U18" i="17"/>
  <c r="AO18" i="17"/>
  <c r="K18" i="17"/>
  <c r="K21" i="17" s="1"/>
  <c r="U21" i="12"/>
  <c r="U28" i="12" s="1"/>
  <c r="AG21" i="17"/>
  <c r="X18" i="17"/>
  <c r="N18" i="17"/>
  <c r="AH18" i="17"/>
  <c r="AH21" i="17" s="1"/>
  <c r="AR18" i="17"/>
  <c r="BA18" i="17"/>
  <c r="AW18" i="17"/>
  <c r="AD18" i="17"/>
  <c r="AN18" i="17"/>
  <c r="J18" i="17"/>
  <c r="J21" i="17" s="1"/>
  <c r="T18" i="17"/>
  <c r="AP18" i="17"/>
  <c r="L18" i="17"/>
  <c r="L21" i="17" s="1"/>
  <c r="AF18" i="17"/>
  <c r="AF21" i="17" s="1"/>
  <c r="AY18" i="17"/>
  <c r="V18" i="17"/>
  <c r="X20" i="17"/>
  <c r="I20" i="17"/>
  <c r="J20" i="17"/>
  <c r="S20" i="17"/>
  <c r="K20" i="17"/>
  <c r="M20" i="17"/>
  <c r="U20" i="17"/>
  <c r="N20" i="17"/>
  <c r="V20" i="17"/>
  <c r="W20" i="17"/>
  <c r="L20" i="17"/>
  <c r="T20" i="17"/>
  <c r="AC20" i="17"/>
  <c r="AF20" i="17"/>
  <c r="AH20" i="17"/>
  <c r="AD20" i="17"/>
  <c r="AE20" i="17"/>
  <c r="AG20" i="17"/>
  <c r="AZ20" i="17" s="1"/>
  <c r="C21" i="12"/>
  <c r="C25" i="12" s="1"/>
  <c r="AM2" i="12"/>
  <c r="AM5" i="12" s="1"/>
  <c r="AM6" i="12" s="1"/>
  <c r="AO2" i="12"/>
  <c r="AO15" i="12" s="1"/>
  <c r="AO16" i="12" s="1"/>
  <c r="AE10" i="12"/>
  <c r="AE11" i="12" s="1"/>
  <c r="AE12" i="12" s="1"/>
  <c r="AP2" i="12"/>
  <c r="AP10" i="12" s="1"/>
  <c r="AP11" i="12" s="1"/>
  <c r="Z28" i="12"/>
  <c r="B28" i="12"/>
  <c r="H28" i="12" s="1"/>
  <c r="AQ10" i="12"/>
  <c r="AQ11" i="12" s="1"/>
  <c r="AH11" i="12"/>
  <c r="AH12" i="12" s="1"/>
  <c r="E27" i="12"/>
  <c r="D27" i="12"/>
  <c r="W26" i="12"/>
  <c r="Z25" i="12"/>
  <c r="Y26" i="12"/>
  <c r="X26" i="12"/>
  <c r="V21" i="12"/>
  <c r="V26" i="12" s="1"/>
  <c r="U27" i="12"/>
  <c r="P25" i="12"/>
  <c r="G26" i="12"/>
  <c r="AI10" i="12"/>
  <c r="AR25" i="12" s="1"/>
  <c r="AR2" i="12"/>
  <c r="AR10" i="12" s="1"/>
  <c r="AR11" i="12" s="1"/>
  <c r="AF10" i="12"/>
  <c r="Z26" i="12"/>
  <c r="Z27" i="12"/>
  <c r="U25" i="12"/>
  <c r="H27" i="12"/>
  <c r="O25" i="12"/>
  <c r="G27" i="12"/>
  <c r="O27" i="12"/>
  <c r="O26" i="12"/>
  <c r="H26" i="12"/>
  <c r="F25" i="12"/>
  <c r="G25" i="12"/>
  <c r="P27" i="12"/>
  <c r="P26" i="12"/>
  <c r="O28" i="12"/>
  <c r="F27" i="12"/>
  <c r="F26" i="12"/>
  <c r="H25" i="12"/>
  <c r="Q25" i="12"/>
  <c r="Q27" i="12"/>
  <c r="Q26" i="12"/>
  <c r="AQ5" i="12"/>
  <c r="AQ6" i="12" s="1"/>
  <c r="AQ25" i="12"/>
  <c r="AG10" i="12"/>
  <c r="AN2" i="12"/>
  <c r="AN5" i="12" s="1"/>
  <c r="AN6" i="12" s="1"/>
  <c r="AQ20" i="12"/>
  <c r="AQ21" i="12" s="1"/>
  <c r="AQ15" i="12"/>
  <c r="AQ16" i="12" s="1"/>
  <c r="AD10" i="12"/>
  <c r="AD11" i="12" s="1"/>
  <c r="AD12" i="12" s="1"/>
  <c r="Q28" i="12"/>
  <c r="P28" i="12"/>
  <c r="M28" i="12"/>
  <c r="D26" i="12"/>
  <c r="E26" i="12"/>
  <c r="Y25" i="12"/>
  <c r="X25" i="12"/>
  <c r="Y27" i="12"/>
  <c r="X27" i="12"/>
  <c r="N28" i="12"/>
  <c r="N27" i="12"/>
  <c r="W25" i="12"/>
  <c r="M26" i="12"/>
  <c r="E25" i="12"/>
  <c r="M27" i="12"/>
  <c r="D25" i="12"/>
  <c r="W27" i="12"/>
  <c r="N26" i="12"/>
  <c r="N25" i="12"/>
  <c r="M25" i="12"/>
  <c r="C6" i="4"/>
  <c r="AE25" i="17" l="1"/>
  <c r="J25" i="17"/>
  <c r="V25" i="17"/>
  <c r="U26" i="12"/>
  <c r="AH24" i="17"/>
  <c r="M25" i="17"/>
  <c r="AP20" i="17"/>
  <c r="AY20" i="17"/>
  <c r="T25" i="17"/>
  <c r="W25" i="17"/>
  <c r="W23" i="17" s="1"/>
  <c r="BA20" i="17"/>
  <c r="L25" i="17"/>
  <c r="L26" i="17" s="1"/>
  <c r="AG25" i="17"/>
  <c r="AD25" i="17"/>
  <c r="U25" i="17"/>
  <c r="K25" i="17"/>
  <c r="K26" i="17" s="1"/>
  <c r="N25" i="17"/>
  <c r="N26" i="17" s="1"/>
  <c r="X25" i="17"/>
  <c r="AF25" i="17"/>
  <c r="AH25" i="17"/>
  <c r="AN20" i="17"/>
  <c r="AM20" i="17"/>
  <c r="S21" i="17"/>
  <c r="AV21" i="17" s="1"/>
  <c r="T21" i="17"/>
  <c r="N21" i="17"/>
  <c r="U21" i="17"/>
  <c r="AO21" i="17" s="1"/>
  <c r="AO19" i="17"/>
  <c r="K24" i="17"/>
  <c r="K22" i="17" s="1"/>
  <c r="K35" i="17" s="1"/>
  <c r="K32" i="17"/>
  <c r="K41" i="17" s="1"/>
  <c r="K34" i="17"/>
  <c r="AE34" i="17"/>
  <c r="X21" i="17"/>
  <c r="AE21" i="17"/>
  <c r="S19" i="17"/>
  <c r="S25" i="17" s="1"/>
  <c r="AG32" i="17"/>
  <c r="AG41" i="17" s="1"/>
  <c r="AG34" i="17"/>
  <c r="AG24" i="17"/>
  <c r="AD34" i="17"/>
  <c r="AR20" i="17"/>
  <c r="L28" i="12"/>
  <c r="AZ21" i="17"/>
  <c r="AC19" i="17"/>
  <c r="AC25" i="17" s="1"/>
  <c r="U32" i="17"/>
  <c r="AX19" i="17"/>
  <c r="U34" i="17"/>
  <c r="U24" i="17"/>
  <c r="AX20" i="17"/>
  <c r="V21" i="17"/>
  <c r="AY21" i="17" s="1"/>
  <c r="AD21" i="17"/>
  <c r="J26" i="17"/>
  <c r="J32" i="17"/>
  <c r="J41" i="17" s="1"/>
  <c r="AN19" i="17"/>
  <c r="J34" i="17"/>
  <c r="J24" i="17"/>
  <c r="X32" i="17"/>
  <c r="X41" i="17" s="1"/>
  <c r="X34" i="17"/>
  <c r="BA19" i="17"/>
  <c r="X24" i="17"/>
  <c r="N32" i="17"/>
  <c r="N41" i="17" s="1"/>
  <c r="AR19" i="17"/>
  <c r="N34" i="17"/>
  <c r="N24" i="17"/>
  <c r="AQ20" i="17"/>
  <c r="AW19" i="17"/>
  <c r="T24" i="17"/>
  <c r="T32" i="17"/>
  <c r="T41" i="17" s="1"/>
  <c r="T34" i="17"/>
  <c r="I19" i="17"/>
  <c r="I25" i="17" s="1"/>
  <c r="AF32" i="17"/>
  <c r="AF41" i="17" s="1"/>
  <c r="AF24" i="17"/>
  <c r="AF34" i="17"/>
  <c r="AZ19" i="17"/>
  <c r="W34" i="17"/>
  <c r="W24" i="17"/>
  <c r="W32" i="17"/>
  <c r="V24" i="17"/>
  <c r="V34" i="17"/>
  <c r="AY19" i="17"/>
  <c r="V32" i="17"/>
  <c r="V41" i="17" s="1"/>
  <c r="AO20" i="17"/>
  <c r="I21" i="17"/>
  <c r="AE32" i="17"/>
  <c r="AE41" i="17" s="1"/>
  <c r="AE24" i="17"/>
  <c r="AH32" i="17"/>
  <c r="AH41" i="17" s="1"/>
  <c r="AH34" i="17"/>
  <c r="AD32" i="17"/>
  <c r="AD41" i="17" s="1"/>
  <c r="AD24" i="17"/>
  <c r="AW20" i="17"/>
  <c r="AV20" i="17"/>
  <c r="L34" i="17"/>
  <c r="L24" i="17"/>
  <c r="AP19" i="17"/>
  <c r="L32" i="17"/>
  <c r="L41" i="17" s="1"/>
  <c r="M34" i="17"/>
  <c r="M24" i="17"/>
  <c r="AQ19" i="17"/>
  <c r="M32" i="17"/>
  <c r="M41" i="17" s="1"/>
  <c r="L25" i="12"/>
  <c r="C27" i="12"/>
  <c r="C26" i="12"/>
  <c r="L26" i="12"/>
  <c r="L27" i="12"/>
  <c r="C28" i="12"/>
  <c r="AR9" i="12"/>
  <c r="AI13" i="12"/>
  <c r="AO10" i="12"/>
  <c r="AO11" i="12" s="1"/>
  <c r="AM15" i="12"/>
  <c r="AM16" i="12" s="1"/>
  <c r="AN25" i="12"/>
  <c r="AO5" i="12"/>
  <c r="AO6" i="12" s="1"/>
  <c r="AO20" i="12"/>
  <c r="AO21" i="12" s="1"/>
  <c r="AM20" i="12"/>
  <c r="AM21" i="12" s="1"/>
  <c r="AM10" i="12"/>
  <c r="AM11" i="12" s="1"/>
  <c r="AP15" i="12"/>
  <c r="AP16" i="12" s="1"/>
  <c r="AP5" i="12"/>
  <c r="AP6" i="12" s="1"/>
  <c r="AP20" i="12"/>
  <c r="AP21" i="12" s="1"/>
  <c r="G28" i="12"/>
  <c r="F28" i="12"/>
  <c r="D28" i="12"/>
  <c r="E28" i="12"/>
  <c r="X28" i="12"/>
  <c r="Y28" i="12"/>
  <c r="W28" i="12"/>
  <c r="V27" i="12"/>
  <c r="AF11" i="12"/>
  <c r="AF12" i="12" s="1"/>
  <c r="V25" i="12"/>
  <c r="V28" i="12"/>
  <c r="AO25" i="12"/>
  <c r="AR20" i="12"/>
  <c r="AR21" i="12" s="1"/>
  <c r="AR15" i="12"/>
  <c r="AR16" i="12" s="1"/>
  <c r="AR5" i="12"/>
  <c r="AR6" i="12" s="1"/>
  <c r="AI11" i="12"/>
  <c r="AI12" i="12" s="1"/>
  <c r="AR14" i="12"/>
  <c r="AR19" i="12"/>
  <c r="AR4" i="12"/>
  <c r="AR8" i="12"/>
  <c r="AR12" i="12" s="1"/>
  <c r="AN15" i="12"/>
  <c r="AN16" i="12" s="1"/>
  <c r="AN20" i="12"/>
  <c r="AN21" i="12" s="1"/>
  <c r="AN10" i="12"/>
  <c r="AN11" i="12" s="1"/>
  <c r="AM25" i="12"/>
  <c r="AR3" i="12"/>
  <c r="AR7" i="12" s="1"/>
  <c r="AI14" i="12"/>
  <c r="AR18" i="12"/>
  <c r="AR22" i="12" s="1"/>
  <c r="AR13" i="12"/>
  <c r="AR17" i="12" s="1"/>
  <c r="AG11" i="12"/>
  <c r="AG12" i="12" s="1"/>
  <c r="AP25" i="12"/>
  <c r="AV25" i="17" l="1"/>
  <c r="AP34" i="17"/>
  <c r="AQ34" i="17"/>
  <c r="AN34" i="17"/>
  <c r="AR34" i="17"/>
  <c r="AP41" i="17"/>
  <c r="AX24" i="17"/>
  <c r="AR41" i="17"/>
  <c r="AX25" i="17"/>
  <c r="AW24" i="17"/>
  <c r="AF22" i="17"/>
  <c r="AF35" i="17" s="1"/>
  <c r="AF37" i="17" s="1"/>
  <c r="AF39" i="17" s="1"/>
  <c r="AF42" i="17" s="1"/>
  <c r="AY24" i="17"/>
  <c r="AO34" i="17"/>
  <c r="AW25" i="17"/>
  <c r="AZ24" i="17"/>
  <c r="AZ25" i="17"/>
  <c r="AH22" i="17"/>
  <c r="AH35" i="17" s="1"/>
  <c r="AH37" i="17" s="1"/>
  <c r="AH39" i="17" s="1"/>
  <c r="AH42" i="17" s="1"/>
  <c r="AH49" i="17" s="1"/>
  <c r="BA24" i="17"/>
  <c r="AH23" i="17"/>
  <c r="AH36" i="17" s="1"/>
  <c r="AH38" i="17" s="1"/>
  <c r="AH40" i="17" s="1"/>
  <c r="AH43" i="17" s="1"/>
  <c r="AH50" i="17" s="1"/>
  <c r="BA25" i="17"/>
  <c r="AN41" i="17"/>
  <c r="AF26" i="17"/>
  <c r="AY25" i="17"/>
  <c r="AX34" i="17"/>
  <c r="AH27" i="17"/>
  <c r="AP21" i="17"/>
  <c r="AF23" i="17"/>
  <c r="AF36" i="17" s="1"/>
  <c r="AF38" i="17" s="1"/>
  <c r="AF40" i="17" s="1"/>
  <c r="AF43" i="17" s="1"/>
  <c r="AY41" i="17"/>
  <c r="AW41" i="17"/>
  <c r="BA34" i="17"/>
  <c r="U26" i="17"/>
  <c r="AO26" i="17" s="1"/>
  <c r="AO25" i="17"/>
  <c r="AX21" i="17"/>
  <c r="AE23" i="17"/>
  <c r="AE36" i="17" s="1"/>
  <c r="AE38" i="17" s="1"/>
  <c r="AE40" i="17" s="1"/>
  <c r="AE43" i="17" s="1"/>
  <c r="AE50" i="17" s="1"/>
  <c r="AE22" i="17"/>
  <c r="L27" i="17"/>
  <c r="L31" i="17"/>
  <c r="L28" i="17"/>
  <c r="L29" i="17"/>
  <c r="AE29" i="17"/>
  <c r="AE31" i="17"/>
  <c r="AE28" i="17"/>
  <c r="AE27" i="17"/>
  <c r="AQ25" i="17"/>
  <c r="W26" i="17"/>
  <c r="AW34" i="17"/>
  <c r="J29" i="17"/>
  <c r="J27" i="17"/>
  <c r="J31" i="17"/>
  <c r="J28" i="17"/>
  <c r="M31" i="17"/>
  <c r="M29" i="17"/>
  <c r="M27" i="17"/>
  <c r="M28" i="17"/>
  <c r="M22" i="17"/>
  <c r="M35" i="17" s="1"/>
  <c r="AN24" i="17"/>
  <c r="T27" i="17"/>
  <c r="T31" i="17"/>
  <c r="T28" i="17"/>
  <c r="T29" i="17"/>
  <c r="X22" i="17"/>
  <c r="X31" i="17"/>
  <c r="X27" i="17"/>
  <c r="AR24" i="17"/>
  <c r="X28" i="17"/>
  <c r="X29" i="17"/>
  <c r="AO32" i="17"/>
  <c r="AX32" i="17"/>
  <c r="AG29" i="17"/>
  <c r="AG31" i="17"/>
  <c r="AG28" i="17"/>
  <c r="AG27" i="17"/>
  <c r="X23" i="17"/>
  <c r="K27" i="17"/>
  <c r="K28" i="17"/>
  <c r="K29" i="17"/>
  <c r="K31" i="17"/>
  <c r="AE26" i="17"/>
  <c r="AP32" i="17"/>
  <c r="AY32" i="17"/>
  <c r="AN32" i="17"/>
  <c r="AW32" i="17"/>
  <c r="V23" i="17"/>
  <c r="V22" i="17"/>
  <c r="BA41" i="17"/>
  <c r="K37" i="17"/>
  <c r="K23" i="17"/>
  <c r="K36" i="17" s="1"/>
  <c r="AD27" i="17"/>
  <c r="AD29" i="17"/>
  <c r="AD31" i="17"/>
  <c r="AD28" i="17"/>
  <c r="V26" i="17"/>
  <c r="AP25" i="17"/>
  <c r="AY34" i="17"/>
  <c r="AH29" i="17"/>
  <c r="AC24" i="17"/>
  <c r="AC26" i="17"/>
  <c r="AC32" i="17"/>
  <c r="AC41" i="17" s="1"/>
  <c r="AC34" i="17"/>
  <c r="AZ34" i="17"/>
  <c r="J23" i="17"/>
  <c r="J36" i="17" s="1"/>
  <c r="W27" i="17"/>
  <c r="W29" i="17"/>
  <c r="W31" i="17"/>
  <c r="W28" i="17"/>
  <c r="AQ24" i="17"/>
  <c r="AD26" i="17"/>
  <c r="M26" i="17"/>
  <c r="M23" i="17"/>
  <c r="M36" i="17" s="1"/>
  <c r="AM21" i="17"/>
  <c r="AF31" i="17"/>
  <c r="AF29" i="17"/>
  <c r="AF28" i="17"/>
  <c r="AF27" i="17"/>
  <c r="AH31" i="17"/>
  <c r="AG22" i="17"/>
  <c r="AG35" i="17" s="1"/>
  <c r="AG37" i="17" s="1"/>
  <c r="AG39" i="17" s="1"/>
  <c r="AG42" i="17" s="1"/>
  <c r="AG45" i="17" s="1"/>
  <c r="AG26" i="17"/>
  <c r="J22" i="17"/>
  <c r="J35" i="17" s="1"/>
  <c r="U41" i="17"/>
  <c r="AX41" i="17" s="1"/>
  <c r="W22" i="17"/>
  <c r="AW21" i="17"/>
  <c r="AD23" i="17"/>
  <c r="AD36" i="17" s="1"/>
  <c r="AD38" i="17" s="1"/>
  <c r="AD40" i="17" s="1"/>
  <c r="AD43" i="17" s="1"/>
  <c r="AD46" i="17" s="1"/>
  <c r="AD22" i="17"/>
  <c r="AD35" i="17" s="1"/>
  <c r="AD37" i="17" s="1"/>
  <c r="AD39" i="17" s="1"/>
  <c r="AD42" i="17" s="1"/>
  <c r="T23" i="17"/>
  <c r="T22" i="17"/>
  <c r="L23" i="17"/>
  <c r="L36" i="17" s="1"/>
  <c r="AP24" i="17"/>
  <c r="V29" i="17"/>
  <c r="V31" i="17"/>
  <c r="V27" i="17"/>
  <c r="V28" i="17"/>
  <c r="N27" i="17"/>
  <c r="N29" i="17"/>
  <c r="N28" i="17"/>
  <c r="N31" i="17"/>
  <c r="X26" i="17"/>
  <c r="AR26" i="17" s="1"/>
  <c r="AR25" i="17"/>
  <c r="AG23" i="17"/>
  <c r="AG36" i="17" s="1"/>
  <c r="AG38" i="17" s="1"/>
  <c r="AG40" i="17" s="1"/>
  <c r="AG43" i="17" s="1"/>
  <c r="AN21" i="17"/>
  <c r="U23" i="17"/>
  <c r="AN25" i="17"/>
  <c r="T26" i="17"/>
  <c r="AN26" i="17" s="1"/>
  <c r="W36" i="17"/>
  <c r="L22" i="17"/>
  <c r="L35" i="17" s="1"/>
  <c r="AH28" i="17"/>
  <c r="AH26" i="17"/>
  <c r="AZ32" i="17"/>
  <c r="AQ32" i="17"/>
  <c r="W41" i="17"/>
  <c r="AZ41" i="17" s="1"/>
  <c r="I32" i="17"/>
  <c r="I41" i="17" s="1"/>
  <c r="I26" i="17"/>
  <c r="I34" i="17"/>
  <c r="AM19" i="17"/>
  <c r="I24" i="17"/>
  <c r="I22" i="17" s="1"/>
  <c r="I35" i="17" s="1"/>
  <c r="BA32" i="17"/>
  <c r="AR32" i="17"/>
  <c r="U22" i="17"/>
  <c r="U31" i="17"/>
  <c r="U27" i="17"/>
  <c r="U28" i="17"/>
  <c r="U29" i="17"/>
  <c r="AO24" i="17"/>
  <c r="AV19" i="17"/>
  <c r="S34" i="17"/>
  <c r="S32" i="17"/>
  <c r="AR21" i="17"/>
  <c r="N23" i="17"/>
  <c r="N36" i="17" s="1"/>
  <c r="N22" i="17"/>
  <c r="N35" i="17" s="1"/>
  <c r="BA21" i="17"/>
  <c r="AM3" i="12"/>
  <c r="AM7" i="12" s="1"/>
  <c r="AR27" i="12"/>
  <c r="AN14" i="12"/>
  <c r="AP9" i="12"/>
  <c r="AM14" i="12"/>
  <c r="AD13" i="12"/>
  <c r="AD15" i="12" s="1"/>
  <c r="AD16" i="12" s="1"/>
  <c r="AG13" i="12"/>
  <c r="AH13" i="12"/>
  <c r="AH15" i="12" s="1"/>
  <c r="AH16" i="12" s="1"/>
  <c r="AF13" i="12"/>
  <c r="AF15" i="12" s="1"/>
  <c r="AF16" i="12" s="1"/>
  <c r="AE13" i="12"/>
  <c r="AE15" i="12" s="1"/>
  <c r="AE16" i="12" s="1"/>
  <c r="AQ4" i="12"/>
  <c r="AN8" i="12"/>
  <c r="AN12" i="12" s="1"/>
  <c r="AO18" i="12"/>
  <c r="AO22" i="12" s="1"/>
  <c r="AQ8" i="12"/>
  <c r="AQ12" i="12" s="1"/>
  <c r="AP3" i="12"/>
  <c r="AP7" i="12" s="1"/>
  <c r="AQ18" i="12"/>
  <c r="AQ22" i="12" s="1"/>
  <c r="AQ3" i="12"/>
  <c r="AQ7" i="12" s="1"/>
  <c r="AQ13" i="12"/>
  <c r="AQ17" i="12" s="1"/>
  <c r="AM13" i="12"/>
  <c r="AM17" i="12" s="1"/>
  <c r="AM18" i="12"/>
  <c r="AM22" i="12" s="1"/>
  <c r="AM8" i="12"/>
  <c r="AM12" i="12" s="1"/>
  <c r="AP13" i="12"/>
  <c r="AP17" i="12" s="1"/>
  <c r="AP18" i="12"/>
  <c r="AP22" i="12" s="1"/>
  <c r="AP8" i="12"/>
  <c r="AP12" i="12" s="1"/>
  <c r="AO13" i="12"/>
  <c r="AO17" i="12" s="1"/>
  <c r="AN13" i="12"/>
  <c r="AN17" i="12" s="1"/>
  <c r="AN28" i="12" s="1"/>
  <c r="AN3" i="12"/>
  <c r="AN7" i="12" s="1"/>
  <c r="AN18" i="12"/>
  <c r="AN22" i="12" s="1"/>
  <c r="AD14" i="12"/>
  <c r="AO3" i="12"/>
  <c r="AO7" i="12" s="1"/>
  <c r="AF14" i="12"/>
  <c r="AO8" i="12"/>
  <c r="AO12" i="12" s="1"/>
  <c r="AP14" i="12"/>
  <c r="AQ9" i="12"/>
  <c r="AO4" i="12"/>
  <c r="AM4" i="12"/>
  <c r="AO19" i="12"/>
  <c r="AO9" i="12"/>
  <c r="AQ19" i="12"/>
  <c r="AQ14" i="12"/>
  <c r="AH14" i="12"/>
  <c r="AM19" i="12"/>
  <c r="AM9" i="12"/>
  <c r="AO14" i="12"/>
  <c r="AG14" i="12"/>
  <c r="AP19" i="12"/>
  <c r="AP4" i="12"/>
  <c r="AE14" i="12"/>
  <c r="AN9" i="12"/>
  <c r="AN4" i="12"/>
  <c r="AN19" i="12"/>
  <c r="AI15" i="12"/>
  <c r="AI16" i="12" s="1"/>
  <c r="AI17" i="12" s="1"/>
  <c r="AR29" i="12"/>
  <c r="AR26" i="12"/>
  <c r="AR28" i="12"/>
  <c r="AQ27" i="17" l="1"/>
  <c r="AO41" i="17"/>
  <c r="I37" i="17"/>
  <c r="I39" i="17" s="1"/>
  <c r="AM34" i="17"/>
  <c r="AQ36" i="17"/>
  <c r="AQ41" i="17"/>
  <c r="AH48" i="17"/>
  <c r="AH52" i="17"/>
  <c r="AH46" i="17"/>
  <c r="AE48" i="17"/>
  <c r="AE52" i="17"/>
  <c r="AF50" i="17"/>
  <c r="AF52" i="17"/>
  <c r="AF48" i="17"/>
  <c r="AF46" i="17"/>
  <c r="AQ31" i="17"/>
  <c r="AX26" i="17"/>
  <c r="AV34" i="17"/>
  <c r="AZ26" i="17"/>
  <c r="AP28" i="17"/>
  <c r="L30" i="17"/>
  <c r="AG49" i="17"/>
  <c r="AG51" i="17"/>
  <c r="AG55" i="17"/>
  <c r="AG63" i="17" s="1"/>
  <c r="AO28" i="17"/>
  <c r="AN31" i="17"/>
  <c r="AO27" i="17"/>
  <c r="AG47" i="17"/>
  <c r="AN27" i="17"/>
  <c r="AQ23" i="17"/>
  <c r="AQ28" i="17"/>
  <c r="K30" i="17"/>
  <c r="AH53" i="17"/>
  <c r="AH61" i="17" s="1"/>
  <c r="AG56" i="17"/>
  <c r="AG64" i="17" s="1"/>
  <c r="AH57" i="17"/>
  <c r="AG60" i="17"/>
  <c r="AG68" i="17" s="1"/>
  <c r="AO31" i="17"/>
  <c r="AH47" i="17"/>
  <c r="AE46" i="17"/>
  <c r="AH51" i="17"/>
  <c r="AZ28" i="17"/>
  <c r="AW28" i="17"/>
  <c r="AZ31" i="17"/>
  <c r="BA31" i="17"/>
  <c r="AH55" i="17"/>
  <c r="AH63" i="17" s="1"/>
  <c r="AH56" i="17"/>
  <c r="AH64" i="17" s="1"/>
  <c r="AH59" i="17"/>
  <c r="AD52" i="17"/>
  <c r="AH45" i="17"/>
  <c r="AH60" i="17"/>
  <c r="AH68" i="17" s="1"/>
  <c r="AH54" i="17"/>
  <c r="AH62" i="17" s="1"/>
  <c r="AD48" i="17"/>
  <c r="AH58" i="17"/>
  <c r="AH66" i="17" s="1"/>
  <c r="AG58" i="17"/>
  <c r="AG66" i="17" s="1"/>
  <c r="AD50" i="17"/>
  <c r="L37" i="17"/>
  <c r="T35" i="17"/>
  <c r="AN35" i="17" s="1"/>
  <c r="AN22" i="17"/>
  <c r="AW22" i="17"/>
  <c r="W38" i="17"/>
  <c r="AZ36" i="17"/>
  <c r="AN23" i="17"/>
  <c r="T36" i="17"/>
  <c r="AN36" i="17" s="1"/>
  <c r="AW23" i="17"/>
  <c r="AC27" i="17"/>
  <c r="AC28" i="17"/>
  <c r="AC31" i="17"/>
  <c r="AC29" i="17"/>
  <c r="AC22" i="17"/>
  <c r="AC35" i="17" s="1"/>
  <c r="AC37" i="17" s="1"/>
  <c r="AW29" i="17"/>
  <c r="AD30" i="17"/>
  <c r="V35" i="17"/>
  <c r="AP35" i="17" s="1"/>
  <c r="AP22" i="17"/>
  <c r="AY22" i="17"/>
  <c r="AZ29" i="17"/>
  <c r="AG30" i="17"/>
  <c r="AX28" i="17"/>
  <c r="N38" i="17"/>
  <c r="I23" i="17"/>
  <c r="I36" i="17" s="1"/>
  <c r="AV32" i="17"/>
  <c r="AM32" i="17"/>
  <c r="S41" i="17"/>
  <c r="AV41" i="17" s="1"/>
  <c r="U35" i="17"/>
  <c r="AO35" i="17" s="1"/>
  <c r="AO22" i="17"/>
  <c r="AP27" i="17"/>
  <c r="W30" i="17"/>
  <c r="AQ29" i="17"/>
  <c r="AH30" i="17"/>
  <c r="AW27" i="17"/>
  <c r="AY23" i="17"/>
  <c r="AP23" i="17"/>
  <c r="V36" i="17"/>
  <c r="AP36" i="17" s="1"/>
  <c r="BA27" i="17"/>
  <c r="AR27" i="17"/>
  <c r="M37" i="17"/>
  <c r="J30" i="17"/>
  <c r="AX31" i="17"/>
  <c r="AX22" i="17"/>
  <c r="AE35" i="17"/>
  <c r="AZ23" i="17"/>
  <c r="AY31" i="17"/>
  <c r="AP31" i="17"/>
  <c r="M38" i="17"/>
  <c r="AR31" i="17"/>
  <c r="AX29" i="17"/>
  <c r="AE30" i="17"/>
  <c r="J37" i="17"/>
  <c r="AG46" i="17"/>
  <c r="AG53" i="17"/>
  <c r="AG61" i="17" s="1"/>
  <c r="AG48" i="17"/>
  <c r="AP29" i="17"/>
  <c r="V30" i="17"/>
  <c r="AY27" i="17"/>
  <c r="J38" i="17"/>
  <c r="K38" i="17"/>
  <c r="X35" i="17"/>
  <c r="AR35" i="17" s="1"/>
  <c r="BA22" i="17"/>
  <c r="AR22" i="17"/>
  <c r="N37" i="17"/>
  <c r="AG59" i="17"/>
  <c r="AG50" i="17"/>
  <c r="AG57" i="17"/>
  <c r="AG52" i="17"/>
  <c r="I29" i="17"/>
  <c r="I27" i="17"/>
  <c r="I31" i="17"/>
  <c r="I28" i="17"/>
  <c r="BA26" i="17"/>
  <c r="W35" i="17"/>
  <c r="AQ35" i="17" s="1"/>
  <c r="AQ22" i="17"/>
  <c r="AZ22" i="17"/>
  <c r="AY28" i="17"/>
  <c r="AW26" i="17"/>
  <c r="AR23" i="17"/>
  <c r="X36" i="17"/>
  <c r="AR36" i="17" s="1"/>
  <c r="BA23" i="17"/>
  <c r="T30" i="17"/>
  <c r="AN29" i="17"/>
  <c r="M30" i="17"/>
  <c r="K39" i="17"/>
  <c r="AR28" i="17"/>
  <c r="BA28" i="17"/>
  <c r="AW31" i="17"/>
  <c r="AX27" i="17"/>
  <c r="AG54" i="17"/>
  <c r="AG62" i="17" s="1"/>
  <c r="U30" i="17"/>
  <c r="AO29" i="17"/>
  <c r="U36" i="17"/>
  <c r="AO36" i="17" s="1"/>
  <c r="AO23" i="17"/>
  <c r="AX23" i="17"/>
  <c r="N30" i="17"/>
  <c r="L38" i="17"/>
  <c r="AY29" i="17"/>
  <c r="AF30" i="17"/>
  <c r="AP26" i="17"/>
  <c r="AY26" i="17"/>
  <c r="AZ27" i="17"/>
  <c r="X30" i="17"/>
  <c r="AR29" i="17"/>
  <c r="BA29" i="17"/>
  <c r="AN28" i="17"/>
  <c r="AQ26" i="17"/>
  <c r="AD58" i="17"/>
  <c r="AD66" i="17" s="1"/>
  <c r="AD54" i="17"/>
  <c r="AD62" i="17" s="1"/>
  <c r="AD59" i="17"/>
  <c r="AD55" i="17"/>
  <c r="AD63" i="17" s="1"/>
  <c r="AD51" i="17"/>
  <c r="AD47" i="17"/>
  <c r="AD60" i="17"/>
  <c r="AD68" i="17" s="1"/>
  <c r="AD56" i="17"/>
  <c r="AD64" i="17" s="1"/>
  <c r="AD57" i="17"/>
  <c r="AD53" i="17"/>
  <c r="AD61" i="17" s="1"/>
  <c r="AD49" i="17"/>
  <c r="AD45" i="17"/>
  <c r="AF59" i="17"/>
  <c r="AF55" i="17"/>
  <c r="AF63" i="17" s="1"/>
  <c r="AF51" i="17"/>
  <c r="AF47" i="17"/>
  <c r="AF60" i="17"/>
  <c r="AF68" i="17" s="1"/>
  <c r="AF56" i="17"/>
  <c r="AF64" i="17" s="1"/>
  <c r="AF57" i="17"/>
  <c r="AF53" i="17"/>
  <c r="AF61" i="17" s="1"/>
  <c r="AF49" i="17"/>
  <c r="AF45" i="17"/>
  <c r="AF58" i="17"/>
  <c r="AF66" i="17" s="1"/>
  <c r="AF54" i="17"/>
  <c r="AF62" i="17" s="1"/>
  <c r="AO29" i="12"/>
  <c r="S24" i="17"/>
  <c r="AV24" i="17" s="1"/>
  <c r="AM28" i="12"/>
  <c r="AG15" i="12"/>
  <c r="AG16" i="12" s="1"/>
  <c r="AG17" i="12" s="1"/>
  <c r="AQ27" i="12"/>
  <c r="AP26" i="12"/>
  <c r="AH17" i="12"/>
  <c r="AQ26" i="12"/>
  <c r="AQ29" i="12"/>
  <c r="AQ28" i="12"/>
  <c r="AM29" i="12"/>
  <c r="AD17" i="12"/>
  <c r="AP28" i="12"/>
  <c r="AP27" i="12"/>
  <c r="AP29" i="12"/>
  <c r="AE17" i="12"/>
  <c r="AF17" i="12"/>
  <c r="AO26" i="12"/>
  <c r="AM26" i="12"/>
  <c r="AO27" i="12"/>
  <c r="AO28" i="12"/>
  <c r="AM27" i="12"/>
  <c r="AN26" i="12"/>
  <c r="AN29" i="12"/>
  <c r="AN27" i="12"/>
  <c r="AP30" i="17" l="1"/>
  <c r="AQ38" i="17"/>
  <c r="I42" i="17"/>
  <c r="I38" i="17"/>
  <c r="AM41" i="17"/>
  <c r="AO30" i="17"/>
  <c r="AZ30" i="17"/>
  <c r="AG67" i="17"/>
  <c r="AC30" i="17"/>
  <c r="AH67" i="17"/>
  <c r="AX30" i="17"/>
  <c r="AG65" i="17"/>
  <c r="AH65" i="17"/>
  <c r="L40" i="17"/>
  <c r="AN30" i="17"/>
  <c r="AZ35" i="17"/>
  <c r="W37" i="17"/>
  <c r="AQ37" i="17" s="1"/>
  <c r="K40" i="17"/>
  <c r="M40" i="17"/>
  <c r="AZ38" i="17"/>
  <c r="W40" i="17"/>
  <c r="BA30" i="17"/>
  <c r="AR30" i="17"/>
  <c r="M39" i="17"/>
  <c r="N39" i="17"/>
  <c r="AQ30" i="17"/>
  <c r="V37" i="17"/>
  <c r="AP37" i="17" s="1"/>
  <c r="AY35" i="17"/>
  <c r="U38" i="17"/>
  <c r="AO38" i="17" s="1"/>
  <c r="AX36" i="17"/>
  <c r="AX35" i="17"/>
  <c r="AE37" i="17"/>
  <c r="N40" i="17"/>
  <c r="AW30" i="17"/>
  <c r="AW35" i="17"/>
  <c r="T37" i="17"/>
  <c r="AN37" i="17" s="1"/>
  <c r="AY30" i="17"/>
  <c r="K42" i="17"/>
  <c r="I30" i="17"/>
  <c r="AY36" i="17"/>
  <c r="V38" i="17"/>
  <c r="AP38" i="17" s="1"/>
  <c r="T38" i="17"/>
  <c r="AN38" i="17" s="1"/>
  <c r="AW36" i="17"/>
  <c r="BA36" i="17"/>
  <c r="X38" i="17"/>
  <c r="AR38" i="17" s="1"/>
  <c r="J40" i="17"/>
  <c r="J39" i="17"/>
  <c r="BA35" i="17"/>
  <c r="X37" i="17"/>
  <c r="AR37" i="17" s="1"/>
  <c r="U37" i="17"/>
  <c r="AO37" i="17" s="1"/>
  <c r="L39" i="17"/>
  <c r="AM25" i="17"/>
  <c r="AM24" i="17"/>
  <c r="S26" i="17"/>
  <c r="AD65" i="17"/>
  <c r="S22" i="17"/>
  <c r="S31" i="17"/>
  <c r="S29" i="17"/>
  <c r="S27" i="17"/>
  <c r="S28" i="17"/>
  <c r="AF65" i="17"/>
  <c r="AD67" i="17"/>
  <c r="AF67" i="17"/>
  <c r="S23" i="17"/>
  <c r="AQ40" i="17" l="1"/>
  <c r="I40" i="17"/>
  <c r="J42" i="17"/>
  <c r="AY38" i="17"/>
  <c r="V40" i="17"/>
  <c r="AP40" i="17" s="1"/>
  <c r="K43" i="17"/>
  <c r="AY37" i="17"/>
  <c r="V39" i="17"/>
  <c r="AP39" i="17" s="1"/>
  <c r="AZ37" i="17"/>
  <c r="W39" i="17"/>
  <c r="AQ39" i="17" s="1"/>
  <c r="L42" i="17"/>
  <c r="J43" i="17"/>
  <c r="N43" i="17"/>
  <c r="AZ40" i="17"/>
  <c r="W43" i="17"/>
  <c r="U40" i="17"/>
  <c r="AO40" i="17" s="1"/>
  <c r="AX38" i="17"/>
  <c r="X40" i="17"/>
  <c r="AR40" i="17" s="1"/>
  <c r="BA38" i="17"/>
  <c r="AX37" i="17"/>
  <c r="AE39" i="17"/>
  <c r="N42" i="17"/>
  <c r="AW37" i="17"/>
  <c r="T39" i="17"/>
  <c r="AN39" i="17" s="1"/>
  <c r="M43" i="17"/>
  <c r="U39" i="17"/>
  <c r="AO39" i="17" s="1"/>
  <c r="K51" i="17"/>
  <c r="K45" i="17"/>
  <c r="K49" i="17"/>
  <c r="K47" i="17"/>
  <c r="AW38" i="17"/>
  <c r="T40" i="17"/>
  <c r="AN40" i="17" s="1"/>
  <c r="M42" i="17"/>
  <c r="BA37" i="17"/>
  <c r="X39" i="17"/>
  <c r="AR39" i="17" s="1"/>
  <c r="L43" i="17"/>
  <c r="AM23" i="17"/>
  <c r="AV28" i="17"/>
  <c r="AM28" i="17"/>
  <c r="AV26" i="17"/>
  <c r="AM26" i="17"/>
  <c r="AV27" i="17"/>
  <c r="AM27" i="17"/>
  <c r="AV29" i="17"/>
  <c r="AM29" i="17"/>
  <c r="AV31" i="17"/>
  <c r="AM31" i="17"/>
  <c r="AV22" i="17"/>
  <c r="AM22" i="17"/>
  <c r="S36" i="17"/>
  <c r="AM36" i="17" s="1"/>
  <c r="S35" i="17"/>
  <c r="S30" i="17"/>
  <c r="I43" i="17" l="1"/>
  <c r="AV35" i="17"/>
  <c r="AM35" i="17"/>
  <c r="K60" i="17"/>
  <c r="K68" i="17" s="1"/>
  <c r="AQ43" i="17"/>
  <c r="K53" i="17"/>
  <c r="K61" i="17" s="1"/>
  <c r="K59" i="17"/>
  <c r="K58" i="17"/>
  <c r="K66" i="17" s="1"/>
  <c r="K55" i="17"/>
  <c r="K63" i="17" s="1"/>
  <c r="K56" i="17"/>
  <c r="K64" i="17" s="1"/>
  <c r="K54" i="17"/>
  <c r="K62" i="17" s="1"/>
  <c r="AY39" i="17"/>
  <c r="V42" i="17"/>
  <c r="AP42" i="17" s="1"/>
  <c r="U42" i="17"/>
  <c r="AO42" i="17" s="1"/>
  <c r="L52" i="17"/>
  <c r="L50" i="17"/>
  <c r="L48" i="17"/>
  <c r="L46" i="17"/>
  <c r="N46" i="17"/>
  <c r="N48" i="17"/>
  <c r="N52" i="17"/>
  <c r="N50" i="17"/>
  <c r="BA39" i="17"/>
  <c r="X42" i="17"/>
  <c r="AR42" i="17" s="1"/>
  <c r="M46" i="17"/>
  <c r="M52" i="17"/>
  <c r="M50" i="17"/>
  <c r="M48" i="17"/>
  <c r="X43" i="17"/>
  <c r="AR43" i="17" s="1"/>
  <c r="BA40" i="17"/>
  <c r="J50" i="17"/>
  <c r="J48" i="17"/>
  <c r="J46" i="17"/>
  <c r="J52" i="17"/>
  <c r="K50" i="17"/>
  <c r="K52" i="17"/>
  <c r="K48" i="17"/>
  <c r="K46" i="17"/>
  <c r="AX39" i="17"/>
  <c r="AE42" i="17"/>
  <c r="K57" i="17"/>
  <c r="T42" i="17"/>
  <c r="AN42" i="17" s="1"/>
  <c r="AW39" i="17"/>
  <c r="AY40" i="17"/>
  <c r="V43" i="17"/>
  <c r="AP43" i="17" s="1"/>
  <c r="U43" i="17"/>
  <c r="AO43" i="17" s="1"/>
  <c r="AX40" i="17"/>
  <c r="L55" i="17"/>
  <c r="L45" i="17"/>
  <c r="L56" i="17"/>
  <c r="L51" i="17"/>
  <c r="L58" i="17"/>
  <c r="L47" i="17"/>
  <c r="L54" i="17"/>
  <c r="L49" i="17"/>
  <c r="L60" i="17"/>
  <c r="L59" i="17"/>
  <c r="L57" i="17"/>
  <c r="L53" i="17"/>
  <c r="M49" i="17"/>
  <c r="M57" i="17"/>
  <c r="M53" i="17"/>
  <c r="M59" i="17"/>
  <c r="M45" i="17"/>
  <c r="M51" i="17"/>
  <c r="M55" i="17"/>
  <c r="M47" i="17"/>
  <c r="M58" i="17"/>
  <c r="M60" i="17"/>
  <c r="M56" i="17"/>
  <c r="M54" i="17"/>
  <c r="N53" i="17"/>
  <c r="N47" i="17"/>
  <c r="N55" i="17"/>
  <c r="N57" i="17"/>
  <c r="N51" i="17"/>
  <c r="N49" i="17"/>
  <c r="N59" i="17"/>
  <c r="N45" i="17"/>
  <c r="N58" i="17"/>
  <c r="N60" i="17"/>
  <c r="N54" i="17"/>
  <c r="N56" i="17"/>
  <c r="AZ43" i="17"/>
  <c r="W50" i="17"/>
  <c r="AZ50" i="17" s="1"/>
  <c r="W46" i="17"/>
  <c r="AZ46" i="17" s="1"/>
  <c r="W48" i="17"/>
  <c r="AZ48" i="17" s="1"/>
  <c r="W52" i="17"/>
  <c r="AZ52" i="17" s="1"/>
  <c r="AZ39" i="17"/>
  <c r="W42" i="17"/>
  <c r="AQ42" i="17" s="1"/>
  <c r="T43" i="17"/>
  <c r="AN43" i="17" s="1"/>
  <c r="AW40" i="17"/>
  <c r="J54" i="17"/>
  <c r="J53" i="17"/>
  <c r="J59" i="17"/>
  <c r="J49" i="17"/>
  <c r="J47" i="17"/>
  <c r="J55" i="17"/>
  <c r="J45" i="17"/>
  <c r="J51" i="17"/>
  <c r="J60" i="17"/>
  <c r="J56" i="17"/>
  <c r="J58" i="17"/>
  <c r="J57" i="17"/>
  <c r="AV30" i="17"/>
  <c r="AM30" i="17"/>
  <c r="S37" i="17"/>
  <c r="S38" i="17"/>
  <c r="AM38" i="17" s="1"/>
  <c r="K67" i="17" l="1"/>
  <c r="AV37" i="17"/>
  <c r="AM37" i="17"/>
  <c r="AQ50" i="17"/>
  <c r="M64" i="17"/>
  <c r="K65" i="17"/>
  <c r="J65" i="17"/>
  <c r="N64" i="17"/>
  <c r="M68" i="17"/>
  <c r="M65" i="17"/>
  <c r="AX43" i="17"/>
  <c r="U48" i="17"/>
  <c r="AX48" i="17" s="1"/>
  <c r="U50" i="17"/>
  <c r="AX50" i="17" s="1"/>
  <c r="U52" i="17"/>
  <c r="AX52" i="17" s="1"/>
  <c r="U46" i="17"/>
  <c r="AX46" i="17" s="1"/>
  <c r="AQ48" i="17"/>
  <c r="L62" i="17"/>
  <c r="AZ42" i="17"/>
  <c r="W59" i="17"/>
  <c r="W54" i="17"/>
  <c r="W56" i="17"/>
  <c r="W45" i="17"/>
  <c r="AZ45" i="17" s="1"/>
  <c r="W60" i="17"/>
  <c r="AQ60" i="17" s="1"/>
  <c r="W53" i="17"/>
  <c r="AQ53" i="17" s="1"/>
  <c r="W55" i="17"/>
  <c r="AQ55" i="17" s="1"/>
  <c r="W49" i="17"/>
  <c r="AZ49" i="17" s="1"/>
  <c r="W58" i="17"/>
  <c r="AQ58" i="17" s="1"/>
  <c r="W51" i="17"/>
  <c r="AZ51" i="17" s="1"/>
  <c r="W57" i="17"/>
  <c r="W47" i="17"/>
  <c r="AZ47" i="17" s="1"/>
  <c r="J67" i="17"/>
  <c r="N68" i="17"/>
  <c r="N63" i="17"/>
  <c r="L61" i="17"/>
  <c r="L66" i="17"/>
  <c r="AY43" i="17"/>
  <c r="V46" i="17"/>
  <c r="AY46" i="17" s="1"/>
  <c r="V48" i="17"/>
  <c r="AY48" i="17" s="1"/>
  <c r="V52" i="17"/>
  <c r="AY52" i="17" s="1"/>
  <c r="V50" i="17"/>
  <c r="AY50" i="17" s="1"/>
  <c r="AQ52" i="17"/>
  <c r="U54" i="17"/>
  <c r="U55" i="17"/>
  <c r="U58" i="17"/>
  <c r="U51" i="17"/>
  <c r="U60" i="17"/>
  <c r="U59" i="17"/>
  <c r="U49" i="17"/>
  <c r="U56" i="17"/>
  <c r="U57" i="17"/>
  <c r="U47" i="17"/>
  <c r="U45" i="17"/>
  <c r="U53" i="17"/>
  <c r="J63" i="17"/>
  <c r="N62" i="17"/>
  <c r="J68" i="17"/>
  <c r="N66" i="17"/>
  <c r="M63" i="17"/>
  <c r="L65" i="17"/>
  <c r="AQ46" i="17"/>
  <c r="AY42" i="17"/>
  <c r="V49" i="17"/>
  <c r="AY49" i="17" s="1"/>
  <c r="V58" i="17"/>
  <c r="V45" i="17"/>
  <c r="AY45" i="17" s="1"/>
  <c r="V57" i="17"/>
  <c r="AP57" i="17" s="1"/>
  <c r="V47" i="17"/>
  <c r="AY47" i="17" s="1"/>
  <c r="V54" i="17"/>
  <c r="AP54" i="17" s="1"/>
  <c r="V55" i="17"/>
  <c r="AP55" i="17" s="1"/>
  <c r="V51" i="17"/>
  <c r="AY51" i="17" s="1"/>
  <c r="V60" i="17"/>
  <c r="AP60" i="17" s="1"/>
  <c r="V59" i="17"/>
  <c r="V53" i="17"/>
  <c r="V56" i="17"/>
  <c r="AP56" i="17" s="1"/>
  <c r="AW43" i="17"/>
  <c r="T48" i="17"/>
  <c r="AW48" i="17" s="1"/>
  <c r="T50" i="17"/>
  <c r="AW50" i="17" s="1"/>
  <c r="T52" i="17"/>
  <c r="AW52" i="17" s="1"/>
  <c r="T46" i="17"/>
  <c r="AW46" i="17" s="1"/>
  <c r="AX42" i="17"/>
  <c r="AE53" i="17"/>
  <c r="AE61" i="17" s="1"/>
  <c r="AE45" i="17"/>
  <c r="AE54" i="17"/>
  <c r="AE62" i="17" s="1"/>
  <c r="AE59" i="17"/>
  <c r="AE47" i="17"/>
  <c r="AE55" i="17"/>
  <c r="AE63" i="17" s="1"/>
  <c r="AE60" i="17"/>
  <c r="AE68" i="17" s="1"/>
  <c r="AE49" i="17"/>
  <c r="AE57" i="17"/>
  <c r="AE56" i="17"/>
  <c r="AE64" i="17" s="1"/>
  <c r="AE51" i="17"/>
  <c r="AE58" i="17"/>
  <c r="AE66" i="17" s="1"/>
  <c r="J62" i="17"/>
  <c r="N61" i="17"/>
  <c r="L67" i="17"/>
  <c r="L64" i="17"/>
  <c r="BA42" i="17"/>
  <c r="X59" i="17"/>
  <c r="AR59" i="17" s="1"/>
  <c r="X49" i="17"/>
  <c r="BA49" i="17" s="1"/>
  <c r="X47" i="17"/>
  <c r="BA47" i="17" s="1"/>
  <c r="X56" i="17"/>
  <c r="AR56" i="17" s="1"/>
  <c r="X55" i="17"/>
  <c r="AR55" i="17" s="1"/>
  <c r="X45" i="17"/>
  <c r="BA45" i="17" s="1"/>
  <c r="X58" i="17"/>
  <c r="AR58" i="17" s="1"/>
  <c r="X60" i="17"/>
  <c r="AR60" i="17" s="1"/>
  <c r="X53" i="17"/>
  <c r="X57" i="17"/>
  <c r="AR57" i="17" s="1"/>
  <c r="X54" i="17"/>
  <c r="AR54" i="17" s="1"/>
  <c r="X51" i="17"/>
  <c r="BA51" i="17" s="1"/>
  <c r="M61" i="17"/>
  <c r="N65" i="17"/>
  <c r="J64" i="17"/>
  <c r="J61" i="17"/>
  <c r="L68" i="17"/>
  <c r="J66" i="17"/>
  <c r="M66" i="17"/>
  <c r="N67" i="17"/>
  <c r="M62" i="17"/>
  <c r="AQ54" i="17"/>
  <c r="M67" i="17"/>
  <c r="L63" i="17"/>
  <c r="AW42" i="17"/>
  <c r="T49" i="17"/>
  <c r="AW49" i="17" s="1"/>
  <c r="T51" i="17"/>
  <c r="AW51" i="17" s="1"/>
  <c r="T45" i="17"/>
  <c r="AW45" i="17" s="1"/>
  <c r="T54" i="17"/>
  <c r="AN54" i="17" s="1"/>
  <c r="T47" i="17"/>
  <c r="AW47" i="17" s="1"/>
  <c r="T56" i="17"/>
  <c r="AN56" i="17" s="1"/>
  <c r="T59" i="17"/>
  <c r="T55" i="17"/>
  <c r="T53" i="17"/>
  <c r="T60" i="17"/>
  <c r="T58" i="17"/>
  <c r="AN58" i="17" s="1"/>
  <c r="T57" i="17"/>
  <c r="BA43" i="17"/>
  <c r="X50" i="17"/>
  <c r="BA50" i="17" s="1"/>
  <c r="X52" i="17"/>
  <c r="BA52" i="17" s="1"/>
  <c r="X46" i="17"/>
  <c r="BA46" i="17" s="1"/>
  <c r="X48" i="17"/>
  <c r="BA48" i="17" s="1"/>
  <c r="S40" i="17"/>
  <c r="AM40" i="17" s="1"/>
  <c r="S39" i="17"/>
  <c r="AM39" i="17" s="1"/>
  <c r="AQ51" i="17" l="1"/>
  <c r="AO48" i="17"/>
  <c r="AN52" i="17"/>
  <c r="AE65" i="17"/>
  <c r="AQ47" i="17"/>
  <c r="AQ45" i="17"/>
  <c r="AO46" i="17"/>
  <c r="AN50" i="17"/>
  <c r="AO50" i="17"/>
  <c r="AP46" i="17"/>
  <c r="AY53" i="17"/>
  <c r="V61" i="17"/>
  <c r="AY61" i="17" s="1"/>
  <c r="W65" i="17"/>
  <c r="AZ65" i="17" s="1"/>
  <c r="AZ57" i="17"/>
  <c r="W64" i="17"/>
  <c r="AZ64" i="17" s="1"/>
  <c r="AZ56" i="17"/>
  <c r="AW55" i="17"/>
  <c r="T63" i="17"/>
  <c r="AW63" i="17" s="1"/>
  <c r="BA55" i="17"/>
  <c r="X63" i="17"/>
  <c r="BA63" i="17" s="1"/>
  <c r="AN49" i="17"/>
  <c r="AY59" i="17"/>
  <c r="V67" i="17"/>
  <c r="AY67" i="17" s="1"/>
  <c r="AY58" i="17"/>
  <c r="V66" i="17"/>
  <c r="AY66" i="17" s="1"/>
  <c r="AX47" i="17"/>
  <c r="AO47" i="17"/>
  <c r="AX55" i="17"/>
  <c r="AO55" i="17"/>
  <c r="U63" i="17"/>
  <c r="AZ54" i="17"/>
  <c r="W62" i="17"/>
  <c r="AZ62" i="17" s="1"/>
  <c r="AP50" i="17"/>
  <c r="AR45" i="17"/>
  <c r="AX57" i="17"/>
  <c r="U65" i="17"/>
  <c r="AX65" i="17" s="1"/>
  <c r="AW56" i="17"/>
  <c r="T64" i="17"/>
  <c r="AW64" i="17" s="1"/>
  <c r="AN45" i="17"/>
  <c r="AP45" i="17"/>
  <c r="BA54" i="17"/>
  <c r="X62" i="17"/>
  <c r="BA62" i="17" s="1"/>
  <c r="AP59" i="17"/>
  <c r="AN51" i="17"/>
  <c r="AR49" i="17"/>
  <c r="AO56" i="17"/>
  <c r="U64" i="17"/>
  <c r="AX56" i="17"/>
  <c r="AR48" i="17"/>
  <c r="AP58" i="17"/>
  <c r="AR51" i="17"/>
  <c r="AO57" i="17"/>
  <c r="AW59" i="17"/>
  <c r="T67" i="17"/>
  <c r="AW67" i="17" s="1"/>
  <c r="W67" i="17"/>
  <c r="AZ67" i="17" s="1"/>
  <c r="AZ59" i="17"/>
  <c r="AO52" i="17"/>
  <c r="AP49" i="17"/>
  <c r="AR52" i="17"/>
  <c r="BA57" i="17"/>
  <c r="X65" i="17"/>
  <c r="BA65" i="17" s="1"/>
  <c r="AE67" i="17"/>
  <c r="AY55" i="17"/>
  <c r="V63" i="17"/>
  <c r="AY63" i="17" s="1"/>
  <c r="AR46" i="17"/>
  <c r="AR47" i="17"/>
  <c r="AN55" i="17"/>
  <c r="AO49" i="17"/>
  <c r="AX49" i="17"/>
  <c r="AN59" i="17"/>
  <c r="AZ55" i="17"/>
  <c r="W63" i="17"/>
  <c r="AZ63" i="17" s="1"/>
  <c r="AW53" i="17"/>
  <c r="T61" i="17"/>
  <c r="AW61" i="17" s="1"/>
  <c r="U62" i="17"/>
  <c r="AX54" i="17"/>
  <c r="AO54" i="17"/>
  <c r="AW57" i="17"/>
  <c r="T65" i="17"/>
  <c r="AW65" i="17" s="1"/>
  <c r="T62" i="17"/>
  <c r="AW62" i="17" s="1"/>
  <c r="AW54" i="17"/>
  <c r="AQ59" i="17"/>
  <c r="BA53" i="17"/>
  <c r="X61" i="17"/>
  <c r="BA61" i="17" s="1"/>
  <c r="BA59" i="17"/>
  <c r="X67" i="17"/>
  <c r="BA67" i="17" s="1"/>
  <c r="AY54" i="17"/>
  <c r="V62" i="17"/>
  <c r="AY62" i="17" s="1"/>
  <c r="AX59" i="17"/>
  <c r="U67" i="17"/>
  <c r="AO59" i="17"/>
  <c r="AN46" i="17"/>
  <c r="AP53" i="17"/>
  <c r="AZ53" i="17"/>
  <c r="W61" i="17"/>
  <c r="AZ61" i="17" s="1"/>
  <c r="AQ56" i="17"/>
  <c r="AX58" i="17"/>
  <c r="AO58" i="17"/>
  <c r="U66" i="17"/>
  <c r="AZ58" i="17"/>
  <c r="W66" i="17"/>
  <c r="AZ66" i="17" s="1"/>
  <c r="AP48" i="17"/>
  <c r="AW58" i="17"/>
  <c r="T66" i="17"/>
  <c r="AW66" i="17" s="1"/>
  <c r="BA60" i="17"/>
  <c r="X68" i="17"/>
  <c r="BA68" i="17" s="1"/>
  <c r="AR53" i="17"/>
  <c r="AN48" i="17"/>
  <c r="AX60" i="17"/>
  <c r="U68" i="17"/>
  <c r="AO60" i="17"/>
  <c r="AQ49" i="17"/>
  <c r="W68" i="17"/>
  <c r="AZ68" i="17" s="1"/>
  <c r="AZ60" i="17"/>
  <c r="AP52" i="17"/>
  <c r="AP47" i="17"/>
  <c r="AN47" i="17"/>
  <c r="AN53" i="17"/>
  <c r="AX45" i="17"/>
  <c r="AO45" i="17"/>
  <c r="BA56" i="17"/>
  <c r="X64" i="17"/>
  <c r="BA64" i="17" s="1"/>
  <c r="AY60" i="17"/>
  <c r="V68" i="17"/>
  <c r="AY68" i="17" s="1"/>
  <c r="AW60" i="17"/>
  <c r="T68" i="17"/>
  <c r="AW68" i="17" s="1"/>
  <c r="BA58" i="17"/>
  <c r="X66" i="17"/>
  <c r="BA66" i="17" s="1"/>
  <c r="AY56" i="17"/>
  <c r="V64" i="17"/>
  <c r="AY64" i="17" s="1"/>
  <c r="AY57" i="17"/>
  <c r="V65" i="17"/>
  <c r="AY65" i="17" s="1"/>
  <c r="AP51" i="17"/>
  <c r="AN60" i="17"/>
  <c r="AX53" i="17"/>
  <c r="U61" i="17"/>
  <c r="AO53" i="17"/>
  <c r="AX51" i="17"/>
  <c r="AO51" i="17"/>
  <c r="AR50" i="17"/>
  <c r="AQ57" i="17"/>
  <c r="AN57" i="17"/>
  <c r="S42" i="17"/>
  <c r="AM42" i="17" s="1"/>
  <c r="S43" i="17"/>
  <c r="AM43" i="17" s="1"/>
  <c r="AQ67" i="17" l="1"/>
  <c r="AO65" i="17"/>
  <c r="AR65" i="17"/>
  <c r="AR61" i="17"/>
  <c r="AP67" i="17"/>
  <c r="AQ62" i="17"/>
  <c r="AP66" i="17"/>
  <c r="AP61" i="17"/>
  <c r="AN63" i="17"/>
  <c r="AP68" i="17"/>
  <c r="AR67" i="17"/>
  <c r="AN64" i="17"/>
  <c r="AR66" i="17"/>
  <c r="AP62" i="17"/>
  <c r="AQ65" i="17"/>
  <c r="AR64" i="17"/>
  <c r="AX67" i="17"/>
  <c r="AO67" i="17"/>
  <c r="AO64" i="17"/>
  <c r="AX64" i="17"/>
  <c r="AQ61" i="17"/>
  <c r="AP65" i="17"/>
  <c r="AN61" i="17"/>
  <c r="AX61" i="17"/>
  <c r="AO61" i="17"/>
  <c r="AX62" i="17"/>
  <c r="AO62" i="17"/>
  <c r="AQ64" i="17"/>
  <c r="AR62" i="17"/>
  <c r="AN66" i="17"/>
  <c r="AQ63" i="17"/>
  <c r="AP63" i="17"/>
  <c r="AN68" i="17"/>
  <c r="AQ68" i="17"/>
  <c r="AX68" i="17"/>
  <c r="AO68" i="17"/>
  <c r="AQ66" i="17"/>
  <c r="AX66" i="17"/>
  <c r="AO66" i="17"/>
  <c r="AN67" i="17"/>
  <c r="AN62" i="17"/>
  <c r="AR68" i="17"/>
  <c r="AR63" i="17"/>
  <c r="AP64" i="17"/>
  <c r="AX63" i="17"/>
  <c r="AO63" i="17"/>
  <c r="AN65" i="17"/>
  <c r="S45" i="17"/>
  <c r="S49" i="17"/>
  <c r="S47" i="17"/>
  <c r="S58" i="17"/>
  <c r="S51" i="17"/>
  <c r="S54" i="17"/>
  <c r="S59" i="17"/>
  <c r="S53" i="17"/>
  <c r="S55" i="17"/>
  <c r="S57" i="17"/>
  <c r="S56" i="17"/>
  <c r="S60" i="17"/>
  <c r="S48" i="17"/>
  <c r="S46" i="17"/>
  <c r="S52" i="17"/>
  <c r="S50" i="17"/>
  <c r="AC39" i="17"/>
  <c r="AV39" i="17" s="1"/>
  <c r="S62" i="17" l="1"/>
  <c r="S66" i="17"/>
  <c r="S64" i="17"/>
  <c r="S65" i="17"/>
  <c r="S68" i="17"/>
  <c r="S63" i="17"/>
  <c r="AC42" i="17"/>
  <c r="AV42" i="17" s="1"/>
  <c r="S61" i="17"/>
  <c r="S67" i="17"/>
  <c r="I45" i="17"/>
  <c r="AM45" i="17" s="1"/>
  <c r="I58" i="17"/>
  <c r="AM58" i="17" s="1"/>
  <c r="I54" i="17"/>
  <c r="AM54" i="17" s="1"/>
  <c r="I57" i="17"/>
  <c r="AM57" i="17" s="1"/>
  <c r="I49" i="17"/>
  <c r="AM49" i="17" s="1"/>
  <c r="I59" i="17"/>
  <c r="AM59" i="17" s="1"/>
  <c r="I55" i="17"/>
  <c r="AM55" i="17" s="1"/>
  <c r="I51" i="17"/>
  <c r="AM51" i="17" s="1"/>
  <c r="I47" i="17"/>
  <c r="AM47" i="17" s="1"/>
  <c r="I53" i="17"/>
  <c r="AM53" i="17" s="1"/>
  <c r="I60" i="17"/>
  <c r="AM60" i="17" s="1"/>
  <c r="I56" i="17"/>
  <c r="AM56" i="17" s="1"/>
  <c r="I50" i="17"/>
  <c r="AM50" i="17" s="1"/>
  <c r="I46" i="17"/>
  <c r="AM46" i="17" s="1"/>
  <c r="I52" i="17"/>
  <c r="AM52" i="17" s="1"/>
  <c r="I48" i="17"/>
  <c r="AM48" i="17" s="1"/>
  <c r="I61" i="17" l="1"/>
  <c r="AM61" i="17" s="1"/>
  <c r="I66" i="17"/>
  <c r="AM66" i="17" s="1"/>
  <c r="AC45" i="17"/>
  <c r="AV45" i="17" s="1"/>
  <c r="I63" i="17"/>
  <c r="AM63" i="17" s="1"/>
  <c r="AC47" i="17"/>
  <c r="AV47" i="17" s="1"/>
  <c r="AC49" i="17"/>
  <c r="AV49" i="17" s="1"/>
  <c r="AC51" i="17"/>
  <c r="AV51" i="17" s="1"/>
  <c r="I64" i="17"/>
  <c r="AM64" i="17" s="1"/>
  <c r="I68" i="17"/>
  <c r="AM68" i="17" s="1"/>
  <c r="I62" i="17"/>
  <c r="AM62" i="17" s="1"/>
  <c r="I65" i="17"/>
  <c r="AM65" i="17" s="1"/>
  <c r="I67" i="17"/>
  <c r="AM67" i="17" s="1"/>
  <c r="AC23" i="17"/>
  <c r="AV23" i="17" s="1"/>
  <c r="AC36" i="17" l="1"/>
  <c r="AV36" i="17" s="1"/>
  <c r="AC38" i="17" l="1"/>
  <c r="AV38" i="17" s="1"/>
  <c r="AC40" i="17" l="1"/>
  <c r="AV40" i="17" s="1"/>
  <c r="AC43" i="17" l="1"/>
  <c r="AV43" i="17" s="1"/>
  <c r="AC53" i="17" l="1"/>
  <c r="AV53" i="17" s="1"/>
  <c r="AC48" i="17"/>
  <c r="AV48" i="17" s="1"/>
  <c r="AC57" i="17"/>
  <c r="AV57" i="17" s="1"/>
  <c r="AC55" i="17"/>
  <c r="AV55" i="17" s="1"/>
  <c r="AC46" i="17"/>
  <c r="AV46" i="17" s="1"/>
  <c r="AC54" i="17"/>
  <c r="AV54" i="17" s="1"/>
  <c r="AC59" i="17"/>
  <c r="AV59" i="17" s="1"/>
  <c r="AC50" i="17"/>
  <c r="AV50" i="17" s="1"/>
  <c r="AC60" i="17"/>
  <c r="AV60" i="17" s="1"/>
  <c r="AC52" i="17"/>
  <c r="AV52" i="17" s="1"/>
  <c r="AC58" i="17"/>
  <c r="AV58" i="17" s="1"/>
  <c r="AC56" i="17"/>
  <c r="AV56" i="17" s="1"/>
  <c r="AC62" i="17" l="1"/>
  <c r="AV62" i="17" s="1"/>
  <c r="AC67" i="17"/>
  <c r="AV67" i="17" s="1"/>
  <c r="AC63" i="17"/>
  <c r="AV63" i="17" s="1"/>
  <c r="AC65" i="17"/>
  <c r="AV65" i="17" s="1"/>
  <c r="AC66" i="17"/>
  <c r="AV66" i="17" s="1"/>
  <c r="AC64" i="17"/>
  <c r="AV64" i="17" s="1"/>
  <c r="AC61" i="17"/>
  <c r="AV61" i="17" s="1"/>
  <c r="AC68" i="17"/>
  <c r="AV68"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tc={DA3A8A89-34AB-4C90-8EF9-C1DB1D48FD32}</author>
    <author>tc={8D22B870-DEEF-4577-8F62-C02DEDE49307}</author>
    <author>tc={9BA8CB9F-027F-4019-870C-E19AB2615A09}</author>
    <author>tc={B9DA68C6-6F68-4427-A0DD-EC94F9ECA19D}</author>
    <author>tc={9D859DB6-2A73-437C-B08C-39F36360EBAF}</author>
    <author>tc={AF6BB9F7-C89F-4C7E-BD6B-134C5FFAC4CC}</author>
    <author>tc={74C09A0D-20EC-45EA-859C-642CFD5C8385}</author>
    <author>tc={B6F6F324-6FF3-452A-9D8D-0037EC90FC12}</author>
    <author>tc={96381BDA-6030-42D5-A33B-3467E9414F6A}</author>
    <author>tc={43FCD850-5AA7-4C28-850A-94AC8C23A507}</author>
  </authors>
  <commentList>
    <comment ref="B2" authorId="0" shapeId="0" xr:uid="{DA3A8A89-34AB-4C90-8EF9-C1DB1D48FD32}">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1" shapeId="0" xr:uid="{8D22B870-DEEF-4577-8F62-C02DEDE49307}">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D2" authorId="2" shapeId="0" xr:uid="{9BA8CB9F-027F-4019-870C-E19AB2615A09}">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E2" authorId="3" shapeId="0" xr:uid="{B9DA68C6-6F68-4427-A0DD-EC94F9ECA19D}">
      <text>
        <t>[Threaded comment]
Your version of Excel allows you to read this threaded comment; however, any edits to it will get removed if the file is opened in a newer version of Excel. Learn more: https://go.microsoft.com/fwlink/?linkid=870924
Comment:
    Metal conductivity</t>
      </text>
    </comment>
    <comment ref="F2" authorId="4" shapeId="0" xr:uid="{9D859DB6-2A73-437C-B08C-39F36360EBAF}">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H2" authorId="5" shapeId="0" xr:uid="{AF6BB9F7-C89F-4C7E-BD6B-134C5FFAC4CC}">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2" authorId="6" shapeId="0" xr:uid="{74C09A0D-20EC-45EA-859C-642CFD5C8385}">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J2" authorId="7" shapeId="0" xr:uid="{B6F6F324-6FF3-452A-9D8D-0037EC90FC12}">
      <text>
        <t>[Threaded comment]
Your version of Excel allows you to read this threaded comment; however, any edits to it will get removed if the file is opened in a newer version of Excel. Learn more: https://go.microsoft.com/fwlink/?linkid=870924
Comment:
    Stripline width</t>
      </text>
    </comment>
    <comment ref="K2" authorId="8" shapeId="0" xr:uid="{96381BDA-6030-42D5-A33B-3467E9414F6A}">
      <text>
        <t>[Threaded comment]
Your version of Excel allows you to read this threaded comment; however, any edits to it will get removed if the file is opened in a newer version of Excel. Learn more: https://go.microsoft.com/fwlink/?linkid=870924
Comment:
    Stripline spacing</t>
      </text>
    </comment>
    <comment ref="BJ2" authorId="9" shapeId="0" xr:uid="{43FCD850-5AA7-4C28-850A-94AC8C23A507}">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tc={E97AE688-3969-4F50-A487-14FACFE2A845}</author>
    <author>tc={CEBCA5BB-DA04-4CEF-8896-C9B55BB93219}</author>
    <author>tc={34B7EF02-D9A0-4C61-976B-2D605D567AA9}</author>
    <author>tc={2DD58A31-3C5A-46E8-8683-54E646CEB351}</author>
    <author>tc={C7B8FB46-955B-4EAA-AC94-EE48B10ADE49}</author>
    <author>tc={279B2362-8AEC-4225-A348-43B8383E3CDC}</author>
    <author>tc={00A80220-E9FD-4105-BA33-F474A3475211}</author>
    <author>tc={3DA56ABE-6FEF-4BF9-968C-02DB5C890AFE}</author>
    <author>tc={1E493E4C-872F-4B42-8A9E-97358BD8C750}</author>
    <author>tc={52CE62EB-3E3C-4A84-8AEF-ACB354278495}</author>
    <author>tc={48BE5FDE-F68A-49CD-80D0-197163CD3554}</author>
    <author>tc={8016D416-AA0D-479F-9E76-5229FEE740FF}</author>
    <author>tc={412F86C3-7516-4782-8066-3AF4F5B8D440}</author>
    <author>tc={4D034C31-E8E2-47C9-A64B-5D536F7A5046}</author>
    <author>tc={505BE7C7-38A3-4EFD-8420-873135175151}</author>
    <author>tc={CF3C4527-BB21-41A6-A59A-EE46F4A9A486}</author>
    <author>tc={F034D817-1EC2-470C-98D9-0B3489AE4C85}</author>
    <author>tc={4DBFE2E7-77E8-4575-867C-A87F6987BFA4}</author>
    <author>tc={33195EFF-F62B-4825-8D58-9832F1292A8C}</author>
    <author>tc={D4093EF6-FA9A-4633-A1B4-754703A5FE08}</author>
    <author>tc={F678E52A-0452-4D97-A36F-6E533FDD2D29}</author>
    <author>tc={E5573892-4454-44B8-9D55-F3B175BBE1B4}</author>
    <author>tc={737C9ECB-3F8B-44FC-8859-7983153941A3}</author>
    <author>tc={4DC5EA6A-5255-4BD6-A298-0FAE9172B0A3}</author>
    <author>tc={0352E7A0-5B3E-4D7B-8146-F2FEA717A90F}</author>
    <author>tc={06BB6BC3-3D01-4E3C-9BFC-1404A62D247F}</author>
    <author>tc={7C03C94C-AC7E-435E-B504-80A9E86B7DFB}</author>
    <author>tc={5091EEAE-86CB-4E54-8EEE-E97C8E78C8BD}</author>
    <author>tc={84FF5E3F-8692-48A8-85CB-1D86BBFD759D}</author>
    <author>tc={1B17BAF3-4CA2-4846-8C10-3A7A9F47307C}</author>
    <author>tc={7A12ABDE-7C38-484D-BE36-FAEB7C8EBB7A}</author>
  </authors>
  <commentList>
    <comment ref="C1" authorId="0" shapeId="0" xr:uid="{E97AE688-3969-4F50-A487-14FACFE2A845}">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CEBCA5BB-DA04-4CEF-8896-C9B55BB93219}">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34B7EF02-D9A0-4C61-976B-2D605D567AA9}">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DD58A31-3C5A-46E8-8683-54E646CEB351}">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C7B8FB46-955B-4EAA-AC94-EE48B10ADE49}">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279B2362-8AEC-4225-A348-43B8383E3CDC}">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00A80220-E9FD-4105-BA33-F474A3475211}">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3DA56ABE-6FEF-4BF9-968C-02DB5C890AFE}">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1E493E4C-872F-4B42-8A9E-97358BD8C750}">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C4" authorId="9" shapeId="0" xr:uid="{52CE62EB-3E3C-4A84-8AEF-ACB354278495}">
      <text>
        <t>[Threaded comment]
Your version of Excel allows you to read this threaded comment; however, any edits to it will get removed if the file is opened in a newer version of Excel. Learn more: https://go.microsoft.com/fwlink/?linkid=870924
Comment:
    Stripline spacing</t>
      </text>
    </comment>
    <comment ref="AK5" authorId="10" shapeId="0" xr:uid="{48BE5FDE-F68A-49CD-80D0-197163CD355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1" shapeId="0" xr:uid="{8016D416-AA0D-479F-9E76-5229FEE740FF}">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7" authorId="12" shapeId="0" xr:uid="{412F86C3-7516-4782-8066-3AF4F5B8D440}">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0" authorId="13" shapeId="0" xr:uid="{4D034C31-E8E2-47C9-A64B-5D536F7A5046}">
      <text>
        <t>[Threaded comment]
Your version of Excel allows you to read this threaded comment; however, any edits to it will get removed if the file is opened in a newer version of Excel. Learn more: https://go.microsoft.com/fwlink/?linkid=870924
Comment:
    δs = sqrt(2/(σωµ))</t>
      </text>
    </comment>
    <comment ref="AB11" authorId="14" shapeId="0" xr:uid="{505BE7C7-38A3-4EFD-8420-873135175151}">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15" shapeId="0" xr:uid="{CF3C4527-BB21-41A6-A59A-EE46F4A9A486}">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12" authorId="16" shapeId="0" xr:uid="{F034D817-1EC2-470C-98D9-0B3489AE4C85}">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K12" authorId="17" shapeId="0" xr:uid="{4DBFE2E7-77E8-4575-867C-A87F6987BFA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13" authorId="18" shapeId="0" xr:uid="{33195EFF-F62B-4825-8D58-9832F1292A8C}">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14" authorId="19" shapeId="0" xr:uid="{D4093EF6-FA9A-4633-A1B4-754703A5FE0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B15" authorId="20" shapeId="0" xr:uid="{F678E52A-0452-4D97-A36F-6E533FDD2D29}">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K15" authorId="21" shapeId="0" xr:uid="{E5573892-4454-44B8-9D55-F3B175BBE1B4}">
      <text>
        <t>[Threaded comment]
Your version of Excel allows you to read this threaded comment; however, any edits to it will get removed if the file is opened in a newer version of Excel. Learn more: https://go.microsoft.com/fwlink/?linkid=870924
Comment:
    δs = sqrt(2/(σωµ))</t>
      </text>
    </comment>
    <comment ref="AB16" authorId="22" shapeId="0" xr:uid="{737C9ECB-3F8B-44FC-8859-7983153941A3}">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K16" authorId="23" shapeId="0" xr:uid="{4DC5EA6A-5255-4BD6-A298-0FAE9172B0A3}">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17" authorId="24" shapeId="0" xr:uid="{0352E7A0-5B3E-4D7B-8146-F2FEA717A90F}">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7" authorId="25" shapeId="0" xr:uid="{06BB6BC3-3D01-4E3C-9BFC-1404A62D247F}">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S20" authorId="26" shapeId="0" xr:uid="{7C03C94C-AC7E-435E-B504-80A9E86B7DFB}">
      <text>
        <t>[Threaded comment]
Your version of Excel allows you to read this threaded comment; however, any edits to it will get removed if the file is opened in a newer version of Excel. Learn more: https://go.microsoft.com/fwlink/?linkid=870924
Comment:
    Non-physical values for calculations</t>
      </text>
    </comment>
    <comment ref="AK20" authorId="27" shapeId="0" xr:uid="{5091EEAE-86CB-4E54-8EEE-E97C8E78C8BD}">
      <text>
        <t>[Threaded comment]
Your version of Excel allows you to read this threaded comment; however, any edits to it will get removed if the file is opened in a newer version of Excel. Learn more: https://go.microsoft.com/fwlink/?linkid=870924
Comment:
    δs = sqrt(2/(σωµ))</t>
      </text>
    </comment>
    <comment ref="S21" authorId="28" shapeId="0" xr:uid="{84FF5E3F-8692-48A8-85CB-1D86BBFD759D}">
      <text>
        <t>[Threaded comment]
Your version of Excel allows you to read this threaded comment; however, any edits to it will get removed if the file is opened in a newer version of Excel. Learn more: https://go.microsoft.com/fwlink/?linkid=870924
Comment:
    Non-physical values for calculations</t>
      </text>
    </comment>
    <comment ref="AK21" authorId="29" shapeId="0" xr:uid="{1B17BAF3-4CA2-4846-8C10-3A7A9F47307C}">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30" shapeId="0" xr:uid="{7A12ABDE-7C38-484D-BE36-FAEB7C8EBB7A}">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tc={C8FE7440-0420-409F-9374-AD6A4D035A5B}</author>
    <author>tc={BDEFA282-4FC6-4C16-80DA-97FF687FE297}</author>
    <author>tc={757D7229-ED0E-403C-9B91-EC8323DE9DF1}</author>
    <author>tc={9224D621-678C-4AEE-97EF-9F9D9FE9EBF0}</author>
    <author>tc={59B884E1-980C-4BF0-8480-00E020DBB547}</author>
    <author>tc={42BFCF5A-A849-474F-9E69-D7E58858FB6E}</author>
    <author>tc={0D66DBD8-5FFD-46A3-AFFD-2363FA67FD74}</author>
    <author>tc={F048686A-3552-4DBD-8CEE-923796B51BEA}</author>
    <author>tc={48459580-64F6-48E9-ACDB-1F74D0F0C36E}</author>
    <author>tc={9968988F-EAA6-4AC5-8560-C93E0DFB6B3E}</author>
    <author>tc={00F413B5-2599-4780-9E1A-63DDBFCEA0D7}</author>
    <author>tc={8847C0B6-D618-463A-B9BB-8B6539361E1B}</author>
    <author>tc={554126D0-3C50-44E0-BFAC-43063A3CF2DC}</author>
    <author>tc={8AE41A95-7322-4F74-8020-CBE7DFF3938F}</author>
    <author>tc={FABA4C35-8EE2-4BCD-9425-8E0CA98AED06}</author>
    <author>tc={8873DCD8-07F7-46BA-A684-B0671D9DC4C1}</author>
    <author>tc={6B99F527-006F-4B6E-ABBA-954D92B2EFFE}</author>
    <author>tc={C339198E-8CEA-40B5-8D70-E31E03AE5A28}</author>
    <author>tc={B36CD01E-5559-42FD-B777-6C8A50A56046}</author>
    <author>tc={40BF8A96-EA06-4623-95C2-F1655F68CAB8}</author>
    <author>tc={0213F5F4-5CB9-4696-981A-8BCD9A2CD407}</author>
    <author>tc={D8690BE7-EB61-42B6-B0FD-0154751C4168}</author>
    <author>tc={40FBB3EA-7E64-4A92-9C11-61A5BCC32D54}</author>
    <author>tc={94A40237-3424-4493-862A-FD3654843AB6}</author>
    <author>tc={3AC8A3A6-7F78-4EA8-AFA6-018837D176D9}</author>
    <author>tc={B93E279A-54A5-4501-8CEA-AF26D6AB5FC4}</author>
    <author>tc={0F85E63F-9555-4BC5-A2A2-C172AADE47FC}</author>
    <author>tc={2B997482-0A50-4D95-9A86-7DE8B1BD3B43}</author>
    <author>tc={0FF218BF-7213-4CD8-9214-FE8495101345}</author>
    <author>tc={4F4FEF6C-47E8-4FA0-A45D-C7D50C8CCE9C}</author>
    <author>tc={38F41EA5-49BF-4277-A474-D1155689B7E1}</author>
    <author>tc={E26D55FB-8EDC-4BB9-89FB-CC7D287318E3}</author>
    <author>tc={AEAE8AB1-7F6E-4C90-AAB8-609060597342}</author>
    <author>tc={48A9307A-8502-4A32-829A-57FF999043FB}</author>
    <author>tc={DFE9F9DF-CD8F-4AC3-8724-1DFDADEE50D4}</author>
    <author>tc={9B902C00-06DA-4801-B185-044AC8920497}</author>
    <author>tc={F4203015-7272-4D16-8417-724546D1909E}</author>
    <author>tc={3C8B2DE5-1F43-4ECC-A697-35504898CE63}</author>
    <author>tc={FE34E6EC-3ADF-4CA7-8FA1-49C0538021D1}</author>
    <author>tc={BB1A52BC-B465-465C-808E-0DC0C00E84AF}</author>
    <author>tc={29975825-FF7F-4608-92FF-E928D376A01B}</author>
    <author>tc={2F14EF28-41DD-4F4C-9F6E-369E8928C1BB}</author>
    <author>tc={2F20AEBF-2E46-4FB4-926A-1C5E6CBEF904}</author>
    <author>tc={DF2CE172-4BDF-47D4-B3E2-0CB30C9DEB4C}</author>
    <author>tc={176092A6-651B-47F7-BB47-05567A8B2D63}</author>
    <author>tc={626E5AF6-8AE9-4955-8932-B7A226381AE9}</author>
    <author>tc={3CBA6190-B7EB-407D-A1DE-10293955C36A}</author>
    <author>tc={464AE493-47FC-4463-8AB1-95EAA83E06B3}</author>
    <author>tc={79CBC396-7E68-421D-912C-056D068D7A75}</author>
    <author>tc={0C4AEFAA-FA28-4893-9B67-2CEEC3C4E937}</author>
    <author>tc={B78D0F44-245F-44F4-9F06-64397D8C26A4}</author>
    <author>tc={A0B8D971-433E-4E6C-82AA-9D49C132BA45}</author>
    <author>tc={6AFDC6DB-623B-4AB4-A499-0D96371253C9}</author>
    <author>tc={E8F0D38F-164E-4E10-9777-27FD52570812}</author>
    <author>tc={BCB203CA-73FA-400D-86C4-C2EF47DCB398}</author>
    <author>tc={DF8D244B-DD61-4378-BB82-372C7117A0F8}</author>
    <author>tc={2AE73630-B459-49BB-AF50-3EE2CAC0AA13}</author>
    <author>tc={A2AFAEB3-2DC8-47C8-8832-2556491B34BE}</author>
    <author>tc={0002AC27-DBF8-454D-B07E-F963FE2CCCC8}</author>
    <author>tc={F4853D75-1C56-48C1-8234-F2FAE59FB0BF}</author>
    <author>tc={468CB707-FD57-4DAF-BD0A-D13BF1D275C7}</author>
    <author>tc={E8262ECB-A2A2-471C-AE26-1E58990591BA}</author>
    <author>tc={1DA27AFB-89CA-4AFB-841F-465314394044}</author>
    <author>tc={EF92BE7B-0DD2-485F-B83D-23547C5CFE28}</author>
    <author>tc={1DBF8A4D-B3EE-4A8A-B37A-559660079114}</author>
    <author>tc={91E08C86-2A90-44C3-8D33-870127EC988F}</author>
    <author>tc={7C89AF06-A7B1-4E39-ACDF-4DBF2E5A3F3A}</author>
    <author>tc={CE451F0C-7631-4D5D-9607-18FD13C2EED6}</author>
    <author>tc={FDC31151-7DE0-48AD-BDBF-4F4FE9B6C7D8}</author>
    <author>tc={3B37DB34-4AB3-491E-9F29-8AACC0DBCFDD}</author>
    <author>tc={326ACA88-6FB8-4379-B61E-3081A68E7E04}</author>
    <author>tc={5C310CF5-5A72-4D0F-8B67-1687BA8F5205}</author>
    <author>tc={C84A9F51-778B-49ED-BD5A-93B5385E46CF}</author>
    <author>tc={91A6A19B-3EF5-44A3-AB4C-2AEC168ED026}</author>
    <author>tc={BA46BAF0-6D63-42E4-B64F-195EB7C51928}</author>
    <author>tc={3727A097-024F-4764-B025-AA48237D25CA}</author>
    <author>tc={A73BB402-7BC6-431A-B42B-E3AD8751124A}</author>
    <author>tc={C780A178-2B93-4ED4-8205-74C8B29F6F9F}</author>
    <author>tc={E28FF6D4-5161-4D05-B2A5-BA4801D69742}</author>
    <author>tc={4EB7CBC7-514A-484F-9DBD-736E9F5ED607}</author>
    <author>tc={E9240158-8E81-4E65-8DCB-DDBB39B87A64}</author>
    <author>tc={36A087D8-24F4-48BC-B043-0949104B9CA9}</author>
    <author>tc={120CF7F6-287B-40CD-B3EA-43EEF290AAC0}</author>
    <author>tc={952DFFD5-1BFF-4B7C-ABCE-ECF1A356D982}</author>
    <author>tc={FDA96B15-6C91-4FB7-9BAE-72E0C11DD66D}</author>
    <author>tc={65DFD6BC-3E24-4850-A8A3-BD74BD9C1A00}</author>
    <author>tc={1BFA3AB4-CC3C-4184-A1F3-B68A5CF4B03C}</author>
    <author>tc={6325841D-8858-45C4-A322-F22B3C4207A9}</author>
    <author>tc={FCDA78A3-D3B2-4295-92DE-E52687E8673C}</author>
    <author>tc={4305407D-02CB-4157-9F98-C8C30E7CCFB1}</author>
    <author>tc={988A90FF-959B-4DED-BA90-BB0BA399FC5D}</author>
    <author>tc={4EC33614-5A5D-4C2A-B75E-3632354F74AA}</author>
    <author>tc={4F852D08-6F22-498B-8C0E-6D001D8859A6}</author>
    <author>tc={EF39C9A8-D6CF-4870-B826-9551F5D535D0}</author>
    <author>tc={16833830-06DD-4D7D-A031-F5893C9A7C7D}</author>
    <author>tc={71880B28-0674-4A0C-83D3-73FC94FCBB3E}</author>
    <author>tc={B46B3D10-1B45-4DB5-B69C-34432F6335C0}</author>
    <author>tc={7BCF1874-8B8A-48D2-AF92-B44612EE362D}</author>
    <author>tc={E87AEB0E-E331-43F0-88BD-4DB3C79D9338}</author>
    <author>tc={266C48C0-EFF2-4483-A370-B416CE39D99C}</author>
    <author>tc={2FE623BB-4691-44DF-991D-0CA83CCAD223}</author>
    <author>tc={5B79CA8A-BABA-4E29-9AE7-7533A546A9AF}</author>
    <author>tc={AF6EE1F3-3011-492C-9298-E7F3CD415AED}</author>
    <author>tc={CA076A4F-A555-4C9B-8F10-00C267F0B134}</author>
    <author>tc={FECE98CD-411A-41D0-96F8-F2C026DC45C3}</author>
    <author>tc={3BFBEEA0-D72C-4E78-AF27-0BB9740237C3}</author>
    <author>tc={1E470473-20E2-4583-A0E4-B6557E078161}</author>
    <author>tc={0EB280C8-258F-4B10-9B64-A0DFE0980463}</author>
    <author>tc={A8DF8764-27B5-46C3-8B43-3BF1AAE40FEB}</author>
    <author>tc={62C5F55C-D897-4CA8-BCC7-14A2AD6CC56C}</author>
    <author>tc={AD5C7DB1-53C5-4060-BACA-6E66EA0B7409}</author>
    <author>tc={F4894BB2-A01B-448C-B0AD-0B61E2E169CE}</author>
    <author>tc={710FED22-A9B6-4312-92A1-1BC2F2884858}</author>
    <author>tc={672C5396-E669-4757-8C4F-B894C936C1EE}</author>
    <author>tc={3F30F503-B842-4E19-A9A5-F709A5DAF013}</author>
    <author>tc={8C55A61E-F3AE-4FAE-8BAA-DF0147B561CD}</author>
  </authors>
  <commentList>
    <comment ref="I10" authorId="0" shapeId="0" xr:uid="{C8FE7440-0420-409F-9374-AD6A4D035A5B}">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11" authorId="1" shapeId="0" xr:uid="{BDEFA282-4FC6-4C16-80DA-97FF687FE297}">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I12" authorId="2" shapeId="0" xr:uid="{757D7229-ED0E-403C-9B91-EC8323DE9DF1}">
      <text>
        <t>[Threaded comment]
Your version of Excel allows you to read this threaded comment; however, any edits to it will get removed if the file is opened in a newer version of Excel. Learn more: https://go.microsoft.com/fwlink/?linkid=870924
Comment:
    Stripline width</t>
      </text>
    </comment>
    <comment ref="J12" authorId="3" shapeId="0" xr:uid="{9224D621-678C-4AEE-97EF-9F9D9FE9EBF0}">
      <text>
        <t>[Threaded comment]
Your version of Excel allows you to read this threaded comment; however, any edits to it will get removed if the file is opened in a newer version of Excel. Learn more: https://go.microsoft.com/fwlink/?linkid=870924
Comment:
    Varying width against thickness results in highest w/b change (maximum impedance spread)</t>
      </text>
    </comment>
    <comment ref="I13" authorId="4" shapeId="0" xr:uid="{59B884E1-980C-4BF0-8480-00E020DBB547}">
      <text>
        <t>[Threaded comment]
Your version of Excel allows you to read this threaded comment; however, any edits to it will get removed if the file is opened in a newer version of Excel. Learn more: https://go.microsoft.com/fwlink/?linkid=870924
Comment:
    Stripline spacing</t>
      </text>
    </comment>
    <comment ref="J13" authorId="5" shapeId="0" xr:uid="{42BFCF5A-A849-474F-9E69-D7E58858FB6E}">
      <text>
        <t>[Threaded comment]
Your version of Excel allows you to read this threaded comment; however, any edits to it will get removed if the file is opened in a newer version of Excel. Learn more: https://go.microsoft.com/fwlink/?linkid=870924
Comment:
    Spacing varies opposite to the variation in width</t>
      </text>
    </comment>
    <comment ref="G21" authorId="6" shapeId="0" xr:uid="{0D66DBD8-5FFD-46A3-AFFD-2363FA67FD74}">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Q21" authorId="7" shapeId="0" xr:uid="{F048686A-3552-4DBD-8CEE-923796B51BEA}">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AA21" authorId="8" shapeId="0" xr:uid="{48459580-64F6-48E9-ACDB-1F74D0F0C36E}">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AK21" authorId="9" shapeId="0" xr:uid="{9968988F-EAA6-4AC5-8560-C93E0DFB6B3E}">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AT21" authorId="10" shapeId="0" xr:uid="{00F413B5-2599-4780-9E1A-63DDBFCEA0D7}">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G22" authorId="11" shapeId="0" xr:uid="{8847C0B6-D618-463A-B9BB-8B6539361E1B}">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Q22" authorId="12" shapeId="0" xr:uid="{554126D0-3C50-44E0-BFAC-43063A3CF2DC}">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AA22" authorId="13" shapeId="0" xr:uid="{8AE41A95-7322-4F74-8020-CBE7DFF3938F}">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AK22" authorId="14" shapeId="0" xr:uid="{FABA4C35-8EE2-4BCD-9425-8E0CA98AED06}">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AT22" authorId="15" shapeId="0" xr:uid="{8873DCD8-07F7-46BA-A684-B0671D9DC4C1}">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G23" authorId="16" shapeId="0" xr:uid="{6B99F527-006F-4B6E-ABBA-954D92B2EFFE}">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Q23" authorId="17" shapeId="0" xr:uid="{C339198E-8CEA-40B5-8D70-E31E03AE5A28}">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AA23" authorId="18" shapeId="0" xr:uid="{B36CD01E-5559-42FD-B777-6C8A50A56046}">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AK23" authorId="19" shapeId="0" xr:uid="{40BF8A96-EA06-4623-95C2-F1655F68CAB8}">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AT23" authorId="20" shapeId="0" xr:uid="{0213F5F4-5CB9-4696-981A-8BCD9A2CD407}">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G24" authorId="21" shapeId="0" xr:uid="{D8690BE7-EB61-42B6-B0FD-0154751C4168}">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Q24" authorId="22" shapeId="0" xr:uid="{40FBB3EA-7E64-4A92-9C11-61A5BCC32D54}">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AA24" authorId="23" shapeId="0" xr:uid="{94A40237-3424-4493-862A-FD3654843AB6}">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AK24" authorId="24" shapeId="0" xr:uid="{3AC8A3A6-7F78-4EA8-AFA6-018837D176D9}">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AT24" authorId="25" shapeId="0" xr:uid="{B93E279A-54A5-4501-8CEA-AF26D6AB5FC4}">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G25" authorId="26" shapeId="0" xr:uid="{0F85E63F-9555-4BC5-A2A2-C172AADE47FC}">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Q25" authorId="27" shapeId="0" xr:uid="{2B997482-0A50-4D95-9A86-7DE8B1BD3B43}">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AA25" authorId="28" shapeId="0" xr:uid="{0FF218BF-7213-4CD8-9214-FE8495101345}">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AK25" authorId="29" shapeId="0" xr:uid="{4F4FEF6C-47E8-4FA0-A45D-C7D50C8CCE9C}">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AT25" authorId="30" shapeId="0" xr:uid="{38F41EA5-49BF-4277-A474-D1155689B7E1}">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G26" authorId="31" shapeId="0" xr:uid="{E26D55FB-8EDC-4BB9-89FB-CC7D287318E3}">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Q26" authorId="32" shapeId="0" xr:uid="{AEAE8AB1-7F6E-4C90-AAB8-609060597342}">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AA26" authorId="33" shapeId="0" xr:uid="{48A9307A-8502-4A32-829A-57FF999043FB}">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AK26" authorId="34" shapeId="0" xr:uid="{DFE9F9DF-CD8F-4AC3-8724-1DFDADEE50D4}">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AT26" authorId="35" shapeId="0" xr:uid="{9B902C00-06DA-4801-B185-044AC8920497}">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G27" authorId="36" shapeId="0" xr:uid="{F4203015-7272-4D16-8417-724546D1909E}">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Q27" authorId="37" shapeId="0" xr:uid="{3C8B2DE5-1F43-4ECC-A697-35504898CE63}">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AA27" authorId="38" shapeId="0" xr:uid="{FE34E6EC-3ADF-4CA7-8FA1-49C0538021D1}">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AK27" authorId="39" shapeId="0" xr:uid="{BB1A52BC-B465-465C-808E-0DC0C00E84AF}">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AT27" authorId="40" shapeId="0" xr:uid="{29975825-FF7F-4608-92FF-E928D376A01B}">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G28" authorId="41" shapeId="0" xr:uid="{2F14EF28-41DD-4F4C-9F6E-369E8928C1BB}">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Q28" authorId="42" shapeId="0" xr:uid="{2F20AEBF-2E46-4FB4-926A-1C5E6CBEF904}">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AA28" authorId="43" shapeId="0" xr:uid="{DF2CE172-4BDF-47D4-B3E2-0CB30C9DEB4C}">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AK28" authorId="44" shapeId="0" xr:uid="{176092A6-651B-47F7-BB47-05567A8B2D63}">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AT28" authorId="45" shapeId="0" xr:uid="{626E5AF6-8AE9-4955-8932-B7A226381AE9}">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G29" authorId="46" shapeId="0" xr:uid="{3CBA6190-B7EB-407D-A1DE-10293955C36A}">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Q29" authorId="47" shapeId="0" xr:uid="{464AE493-47FC-4463-8AB1-95EAA83E06B3}">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AA29" authorId="48" shapeId="0" xr:uid="{79CBC396-7E68-421D-912C-056D068D7A75}">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AK29" authorId="49" shapeId="0" xr:uid="{0C4AEFAA-FA28-4893-9B67-2CEEC3C4E937}">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AT29" authorId="50" shapeId="0" xr:uid="{B78D0F44-245F-44F4-9F06-64397D8C26A4}">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G30" authorId="51" shapeId="0" xr:uid="{A0B8D971-433E-4E6C-82AA-9D49C132BA45}">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Q30" authorId="52" shapeId="0" xr:uid="{6AFDC6DB-623B-4AB4-A499-0D96371253C9}">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AA30" authorId="53" shapeId="0" xr:uid="{E8F0D38F-164E-4E10-9777-27FD52570812}">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AK30" authorId="54" shapeId="0" xr:uid="{BCB203CA-73FA-400D-86C4-C2EF47DCB398}">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AT30" authorId="55" shapeId="0" xr:uid="{DF8D244B-DD61-4378-BB82-372C7117A0F8}">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G31" authorId="56" shapeId="0" xr:uid="{2AE73630-B459-49BB-AF50-3EE2CAC0AA13}">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Q31" authorId="57" shapeId="0" xr:uid="{A2AFAEB3-2DC8-47C8-8832-2556491B34BE}">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AA31" authorId="58" shapeId="0" xr:uid="{0002AC27-DBF8-454D-B07E-F963FE2CCCC8}">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AK31" authorId="59" shapeId="0" xr:uid="{F4853D75-1C56-48C1-8234-F2FAE59FB0BF}">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AT31" authorId="60" shapeId="0" xr:uid="{468CB707-FD57-4DAF-BD0A-D13BF1D275C7}">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G32" authorId="61" shapeId="0" xr:uid="{E8262ECB-A2A2-471C-AE26-1E58990591BA}">
      <text>
        <t>[Threaded comment]
Your version of Excel allows you to read this threaded comment; however, any edits to it will get removed if the file is opened in a newer version of Excel. Learn more: https://go.microsoft.com/fwlink/?linkid=870924
Comment:
    Vp = 1 / sqrt (Dk_avg)</t>
      </text>
    </comment>
    <comment ref="Q32" authorId="62" shapeId="0" xr:uid="{1DA27AFB-89CA-4AFB-841F-465314394044}">
      <text>
        <t>[Threaded comment]
Your version of Excel allows you to read this threaded comment; however, any edits to it will get removed if the file is opened in a newer version of Excel. Learn more: https://go.microsoft.com/fwlink/?linkid=870924
Comment:
    Vp = 1 / sqrt (Dk_avg)</t>
      </text>
    </comment>
    <comment ref="AA32" authorId="63" shapeId="0" xr:uid="{EF92BE7B-0DD2-485F-B83D-23547C5CFE28}">
      <text>
        <t>[Threaded comment]
Your version of Excel allows you to read this threaded comment; however, any edits to it will get removed if the file is opened in a newer version of Excel. Learn more: https://go.microsoft.com/fwlink/?linkid=870924
Comment:
    Vp = 1 / sqrt (Dk_avg)</t>
      </text>
    </comment>
    <comment ref="AK32" authorId="64" shapeId="0" xr:uid="{1DBF8A4D-B3EE-4A8A-B37A-559660079114}">
      <text>
        <t>[Threaded comment]
Your version of Excel allows you to read this threaded comment; however, any edits to it will get removed if the file is opened in a newer version of Excel. Learn more: https://go.microsoft.com/fwlink/?linkid=870924
Comment:
    Vp = 1 / sqrt (Dk_avg)</t>
      </text>
    </comment>
    <comment ref="AT32" authorId="65" shapeId="0" xr:uid="{91E08C86-2A90-44C3-8D33-870127EC988F}">
      <text>
        <t>[Threaded comment]
Your version of Excel allows you to read this threaded comment; however, any edits to it will get removed if the file is opened in a newer version of Excel. Learn more: https://go.microsoft.com/fwlink/?linkid=870924
Comment:
    Vp = 1 / sqrt (Dk_avg)</t>
      </text>
    </comment>
    <comment ref="G34" authorId="66" shapeId="0" xr:uid="{7C89AF06-A7B1-4E39-ACDF-4DBF2E5A3F3A}">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Q34" authorId="67" shapeId="0" xr:uid="{CE451F0C-7631-4D5D-9607-18FD13C2EED6}">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A34" authorId="68" shapeId="0" xr:uid="{FDC31151-7DE0-48AD-BDBF-4F4FE9B6C7D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34" authorId="69" shapeId="0" xr:uid="{3B37DB34-4AB3-491E-9F29-8AACC0DBCFDD}">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T34" authorId="70" shapeId="0" xr:uid="{326ACA88-6FB8-4379-B61E-3081A68E7E04}">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G35" authorId="71" shapeId="0" xr:uid="{5C310CF5-5A72-4D0F-8B67-1687BA8F5205}">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Q35" authorId="72" shapeId="0" xr:uid="{C84A9F51-778B-49ED-BD5A-93B5385E46CF}">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A35" authorId="73" shapeId="0" xr:uid="{91A6A19B-3EF5-44A3-AB4C-2AEC168ED026}">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K35" authorId="74" shapeId="0" xr:uid="{BA46BAF0-6D63-42E4-B64F-195EB7C51928}">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T35" authorId="75" shapeId="0" xr:uid="{3727A097-024F-4764-B025-AA48237D25CA}">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G36" authorId="76" shapeId="0" xr:uid="{A73BB402-7BC6-431A-B42B-E3AD8751124A}">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Q36" authorId="77" shapeId="0" xr:uid="{C780A178-2B93-4ED4-8205-74C8B29F6F9F}">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A36" authorId="78" shapeId="0" xr:uid="{E28FF6D4-5161-4D05-B2A5-BA4801D69742}">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K36" authorId="79" shapeId="0" xr:uid="{4EB7CBC7-514A-484F-9DBD-736E9F5ED607}">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T36" authorId="80" shapeId="0" xr:uid="{E9240158-8E81-4E65-8DCB-DDBB39B87A64}">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G37" authorId="81" shapeId="0" xr:uid="{36A087D8-24F4-48BC-B043-0949104B9CA9}">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Q37" authorId="82" shapeId="0" xr:uid="{120CF7F6-287B-40CD-B3EA-43EEF290AAC0}">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A37" authorId="83" shapeId="0" xr:uid="{952DFFD5-1BFF-4B7C-ABCE-ECF1A356D982}">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K37" authorId="84" shapeId="0" xr:uid="{FDA96B15-6C91-4FB7-9BAE-72E0C11DD66D}">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T37" authorId="85" shapeId="0" xr:uid="{65DFD6BC-3E24-4850-A8A3-BD74BD9C1A00}">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G38" authorId="86" shapeId="0" xr:uid="{1BFA3AB4-CC3C-4184-A1F3-B68A5CF4B03C}">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Q38" authorId="87" shapeId="0" xr:uid="{6325841D-8858-45C4-A322-F22B3C4207A9}">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A38" authorId="88" shapeId="0" xr:uid="{FCDA78A3-D3B2-4295-92DE-E52687E8673C}">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K38" authorId="89" shapeId="0" xr:uid="{4305407D-02CB-4157-9F98-C8C30E7CCFB1}">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T38" authorId="90" shapeId="0" xr:uid="{988A90FF-959B-4DED-BA90-BB0BA399FC5D}">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G39" authorId="91" shapeId="0" xr:uid="{4EC33614-5A5D-4C2A-B75E-3632354F74AA}">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Q39" authorId="92" shapeId="0" xr:uid="{4F852D08-6F22-498B-8C0E-6D001D8859A6}">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A39" authorId="93" shapeId="0" xr:uid="{EF39C9A8-D6CF-4870-B826-9551F5D535D0}">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39" authorId="94" shapeId="0" xr:uid="{16833830-06DD-4D7D-A031-F5893C9A7C7D}">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T39" authorId="95" shapeId="0" xr:uid="{71880B28-0674-4A0C-83D3-73FC94FCBB3E}">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G40" authorId="96" shapeId="0" xr:uid="{B46B3D10-1B45-4DB5-B69C-34432F6335C0}">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Q40" authorId="97" shapeId="0" xr:uid="{7BCF1874-8B8A-48D2-AF92-B44612EE362D}">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A40" authorId="98" shapeId="0" xr:uid="{E87AEB0E-E331-43F0-88BD-4DB3C79D9338}">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40" authorId="99" shapeId="0" xr:uid="{266C48C0-EFF2-4483-A370-B416CE39D99C}">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T40" authorId="100" shapeId="0" xr:uid="{2FE623BB-4691-44DF-991D-0CA83CCAD223}">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G41" authorId="101" shapeId="0" xr:uid="{5B79CA8A-BABA-4E29-9AE7-7533A546A9AF}">
      <text>
        <t>[Threaded comment]
Your version of Excel allows you to read this threaded comment; however, any edits to it will get removed if the file is opened in a newer version of Excel. Learn more: https://go.microsoft.com/fwlink/?linkid=870924
Comment:
    β_even/odd = ω / (Vp)</t>
      </text>
    </comment>
    <comment ref="Q41" authorId="102" shapeId="0" xr:uid="{AF6EE1F3-3011-492C-9298-E7F3CD415AED}">
      <text>
        <t>[Threaded comment]
Your version of Excel allows you to read this threaded comment; however, any edits to it will get removed if the file is opened in a newer version of Excel. Learn more: https://go.microsoft.com/fwlink/?linkid=870924
Comment:
    β_even/odd = ω / (Vp)</t>
      </text>
    </comment>
    <comment ref="AA41" authorId="103" shapeId="0" xr:uid="{CA076A4F-A555-4C9B-8F10-00C267F0B134}">
      <text>
        <t>[Threaded comment]
Your version of Excel allows you to read this threaded comment; however, any edits to it will get removed if the file is opened in a newer version of Excel. Learn more: https://go.microsoft.com/fwlink/?linkid=870924
Comment:
    β_even/odd = ω / (Vp)</t>
      </text>
    </comment>
    <comment ref="AK41" authorId="104" shapeId="0" xr:uid="{FECE98CD-411A-41D0-96F8-F2C026DC45C3}">
      <text>
        <t>[Threaded comment]
Your version of Excel allows you to read this threaded comment; however, any edits to it will get removed if the file is opened in a newer version of Excel. Learn more: https://go.microsoft.com/fwlink/?linkid=870924
Comment:
    β_even/odd = ω / (Vp)</t>
      </text>
    </comment>
    <comment ref="AT41" authorId="105" shapeId="0" xr:uid="{3BFBEEA0-D72C-4E78-AF27-0BB9740237C3}">
      <text>
        <t>[Threaded comment]
Your version of Excel allows you to read this threaded comment; however, any edits to it will get removed if the file is opened in a newer version of Excel. Learn more: https://go.microsoft.com/fwlink/?linkid=870924
Comment:
    β_even/odd = ω / (Vp)</t>
      </text>
    </comment>
    <comment ref="G42" authorId="106" shapeId="0" xr:uid="{1E470473-20E2-4583-A0E4-B6557E078161}">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Q42" authorId="107" shapeId="0" xr:uid="{0EB280C8-258F-4B10-9B64-A0DFE0980463}">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AA42" authorId="108" shapeId="0" xr:uid="{A8DF8764-27B5-46C3-8B43-3BF1AAE40FEB}">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AK42" authorId="109" shapeId="0" xr:uid="{62C5F55C-D897-4CA8-BCC7-14A2AD6CC56C}">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AT42" authorId="110" shapeId="0" xr:uid="{AD5C7DB1-53C5-4060-BACA-6E66EA0B7409}">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G43" authorId="111" shapeId="0" xr:uid="{F4894BB2-A01B-448C-B0AD-0B61E2E169CE}">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Q43" authorId="112" shapeId="0" xr:uid="{710FED22-A9B6-4312-92A1-1BC2F2884858}">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AA43" authorId="113" shapeId="0" xr:uid="{672C5396-E669-4757-8C4F-B894C936C1EE}">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AK43" authorId="114" shapeId="0" xr:uid="{3F30F503-B842-4E19-A9A5-F709A5DAF013}">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AT43" authorId="115" shapeId="0" xr:uid="{8C55A61E-F3AE-4FAE-8BAA-DF0147B561CD}">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List>
</comments>
</file>

<file path=xl/sharedStrings.xml><?xml version="1.0" encoding="utf-8"?>
<sst xmlns="http://schemas.openxmlformats.org/spreadsheetml/2006/main" count="462" uniqueCount="226">
  <si>
    <t>About this tool…</t>
  </si>
  <si>
    <t>PCB MATERIAL MODELER</t>
  </si>
  <si>
    <t>Version Number</t>
  </si>
  <si>
    <t>Created by</t>
  </si>
  <si>
    <t>Ahmed Ibrahim</t>
  </si>
  <si>
    <t>LICENSE INFORMATION:</t>
  </si>
  <si>
    <t>Copyright © 2025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</si>
  <si>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</si>
  <si>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</si>
  <si>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</si>
  <si>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</si>
  <si>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</si>
  <si>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</si>
  <si>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</si>
  <si>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</si>
  <si>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</si>
  <si>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1.2.0</t>
  </si>
  <si>
    <t>1.1.1</t>
  </si>
  <si>
    <t>Added a selector for copper foil treatment process</t>
  </si>
  <si>
    <t>1.1.0</t>
  </si>
  <si>
    <t>Database format</t>
  </si>
  <si>
    <t>1.0.2</t>
  </si>
  <si>
    <t>Added more materials</t>
  </si>
  <si>
    <t>1.0.1</t>
  </si>
  <si>
    <t>Added the calculation of loss tangent from the input resin content</t>
  </si>
  <si>
    <t>1.0.0</t>
  </si>
  <si>
    <t>Initial Release</t>
  </si>
  <si>
    <t>USER GUIDE</t>
  </si>
  <si>
    <t>NOTES:</t>
  </si>
  <si>
    <t>Do enter user input ONLY in the yellow-highlighted cells</t>
  </si>
  <si>
    <r>
      <t xml:space="preserve">1- Input the stripline dimensions, PCB process constants, and temperature coefficients in the </t>
    </r>
    <r>
      <rPr>
        <b/>
        <u/>
        <sz val="10"/>
        <color theme="0"/>
        <rFont val="Arial"/>
        <family val="2"/>
      </rPr>
      <t>Material Database</t>
    </r>
    <r>
      <rPr>
        <sz val="10"/>
        <color theme="0"/>
        <rFont val="Arial"/>
        <family val="2"/>
      </rPr>
      <t xml:space="preserve"> tab, then select the material and desired copper foil process, and observe the values being read in the </t>
    </r>
    <r>
      <rPr>
        <b/>
        <u/>
        <sz val="10"/>
        <color theme="0"/>
        <rFont val="Arial"/>
        <family val="2"/>
      </rPr>
      <t>Material Modeler</t>
    </r>
    <r>
      <rPr>
        <sz val="10"/>
        <color theme="0"/>
        <rFont val="Arial"/>
        <family val="2"/>
      </rPr>
      <t xml:space="preserve"> tab.</t>
    </r>
  </si>
  <si>
    <t>Stripline dimensions</t>
  </si>
  <si>
    <t xml:space="preserve">        PCB process constants</t>
  </si>
  <si>
    <t>Temperature coefficients</t>
  </si>
  <si>
    <t>Dielectric Material</t>
  </si>
  <si>
    <t>Copper Foil</t>
  </si>
  <si>
    <t>2- The dielectric constant (DK) in-plane values versus frequency (GHz) for different thicknesses/resin contents. In-plane values are those that were characterized by SPC or Cylindrical resonator. When Dk is measured by an in-plane method (SPC or Cylindrical Resonator), effective Dk is linear to resin content for a given glass style. Then enter DF value as well, the DF value should be almost independent from the dielectric thickness.</t>
  </si>
  <si>
    <t>Material Constants</t>
  </si>
  <si>
    <t>Base Temperature</t>
  </si>
  <si>
    <t xml:space="preserve">Stripline geometry for Zdiff=100Ohm </t>
  </si>
  <si>
    <t>6 Frequency Points</t>
  </si>
  <si>
    <t>Dielectric Thickness (Datasheet)</t>
  </si>
  <si>
    <t>Resin Content (Datasheet)</t>
  </si>
  <si>
    <t>In-plane DK value vs frequency (Datasheet) for t1, RC1</t>
  </si>
  <si>
    <t>In-plane DK value vs frequency (Datasheet) for t2, RC2</t>
  </si>
  <si>
    <t>In-plane DK value vs frequency (Datasheet) for t3, RC3</t>
  </si>
  <si>
    <t>DF value vs frequency (Datasheet) for t1, RC1</t>
  </si>
  <si>
    <t>DF value vs frequency (Datasheet) for t2, RC2</t>
  </si>
  <si>
    <t>DF value vs frequency (Datasheet) for t3, RC3</t>
  </si>
  <si>
    <t>Roughness</t>
  </si>
  <si>
    <t>Material</t>
  </si>
  <si>
    <t>Tc_DK (1/°C)</t>
  </si>
  <si>
    <t>Tc_DF (1/°C)</t>
  </si>
  <si>
    <t>α_M (1/°C)</t>
  </si>
  <si>
    <t>σo (S/m)</t>
  </si>
  <si>
    <t>Δ (µm)</t>
  </si>
  <si>
    <r>
      <t>T</t>
    </r>
    <r>
      <rPr>
        <sz val="8"/>
        <color theme="0"/>
        <rFont val="Calibri"/>
        <family val="2"/>
        <scheme val="minor"/>
      </rPr>
      <t>o</t>
    </r>
    <r>
      <rPr>
        <sz val="11"/>
        <color theme="0"/>
        <rFont val="Calibri"/>
        <family val="2"/>
        <scheme val="minor"/>
      </rPr>
      <t xml:space="preserve"> (°C)</t>
    </r>
  </si>
  <si>
    <t>t_D (µm)</t>
  </si>
  <si>
    <t>t_M (µm)</t>
  </si>
  <si>
    <t>W (µm)</t>
  </si>
  <si>
    <t>S (µm)</t>
  </si>
  <si>
    <t>f1 (GHz)</t>
  </si>
  <si>
    <t>f2 (GHz)</t>
  </si>
  <si>
    <t>f3 (GHz)</t>
  </si>
  <si>
    <t>f4 (GHz)</t>
  </si>
  <si>
    <t>f5 (GHz)</t>
  </si>
  <si>
    <t>f6 (GHz)</t>
  </si>
  <si>
    <t>t1 (µm)</t>
  </si>
  <si>
    <t>t2 (µm)</t>
  </si>
  <si>
    <t>t3 (µm)</t>
  </si>
  <si>
    <t>RC1 (%)</t>
  </si>
  <si>
    <t>RC2 (%)</t>
  </si>
  <si>
    <t>RC3 (%)</t>
  </si>
  <si>
    <t>DK11</t>
  </si>
  <si>
    <t>DK12</t>
  </si>
  <si>
    <t>DK13</t>
  </si>
  <si>
    <t>DK14</t>
  </si>
  <si>
    <t>DK15</t>
  </si>
  <si>
    <t>DK16</t>
  </si>
  <si>
    <t>DK21</t>
  </si>
  <si>
    <t>DK22</t>
  </si>
  <si>
    <t>DK23</t>
  </si>
  <si>
    <t>DK24</t>
  </si>
  <si>
    <t>DK25</t>
  </si>
  <si>
    <t>DK26</t>
  </si>
  <si>
    <t>DK31</t>
  </si>
  <si>
    <t>DK32</t>
  </si>
  <si>
    <t>DK33</t>
  </si>
  <si>
    <t>DK34</t>
  </si>
  <si>
    <t>DK35</t>
  </si>
  <si>
    <t>DK36</t>
  </si>
  <si>
    <t>DF11</t>
  </si>
  <si>
    <t>DF12</t>
  </si>
  <si>
    <t>DF13</t>
  </si>
  <si>
    <t>DF14</t>
  </si>
  <si>
    <t>DF15</t>
  </si>
  <si>
    <t>DF16</t>
  </si>
  <si>
    <t>DF21</t>
  </si>
  <si>
    <t>DF22</t>
  </si>
  <si>
    <t>DF23</t>
  </si>
  <si>
    <t>DF24</t>
  </si>
  <si>
    <t>DF25</t>
  </si>
  <si>
    <t>DF26</t>
  </si>
  <si>
    <t>DF31</t>
  </si>
  <si>
    <t>DF32</t>
  </si>
  <si>
    <t>DF33</t>
  </si>
  <si>
    <t>DF34</t>
  </si>
  <si>
    <t>DF35</t>
  </si>
  <si>
    <t>DF36</t>
  </si>
  <si>
    <t>Table2</t>
  </si>
  <si>
    <t>STD (1x6.00µm)</t>
  </si>
  <si>
    <t>TU863+_1x2116_Preg</t>
  </si>
  <si>
    <t>RTF (1x4.00µm)</t>
  </si>
  <si>
    <t>Tachyon100G_2x1078_Core</t>
  </si>
  <si>
    <t>(1x3.00µm)</t>
  </si>
  <si>
    <t>SpeedWave300P_1x1035_Preg</t>
  </si>
  <si>
    <t>VLP (1x2.75µm)</t>
  </si>
  <si>
    <t>SierraCircuits - Megtron 6 R-5775</t>
  </si>
  <si>
    <t>VLP (1x2.50µm)</t>
  </si>
  <si>
    <t>VLP (1x2.25µm)</t>
  </si>
  <si>
    <t>(1x2.00µm)</t>
  </si>
  <si>
    <t>HVLP (1x1.50µm)</t>
  </si>
  <si>
    <t>HVLP2 (1x1.60µm)</t>
  </si>
  <si>
    <t>Chosen Thickness (µm):</t>
  </si>
  <si>
    <r>
      <t>Conductivity σ</t>
    </r>
    <r>
      <rPr>
        <sz val="8"/>
        <color theme="0"/>
        <rFont val="Calibri"/>
        <family val="2"/>
        <scheme val="minor"/>
      </rPr>
      <t>o</t>
    </r>
    <r>
      <rPr>
        <sz val="11"/>
        <color theme="0"/>
        <rFont val="Calibri"/>
        <family val="2"/>
        <scheme val="minor"/>
      </rPr>
      <t xml:space="preserve"> (S/m):</t>
    </r>
  </si>
  <si>
    <r>
      <t>DK Coeffcient Tc</t>
    </r>
    <r>
      <rPr>
        <sz val="8"/>
        <color theme="0"/>
        <rFont val="Calibri"/>
        <family val="2"/>
        <scheme val="minor"/>
      </rPr>
      <t>_DK</t>
    </r>
    <r>
      <rPr>
        <sz val="11"/>
        <color theme="0"/>
        <rFont val="Calibri"/>
        <family val="2"/>
        <scheme val="minor"/>
      </rPr>
      <t xml:space="preserve"> (1/°C):</t>
    </r>
  </si>
  <si>
    <t>A</t>
  </si>
  <si>
    <t>User Input</t>
  </si>
  <si>
    <t>Metal Thickness t (µm):</t>
  </si>
  <si>
    <r>
      <t>Temperature T</t>
    </r>
    <r>
      <rPr>
        <sz val="8"/>
        <color theme="0"/>
        <rFont val="Calibri"/>
        <family val="2"/>
        <scheme val="minor"/>
      </rPr>
      <t>o</t>
    </r>
    <r>
      <rPr>
        <sz val="11"/>
        <color theme="0"/>
        <rFont val="Calibri"/>
        <family val="2"/>
        <scheme val="minor"/>
      </rPr>
      <t xml:space="preserve"> (°C):</t>
    </r>
  </si>
  <si>
    <r>
      <t>DF Coeffcient Tc</t>
    </r>
    <r>
      <rPr>
        <sz val="8"/>
        <color theme="0"/>
        <rFont val="Calibri"/>
        <family val="2"/>
        <scheme val="minor"/>
      </rPr>
      <t>_DF</t>
    </r>
    <r>
      <rPr>
        <sz val="11"/>
        <color theme="0"/>
        <rFont val="Calibri"/>
        <family val="2"/>
        <scheme val="minor"/>
      </rPr>
      <t xml:space="preserve"> (1/°C):</t>
    </r>
  </si>
  <si>
    <t>B</t>
  </si>
  <si>
    <t>Output</t>
  </si>
  <si>
    <t>Temp (°C)</t>
  </si>
  <si>
    <t>Trace Width W (µm):</t>
  </si>
  <si>
    <r>
      <t xml:space="preserve">Roughness_RMS </t>
    </r>
    <r>
      <rPr>
        <sz val="11"/>
        <color theme="0"/>
        <rFont val="Calibri"/>
        <family val="2"/>
      </rPr>
      <t xml:space="preserve">Δ </t>
    </r>
    <r>
      <rPr>
        <sz val="11"/>
        <color theme="0"/>
        <rFont val="Calibri"/>
        <family val="2"/>
        <scheme val="minor"/>
      </rPr>
      <t>(µm):</t>
    </r>
  </si>
  <si>
    <r>
      <t>Metal Coeffcient α</t>
    </r>
    <r>
      <rPr>
        <sz val="8"/>
        <color theme="0"/>
        <rFont val="Calibri"/>
        <family val="2"/>
        <scheme val="minor"/>
      </rPr>
      <t xml:space="preserve">_M </t>
    </r>
    <r>
      <rPr>
        <sz val="11"/>
        <color theme="0"/>
        <rFont val="Calibri"/>
        <family val="2"/>
        <scheme val="minor"/>
      </rPr>
      <t>(1/°C):</t>
    </r>
  </si>
  <si>
    <t>C</t>
  </si>
  <si>
    <t>Database</t>
  </si>
  <si>
    <t>Dk_avg</t>
  </si>
  <si>
    <t>Trace Spacing S (µm):</t>
  </si>
  <si>
    <t>Df</t>
  </si>
  <si>
    <t>δs (µm)</t>
  </si>
  <si>
    <r>
      <t>R' (</t>
    </r>
    <r>
      <rPr>
        <sz val="11"/>
        <color theme="0"/>
        <rFont val="Calibri"/>
        <family val="2"/>
      </rPr>
      <t>Ω</t>
    </r>
    <r>
      <rPr>
        <sz val="11"/>
        <color theme="0"/>
        <rFont val="Calibri"/>
        <family val="2"/>
        <scheme val="minor"/>
      </rPr>
      <t>)</t>
    </r>
  </si>
  <si>
    <r>
      <t>R_even/u.l R' (</t>
    </r>
    <r>
      <rPr>
        <sz val="11"/>
        <color theme="0"/>
        <rFont val="Calibri"/>
        <family val="2"/>
      </rPr>
      <t>Ω</t>
    </r>
    <r>
      <rPr>
        <sz val="11"/>
        <color theme="0"/>
        <rFont val="Calibri"/>
        <family val="2"/>
        <scheme val="minor"/>
      </rPr>
      <t>)</t>
    </r>
  </si>
  <si>
    <t>&lt;- Use a 2D field solver for these 4 values to improve accuracy</t>
  </si>
  <si>
    <t>Zdiff (Ω)</t>
  </si>
  <si>
    <r>
      <t>R_odd/u.l R' (</t>
    </r>
    <r>
      <rPr>
        <sz val="11"/>
        <color theme="0"/>
        <rFont val="Calibri"/>
        <family val="2"/>
      </rPr>
      <t>Ω</t>
    </r>
    <r>
      <rPr>
        <sz val="11"/>
        <color theme="0"/>
        <rFont val="Calibri"/>
        <family val="2"/>
        <scheme val="minor"/>
      </rPr>
      <t>)</t>
    </r>
  </si>
  <si>
    <t>DK_Inplane (From the Datasheet)</t>
  </si>
  <si>
    <t>Zo_even (Ω)</t>
  </si>
  <si>
    <t>Thickness (um)</t>
  </si>
  <si>
    <t>RC (%)</t>
  </si>
  <si>
    <t>Zo_odd (Ω)</t>
  </si>
  <si>
    <t>|Zdd| (Ω)</t>
  </si>
  <si>
    <t>Skin Depth δs (µm)</t>
  </si>
  <si>
    <t>|Zcc| (Ω)</t>
  </si>
  <si>
    <r>
      <t>Resistance/u.l R' (</t>
    </r>
    <r>
      <rPr>
        <sz val="11"/>
        <color theme="0"/>
        <rFont val="Calibri"/>
        <family val="2"/>
      </rPr>
      <t>Ω</t>
    </r>
    <r>
      <rPr>
        <sz val="11"/>
        <color theme="0"/>
        <rFont val="Calibri"/>
        <family val="2"/>
        <scheme val="minor"/>
      </rPr>
      <t>)</t>
    </r>
  </si>
  <si>
    <t>|Zs| (Ω)</t>
  </si>
  <si>
    <r>
      <t xml:space="preserve">Zdiff (Ω)  </t>
    </r>
    <r>
      <rPr>
        <b/>
        <sz val="9"/>
        <color theme="0"/>
        <rFont val="Calibri"/>
        <family val="2"/>
        <scheme val="minor"/>
      </rPr>
      <t>(Verified)</t>
    </r>
  </si>
  <si>
    <t>|Zm| (Ω)</t>
  </si>
  <si>
    <t>DF (From the Datasheet)</t>
  </si>
  <si>
    <t>K</t>
  </si>
  <si>
    <r>
      <rPr>
        <sz val="11"/>
        <color theme="0"/>
        <rFont val="Calibri"/>
        <family val="2"/>
      </rPr>
      <t>α_</t>
    </r>
    <r>
      <rPr>
        <sz val="9"/>
        <color theme="0"/>
        <rFont val="Calibri"/>
        <family val="2"/>
        <scheme val="minor"/>
      </rPr>
      <t>Dielectric</t>
    </r>
    <r>
      <rPr>
        <sz val="11"/>
        <color theme="0"/>
        <rFont val="Calibri"/>
        <family val="2"/>
        <scheme val="minor"/>
      </rPr>
      <t xml:space="preserve"> (dB/m)</t>
    </r>
  </si>
  <si>
    <t>NEXT</t>
  </si>
  <si>
    <r>
      <rPr>
        <sz val="11"/>
        <color theme="0"/>
        <rFont val="Calibri"/>
        <family val="2"/>
      </rPr>
      <t>α_</t>
    </r>
    <r>
      <rPr>
        <sz val="9"/>
        <color theme="0"/>
        <rFont val="Calibri"/>
        <family val="2"/>
        <scheme val="minor"/>
      </rPr>
      <t>SmoothMetal</t>
    </r>
    <r>
      <rPr>
        <sz val="11"/>
        <color theme="0"/>
        <rFont val="Calibri"/>
        <family val="2"/>
        <scheme val="minor"/>
      </rPr>
      <t xml:space="preserve"> (dB/m)</t>
    </r>
  </si>
  <si>
    <t>Vp (CITS)</t>
  </si>
  <si>
    <r>
      <rPr>
        <sz val="11"/>
        <color theme="0"/>
        <rFont val="Calibri"/>
        <family val="2"/>
      </rPr>
      <t>α_</t>
    </r>
    <r>
      <rPr>
        <sz val="8"/>
        <color theme="0"/>
        <rFont val="Calibri"/>
        <family val="2"/>
        <scheme val="minor"/>
      </rPr>
      <t>RoughMetal</t>
    </r>
    <r>
      <rPr>
        <sz val="11"/>
        <color theme="0"/>
        <rFont val="Calibri"/>
        <family val="2"/>
        <scheme val="minor"/>
      </rPr>
      <t xml:space="preserve">  (dB/m)</t>
    </r>
  </si>
  <si>
    <r>
      <rPr>
        <sz val="11"/>
        <color theme="0"/>
        <rFont val="Calibri"/>
        <family val="2"/>
      </rPr>
      <t>α_</t>
    </r>
    <r>
      <rPr>
        <sz val="8"/>
        <color theme="0"/>
        <rFont val="Calibri"/>
        <family val="2"/>
        <scheme val="minor"/>
      </rPr>
      <t>Total</t>
    </r>
    <r>
      <rPr>
        <sz val="11"/>
        <color theme="0"/>
        <rFont val="Calibri"/>
        <family val="2"/>
        <scheme val="minor"/>
      </rPr>
      <t xml:space="preserve">  (dB/m)</t>
    </r>
  </si>
  <si>
    <r>
      <rPr>
        <sz val="11"/>
        <color theme="0"/>
        <rFont val="Calibri"/>
        <family val="2"/>
      </rPr>
      <t>α_</t>
    </r>
    <r>
      <rPr>
        <sz val="8"/>
        <color theme="0"/>
        <rFont val="Calibri"/>
        <family val="2"/>
        <scheme val="minor"/>
      </rPr>
      <t>Dielectric</t>
    </r>
  </si>
  <si>
    <r>
      <rPr>
        <sz val="11"/>
        <color theme="0"/>
        <rFont val="Calibri"/>
        <family val="2"/>
      </rPr>
      <t>α_</t>
    </r>
    <r>
      <rPr>
        <sz val="8"/>
        <color theme="0"/>
        <rFont val="Calibri"/>
        <family val="2"/>
        <scheme val="minor"/>
      </rPr>
      <t>SmoothMetal_even</t>
    </r>
  </si>
  <si>
    <t>Intercept (DK_glass)</t>
  </si>
  <si>
    <t>Intercept (DF_glass)</t>
  </si>
  <si>
    <r>
      <rPr>
        <sz val="11"/>
        <color theme="0"/>
        <rFont val="Calibri"/>
        <family val="2"/>
      </rPr>
      <t>α_</t>
    </r>
    <r>
      <rPr>
        <sz val="8"/>
        <color theme="0"/>
        <rFont val="Calibri"/>
        <family val="2"/>
        <scheme val="minor"/>
      </rPr>
      <t>SmoothMetal_odd</t>
    </r>
  </si>
  <si>
    <t>DK_Resin</t>
  </si>
  <si>
    <t>DF_Resin</t>
  </si>
  <si>
    <r>
      <rPr>
        <sz val="11"/>
        <color theme="0"/>
        <rFont val="Calibri"/>
        <family val="2"/>
      </rPr>
      <t>α_</t>
    </r>
    <r>
      <rPr>
        <sz val="8"/>
        <color theme="0"/>
        <rFont val="Calibri"/>
        <family val="2"/>
        <scheme val="minor"/>
      </rPr>
      <t>RoughMetal_even</t>
    </r>
  </si>
  <si>
    <r>
      <rPr>
        <sz val="11"/>
        <color theme="0"/>
        <rFont val="Calibri"/>
        <family val="2"/>
      </rPr>
      <t>α_</t>
    </r>
    <r>
      <rPr>
        <sz val="8"/>
        <color theme="0"/>
        <rFont val="Calibri"/>
        <family val="2"/>
        <scheme val="minor"/>
      </rPr>
      <t>RoughMetal_odd</t>
    </r>
  </si>
  <si>
    <t>DK_InPlane (From Dk_Glass, DK_Resin, and RC)</t>
  </si>
  <si>
    <t>DK_OutofPlane (From Dk_Glass, DK_Resin, and RC)</t>
  </si>
  <si>
    <t>DF (From DF_Glass, DF_Resin, and RC)</t>
  </si>
  <si>
    <r>
      <t>α_</t>
    </r>
    <r>
      <rPr>
        <sz val="8"/>
        <color theme="0"/>
        <rFont val="Calibri"/>
        <family val="2"/>
        <scheme val="minor"/>
      </rPr>
      <t>Total_even</t>
    </r>
    <r>
      <rPr>
        <sz val="11"/>
        <color theme="0"/>
        <rFont val="Calibri"/>
        <family val="2"/>
      </rPr>
      <t xml:space="preserve">  (dB/m)</t>
    </r>
  </si>
  <si>
    <r>
      <t>α_</t>
    </r>
    <r>
      <rPr>
        <sz val="8"/>
        <color theme="0"/>
        <rFont val="Calibri"/>
        <family val="2"/>
        <scheme val="minor"/>
      </rPr>
      <t xml:space="preserve">Total_odd </t>
    </r>
    <r>
      <rPr>
        <sz val="11"/>
        <color theme="0"/>
        <rFont val="Calibri"/>
        <family val="2"/>
        <scheme val="minor"/>
      </rPr>
      <t>(dB/m)</t>
    </r>
  </si>
  <si>
    <t>Stripline Total Loss vs. Temperature (dB/m)</t>
  </si>
  <si>
    <r>
      <t>β_</t>
    </r>
    <r>
      <rPr>
        <sz val="8"/>
        <color theme="0"/>
        <rFont val="Aptos Narrow"/>
        <family val="2"/>
      </rPr>
      <t>even/odd</t>
    </r>
    <r>
      <rPr>
        <sz val="11"/>
        <color theme="0"/>
        <rFont val="Aptos Narrow"/>
        <family val="2"/>
      </rPr>
      <t xml:space="preserve"> (rad/m)</t>
    </r>
  </si>
  <si>
    <r>
      <rPr>
        <sz val="11"/>
        <color theme="0"/>
        <rFont val="Calibri"/>
        <family val="2"/>
      </rPr>
      <t>γ</t>
    </r>
    <r>
      <rPr>
        <sz val="9.35"/>
        <color theme="0"/>
        <rFont val="Aptos Narrow"/>
        <family val="2"/>
      </rPr>
      <t>_even</t>
    </r>
  </si>
  <si>
    <r>
      <t>γ</t>
    </r>
    <r>
      <rPr>
        <sz val="9"/>
        <color theme="0"/>
        <rFont val="Aptos Narrow"/>
        <family val="2"/>
      </rPr>
      <t>_odd</t>
    </r>
  </si>
  <si>
    <r>
      <t>R</t>
    </r>
    <r>
      <rPr>
        <sz val="9"/>
        <color theme="0"/>
        <rFont val="Aptos Narrow"/>
        <family val="2"/>
      </rPr>
      <t>even</t>
    </r>
    <r>
      <rPr>
        <sz val="11"/>
        <color theme="0"/>
        <rFont val="Aptos Narrow"/>
        <family val="2"/>
      </rPr>
      <t xml:space="preserve"> (Ω/u.l)</t>
    </r>
  </si>
  <si>
    <r>
      <t>R</t>
    </r>
    <r>
      <rPr>
        <sz val="9"/>
        <color theme="0"/>
        <rFont val="Aptos Narrow"/>
        <family val="2"/>
      </rPr>
      <t>odd</t>
    </r>
    <r>
      <rPr>
        <sz val="11"/>
        <color theme="0"/>
        <rFont val="Aptos Narrow"/>
        <family val="2"/>
      </rPr>
      <t xml:space="preserve"> (Ω/u.l)</t>
    </r>
  </si>
  <si>
    <r>
      <t>L</t>
    </r>
    <r>
      <rPr>
        <sz val="9"/>
        <color theme="0"/>
        <rFont val="Aptos Narrow"/>
        <family val="2"/>
      </rPr>
      <t>even</t>
    </r>
    <r>
      <rPr>
        <sz val="11"/>
        <color theme="0"/>
        <rFont val="Aptos Narrow"/>
        <family val="2"/>
      </rPr>
      <t xml:space="preserve"> (nH/u.l)</t>
    </r>
  </si>
  <si>
    <r>
      <t>L</t>
    </r>
    <r>
      <rPr>
        <sz val="9"/>
        <color theme="0"/>
        <rFont val="Aptos Narrow"/>
        <family val="2"/>
      </rPr>
      <t>odd</t>
    </r>
    <r>
      <rPr>
        <sz val="11"/>
        <color theme="0"/>
        <rFont val="Aptos Narrow"/>
        <family val="2"/>
      </rPr>
      <t xml:space="preserve"> (nH/u.l)</t>
    </r>
  </si>
  <si>
    <t>Geven (Ʊ/u.l)</t>
  </si>
  <si>
    <r>
      <t>G</t>
    </r>
    <r>
      <rPr>
        <sz val="9"/>
        <color theme="0"/>
        <rFont val="Aptos Narrow"/>
        <family val="2"/>
      </rPr>
      <t>odd</t>
    </r>
    <r>
      <rPr>
        <sz val="11"/>
        <color theme="0"/>
        <rFont val="Aptos Narrow"/>
        <family val="2"/>
      </rPr>
      <t xml:space="preserve"> (Ʊ/u.l)</t>
    </r>
  </si>
  <si>
    <r>
      <t>C</t>
    </r>
    <r>
      <rPr>
        <sz val="9"/>
        <color theme="0"/>
        <rFont val="Aptos Narrow"/>
        <family val="2"/>
      </rPr>
      <t>even</t>
    </r>
    <r>
      <rPr>
        <sz val="11"/>
        <color theme="0"/>
        <rFont val="Aptos Narrow"/>
        <family val="2"/>
      </rPr>
      <t xml:space="preserve"> (pF/u.l)</t>
    </r>
  </si>
  <si>
    <r>
      <t>C</t>
    </r>
    <r>
      <rPr>
        <sz val="9"/>
        <color theme="0"/>
        <rFont val="Aptos Narrow"/>
        <family val="2"/>
      </rPr>
      <t>odd</t>
    </r>
    <r>
      <rPr>
        <sz val="11"/>
        <color theme="0"/>
        <rFont val="Aptos Narrow"/>
        <family val="2"/>
      </rPr>
      <t xml:space="preserve"> (pF/u.l)</t>
    </r>
  </si>
  <si>
    <t>R11=R22 (Ω/u.l)</t>
  </si>
  <si>
    <t>R12=R21 (Ω/u.l)</t>
  </si>
  <si>
    <t>L11=L22 (nH/u.l)</t>
  </si>
  <si>
    <t>L12=L21  (nH/u.l)</t>
  </si>
  <si>
    <r>
      <t>G11=G22 (</t>
    </r>
    <r>
      <rPr>
        <sz val="11"/>
        <color theme="0"/>
        <rFont val="Calibri"/>
        <family val="2"/>
      </rPr>
      <t>Ʊ</t>
    </r>
    <r>
      <rPr>
        <sz val="11"/>
        <color theme="0"/>
        <rFont val="Calibri"/>
        <family val="2"/>
        <scheme val="minor"/>
      </rPr>
      <t>/u.l)</t>
    </r>
  </si>
  <si>
    <t>G12=G21 (Ʊ/u.l)</t>
  </si>
  <si>
    <t>C11=C22 (pF/u.l)</t>
  </si>
  <si>
    <t>C12=C21 (pF/u.l)</t>
  </si>
  <si>
    <t>Rs (Ω/u.l)</t>
  </si>
  <si>
    <t>Rm (Ω/u.l)</t>
  </si>
  <si>
    <t>Ls (nH/u.l)</t>
  </si>
  <si>
    <t>Lm  (nH/u.l)</t>
  </si>
  <si>
    <t>Gs (Ʊ/u.l)</t>
  </si>
  <si>
    <t>Gm (Ʊ/u.l))</t>
  </si>
  <si>
    <t>Cs (pF/u.l)</t>
  </si>
  <si>
    <t>Cm (pF/u.l)</t>
  </si>
  <si>
    <t>Nominal</t>
  </si>
  <si>
    <t>+/-</t>
  </si>
  <si>
    <t>-/+</t>
  </si>
  <si>
    <t>Minimum Zo / Maximum Loss</t>
  </si>
  <si>
    <t>Maximum Zo / Minimum Loss</t>
  </si>
  <si>
    <t>Minimum Zo / Maximum α</t>
  </si>
  <si>
    <t>Maximum Zo / Minimum α</t>
  </si>
  <si>
    <t>Error (negative)</t>
  </si>
  <si>
    <t>Error (Positive)</t>
  </si>
  <si>
    <t>Added Transmission Line Design Tab that includes manufacturing tolerances and RLGC calculations</t>
  </si>
  <si>
    <t>Note: When Dk is measured by an in-plane method (SPC or Cylindrical Resonator), effective Dk is linear to RC for a given glass style.</t>
  </si>
  <si>
    <r>
      <t xml:space="preserve">4- The tool also assumes a linear dependence of DK and DF values over temperature as per the Tc_DK (1/°C) and Tc_DF (1/°C) values entered in the </t>
    </r>
    <r>
      <rPr>
        <b/>
        <u/>
        <sz val="10"/>
        <color theme="0"/>
        <rFont val="Arial"/>
        <family val="2"/>
      </rPr>
      <t>Material Database</t>
    </r>
    <r>
      <rPr>
        <sz val="10"/>
        <color theme="0"/>
        <rFont val="Arial"/>
        <family val="2"/>
      </rPr>
      <t>.</t>
    </r>
  </si>
  <si>
    <t>3- The tool will calculate the DK/DF of the resin and the glass separately, then it will use them to calculate the in-plane effective dielectric constant, the out-of-plane value, and the loss tangent for the chosen dielectric thickness. These are the values that should be fed into field simulators. Calculation steps are detailed in the linked reference (PCB Laminate Material Out-of-plane Dielectric Constant Extraction Methodology) https://ieeexplore.ieee.org/document/9874947</t>
  </si>
  <si>
    <t>5- The tool calculate the stripline loss components (Dielectric loss, smooth metal, and loss due to roughness). Calculation steps are briefly shown as comments on each cell.</t>
  </si>
  <si>
    <t>6- Input up to 4 values of temperature to calculate the stripline loss vs temperature.
The tool takes into consideration the effect of temperature on DK, DF, and Copper conductivity.
These are the 4 temperature points at which DK and Df were plotted in the charts in section 4.</t>
  </si>
  <si>
    <r>
      <t>7- Input stripline geometric parameters in the</t>
    </r>
    <r>
      <rPr>
        <b/>
        <sz val="10"/>
        <color theme="0"/>
        <rFont val="Arial"/>
        <family val="2"/>
      </rPr>
      <t xml:space="preserve"> </t>
    </r>
    <r>
      <rPr>
        <b/>
        <u/>
        <sz val="10"/>
        <color theme="0"/>
        <rFont val="Arial"/>
        <family val="2"/>
      </rPr>
      <t>Transmission Line Design</t>
    </r>
    <r>
      <rPr>
        <sz val="10"/>
        <color theme="0"/>
        <rFont val="Arial"/>
        <family val="2"/>
      </rPr>
      <t xml:space="preserve"> tab, along with their manufacturing tolerances. Transmission line impedance, attenuation, and RLGC parameters are calculated for the odd and even modes, with statistical variances (from manufacturing tolerances). Numerical accuracy can be improved by utilizing 2D field solver results for the grey-highlighted cells. The user can also change the temperature at which the parameters are being calculated.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</si>
</sst>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E+00"/>
    <numFmt numFmtId="165" formatCode="0.0000"/>
    <numFmt numFmtId="166" formatCode="0.0%"/>
    <numFmt numFmtId="167" formatCode="0.0000E+00"/>
    <numFmt numFmtId="168" formatCode="0.000"/>
    <numFmt numFmtId="169" formatCode="0.00000"/>
    <numFmt numFmtId="170" formatCode="&quot;$&quot;#,##0.00"/>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
      <b/>
      <sz val="10"/>
      <color theme="5"/>
      <name val="Arial"/>
      <family val="2"/>
    </font>
    <font>
      <sz val="8"/>
      <name val="Calibri"/>
      <family val="2"/>
      <scheme val="minor"/>
    </font>
    <font>
      <sz val="11"/>
      <name val="Calibri"/>
      <family val="2"/>
      <scheme val="minor"/>
    </font>
    <font>
      <b/>
      <sz val="14"/>
      <name val="Calibri"/>
      <family val="2"/>
      <scheme val="minor"/>
    </font>
    <font>
      <sz val="11"/>
      <color theme="5"/>
      <name val="Calibri"/>
      <family val="2"/>
      <scheme val="minor"/>
    </font>
    <font>
      <b/>
      <u/>
      <sz val="10"/>
      <color theme="0"/>
      <name val="Arial"/>
      <family val="2"/>
    </font>
    <font>
      <sz val="11"/>
      <color theme="0"/>
      <name val="Aptos Narrow"/>
      <family val="2"/>
    </font>
    <font>
      <sz val="8"/>
      <color theme="0"/>
      <name val="Aptos Narrow"/>
      <family val="2"/>
    </font>
    <font>
      <sz val="9"/>
      <color theme="0"/>
      <name val="Calibri"/>
      <family val="2"/>
      <scheme val="minor"/>
    </font>
    <font>
      <b/>
      <sz val="12"/>
      <name val="Calibri"/>
      <family val="2"/>
      <scheme val="minor"/>
    </font>
    <font>
      <b/>
      <sz val="10"/>
      <color theme="0"/>
      <name val="Calibri"/>
      <family val="2"/>
      <scheme val="minor"/>
    </font>
    <font>
      <sz val="10"/>
      <color theme="0"/>
      <name val="Calibri"/>
      <family val="2"/>
      <scheme val="minor"/>
    </font>
    <font>
      <sz val="9.35"/>
      <color theme="0"/>
      <name val="Aptos Narrow"/>
      <family val="2"/>
    </font>
    <font>
      <sz val="9"/>
      <color theme="0"/>
      <name val="Aptos Narrow"/>
      <family val="2"/>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499984740745262"/>
        <bgColor indexed="64"/>
      </patternFill>
    </fill>
  </fills>
  <borders count="38">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0"/>
      </bottom>
      <diagonal/>
    </border>
    <border>
      <left/>
      <right/>
      <top style="thin">
        <color theme="0"/>
      </top>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top style="thin">
        <color theme="0"/>
      </top>
      <bottom/>
      <diagonal/>
    </border>
    <border>
      <left/>
      <right style="medium">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thin">
        <color theme="0"/>
      </left>
      <right style="thin">
        <color theme="0"/>
      </right>
      <top/>
      <bottom style="medium">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theme="0"/>
      </top>
      <bottom/>
      <diagonal/>
    </border>
    <border>
      <left style="medium">
        <color indexed="64"/>
      </left>
      <right/>
      <top/>
      <bottom style="medium">
        <color theme="0"/>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302">
    <xf numFmtId="0" fontId="0" fillId="0" borderId="0" xfId="0"/>
    <xf numFmtId="0" fontId="22" fillId="2" borderId="4" xfId="0" applyFont="1" applyFill="1" applyBorder="1" applyAlignment="1">
      <alignment vertical="center"/>
    </xf>
    <xf numFmtId="167" fontId="22" fillId="2" borderId="0" xfId="0" applyNumberFormat="1" applyFont="1" applyFill="1" applyAlignment="1">
      <alignment vertical="center"/>
    </xf>
    <xf numFmtId="11" fontId="22" fillId="2" borderId="0" xfId="0" applyNumberFormat="1" applyFont="1" applyFill="1" applyAlignment="1">
      <alignment vertical="center"/>
    </xf>
    <xf numFmtId="0" fontId="22" fillId="2" borderId="0" xfId="0" applyFont="1" applyFill="1" applyAlignment="1">
      <alignment vertical="center"/>
    </xf>
    <xf numFmtId="0" fontId="22" fillId="2" borderId="0" xfId="0" applyFont="1" applyFill="1" applyAlignment="1">
      <alignment horizontal="right" vertical="center"/>
    </xf>
    <xf numFmtId="0" fontId="22" fillId="2" borderId="0" xfId="0" applyFont="1" applyFill="1" applyAlignment="1">
      <alignment horizontal="right" vertical="center" wrapText="1"/>
    </xf>
    <xf numFmtId="2" fontId="22" fillId="2" borderId="0" xfId="0" applyNumberFormat="1" applyFont="1" applyFill="1" applyAlignment="1">
      <alignment horizontal="right" vertical="center"/>
    </xf>
    <xf numFmtId="9" fontId="22" fillId="2" borderId="0" xfId="1" applyFont="1" applyFill="1" applyBorder="1" applyAlignment="1">
      <alignment vertical="center"/>
    </xf>
    <xf numFmtId="2" fontId="22" fillId="2" borderId="0" xfId="0" applyNumberFormat="1" applyFont="1" applyFill="1" applyAlignment="1">
      <alignment vertical="center"/>
    </xf>
    <xf numFmtId="165" fontId="22" fillId="2" borderId="0" xfId="0" applyNumberFormat="1" applyFont="1" applyFill="1" applyAlignment="1">
      <alignment vertical="center"/>
    </xf>
    <xf numFmtId="165" fontId="22" fillId="2" borderId="5" xfId="0" applyNumberFormat="1" applyFont="1" applyFill="1" applyBorder="1" applyAlignment="1">
      <alignment vertical="center"/>
    </xf>
    <xf numFmtId="11" fontId="22" fillId="2" borderId="0" xfId="0" applyNumberFormat="1" applyFont="1" applyFill="1" applyAlignment="1">
      <alignment horizontal="center" vertical="center"/>
    </xf>
    <xf numFmtId="2" fontId="2" fillId="4" borderId="2" xfId="0" applyNumberFormat="1" applyFont="1" applyFill="1" applyBorder="1" applyProtection="1">
      <protection hidden="1"/>
    </xf>
    <xf numFmtId="2" fontId="2" fillId="4" borderId="3" xfId="0" applyNumberFormat="1" applyFont="1" applyFill="1" applyBorder="1" applyProtection="1">
      <protection hidden="1"/>
    </xf>
    <xf numFmtId="2" fontId="2" fillId="4" borderId="7" xfId="0" applyNumberFormat="1" applyFont="1" applyFill="1" applyBorder="1" applyProtection="1">
      <protection hidden="1"/>
    </xf>
    <xf numFmtId="2" fontId="2" fillId="4" borderId="8" xfId="0" applyNumberFormat="1" applyFont="1" applyFill="1" applyBorder="1" applyProtection="1">
      <protection hidden="1"/>
    </xf>
    <xf numFmtId="0" fontId="4" fillId="3" borderId="0" xfId="0" applyFont="1" applyFill="1" applyProtection="1">
      <protection hidden="1"/>
    </xf>
    <xf numFmtId="9" fontId="4" fillId="3" borderId="0" xfId="0" applyNumberFormat="1" applyFont="1" applyFill="1" applyProtection="1">
      <protection hidden="1"/>
    </xf>
    <xf numFmtId="11" fontId="4" fillId="3" borderId="0" xfId="0" applyNumberFormat="1" applyFont="1" applyFill="1" applyProtection="1">
      <protection hidden="1"/>
    </xf>
    <xf numFmtId="2" fontId="4" fillId="3" borderId="0" xfId="0" applyNumberFormat="1" applyFont="1" applyFill="1" applyProtection="1">
      <protection hidden="1"/>
    </xf>
    <xf numFmtId="0" fontId="3" fillId="3" borderId="0" xfId="0" applyFont="1" applyFill="1" applyAlignment="1" applyProtection="1">
      <alignment horizontal="center"/>
      <protection hidden="1"/>
    </xf>
    <xf numFmtId="0" fontId="5" fillId="3" borderId="0" xfId="0" applyFont="1" applyFill="1" applyProtection="1">
      <protection hidden="1"/>
    </xf>
    <xf numFmtId="0" fontId="4" fillId="3" borderId="4" xfId="0" applyFont="1" applyFill="1" applyBorder="1" applyProtection="1">
      <protection hidden="1"/>
    </xf>
    <xf numFmtId="0" fontId="4" fillId="3" borderId="0" xfId="0" applyFont="1" applyFill="1" applyAlignment="1" applyProtection="1">
      <alignment horizontal="center"/>
      <protection hidden="1"/>
    </xf>
    <xf numFmtId="2" fontId="4" fillId="3" borderId="5" xfId="0" applyNumberFormat="1" applyFont="1" applyFill="1" applyBorder="1" applyProtection="1">
      <protection hidden="1"/>
    </xf>
    <xf numFmtId="0" fontId="4" fillId="3" borderId="6" xfId="0" applyFont="1" applyFill="1" applyBorder="1" applyProtection="1">
      <protection hidden="1"/>
    </xf>
    <xf numFmtId="2" fontId="0" fillId="4" borderId="7" xfId="0" applyNumberFormat="1" applyFill="1" applyBorder="1" applyProtection="1">
      <protection hidden="1"/>
    </xf>
    <xf numFmtId="2" fontId="0" fillId="4" borderId="8" xfId="0" applyNumberFormat="1" applyFill="1" applyBorder="1" applyProtection="1">
      <protection hidden="1"/>
    </xf>
    <xf numFmtId="10" fontId="4" fillId="3" borderId="0" xfId="1" applyNumberFormat="1" applyFont="1" applyFill="1" applyProtection="1">
      <protection hidden="1"/>
    </xf>
    <xf numFmtId="2" fontId="0" fillId="4" borderId="0" xfId="0" applyNumberFormat="1" applyFill="1" applyProtection="1">
      <protection hidden="1"/>
    </xf>
    <xf numFmtId="2" fontId="0" fillId="4" borderId="5" xfId="0" applyNumberFormat="1" applyFill="1" applyBorder="1" applyProtection="1">
      <protection hidden="1"/>
    </xf>
    <xf numFmtId="2" fontId="4" fillId="3" borderId="6" xfId="0" applyNumberFormat="1" applyFont="1" applyFill="1" applyBorder="1" applyProtection="1">
      <protection hidden="1"/>
    </xf>
    <xf numFmtId="166" fontId="4" fillId="3" borderId="7" xfId="0" applyNumberFormat="1" applyFont="1" applyFill="1" applyBorder="1" applyProtection="1">
      <protection hidden="1"/>
    </xf>
    <xf numFmtId="0" fontId="24" fillId="3" borderId="0" xfId="0" applyFont="1" applyFill="1" applyAlignment="1" applyProtection="1">
      <alignment horizontal="center" vertical="center" wrapText="1"/>
      <protection hidden="1"/>
    </xf>
    <xf numFmtId="11" fontId="24" fillId="3" borderId="0" xfId="0" applyNumberFormat="1" applyFont="1" applyFill="1" applyAlignment="1" applyProtection="1">
      <alignment horizontal="center" vertical="center" wrapText="1"/>
      <protection hidden="1"/>
    </xf>
    <xf numFmtId="0" fontId="0" fillId="2" borderId="0" xfId="0" applyFill="1" applyAlignment="1" applyProtection="1">
      <alignment horizontal="center"/>
      <protection hidden="1"/>
    </xf>
    <xf numFmtId="0" fontId="2" fillId="4" borderId="0" xfId="0" applyFont="1" applyFill="1" applyAlignment="1" applyProtection="1">
      <alignment horizontal="center"/>
      <protection hidden="1"/>
    </xf>
    <xf numFmtId="2" fontId="4" fillId="3" borderId="9" xfId="0" applyNumberFormat="1" applyFont="1" applyFill="1" applyBorder="1" applyAlignment="1" applyProtection="1">
      <alignment horizontal="center"/>
      <protection hidden="1"/>
    </xf>
    <xf numFmtId="2" fontId="4" fillId="3" borderId="12" xfId="0" applyNumberFormat="1" applyFont="1" applyFill="1" applyBorder="1" applyAlignment="1" applyProtection="1">
      <alignment horizontal="center"/>
      <protection hidden="1"/>
    </xf>
    <xf numFmtId="165" fontId="4" fillId="3" borderId="5" xfId="0" applyNumberFormat="1" applyFont="1" applyFill="1" applyBorder="1" applyProtection="1">
      <protection hidden="1"/>
    </xf>
    <xf numFmtId="0" fontId="4" fillId="3" borderId="11" xfId="0" applyFont="1" applyFill="1" applyBorder="1" applyProtection="1">
      <protection hidden="1"/>
    </xf>
    <xf numFmtId="2" fontId="4" fillId="3" borderId="9" xfId="0" applyNumberFormat="1" applyFont="1" applyFill="1" applyBorder="1" applyProtection="1">
      <protection hidden="1"/>
    </xf>
    <xf numFmtId="2" fontId="4" fillId="3" borderId="12" xfId="0" applyNumberFormat="1" applyFont="1" applyFill="1" applyBorder="1" applyProtection="1">
      <protection hidden="1"/>
    </xf>
    <xf numFmtId="0" fontId="4" fillId="3" borderId="13" xfId="0" applyFont="1" applyFill="1" applyBorder="1" applyProtection="1">
      <protection hidden="1"/>
    </xf>
    <xf numFmtId="0" fontId="4" fillId="3" borderId="4" xfId="0" applyFont="1" applyFill="1" applyBorder="1" applyAlignment="1" applyProtection="1">
      <alignment horizontal="center"/>
      <protection hidden="1"/>
    </xf>
    <xf numFmtId="2" fontId="24" fillId="3" borderId="0" xfId="0" applyNumberFormat="1" applyFont="1" applyFill="1" applyAlignment="1" applyProtection="1">
      <alignment horizontal="right"/>
      <protection hidden="1"/>
    </xf>
    <xf numFmtId="2" fontId="24" fillId="3" borderId="5" xfId="0" applyNumberFormat="1" applyFont="1" applyFill="1" applyBorder="1" applyAlignment="1" applyProtection="1">
      <alignment horizontal="right"/>
      <protection hidden="1"/>
    </xf>
    <xf numFmtId="2" fontId="24" fillId="3" borderId="4" xfId="0" applyNumberFormat="1" applyFont="1" applyFill="1" applyBorder="1" applyProtection="1">
      <protection hidden="1"/>
    </xf>
    <xf numFmtId="166" fontId="24" fillId="3" borderId="0" xfId="0" applyNumberFormat="1" applyFont="1" applyFill="1" applyProtection="1">
      <protection hidden="1"/>
    </xf>
    <xf numFmtId="2" fontId="24" fillId="3" borderId="0" xfId="0" applyNumberFormat="1" applyFont="1" applyFill="1" applyProtection="1">
      <protection hidden="1"/>
    </xf>
    <xf numFmtId="2" fontId="24" fillId="3" borderId="5" xfId="0" applyNumberFormat="1" applyFont="1" applyFill="1" applyBorder="1" applyProtection="1">
      <protection hidden="1"/>
    </xf>
    <xf numFmtId="2" fontId="24" fillId="3" borderId="6" xfId="0" applyNumberFormat="1" applyFont="1" applyFill="1" applyBorder="1" applyProtection="1">
      <protection hidden="1"/>
    </xf>
    <xf numFmtId="166" fontId="24" fillId="3" borderId="7" xfId="0" applyNumberFormat="1" applyFont="1" applyFill="1" applyBorder="1" applyProtection="1">
      <protection hidden="1"/>
    </xf>
    <xf numFmtId="2" fontId="24" fillId="3" borderId="7" xfId="0" applyNumberFormat="1" applyFont="1" applyFill="1" applyBorder="1" applyProtection="1">
      <protection hidden="1"/>
    </xf>
    <xf numFmtId="2" fontId="24" fillId="3" borderId="8" xfId="0" applyNumberFormat="1" applyFont="1" applyFill="1" applyBorder="1" applyProtection="1">
      <protection hidden="1"/>
    </xf>
    <xf numFmtId="165" fontId="24" fillId="3" borderId="0" xfId="0" applyNumberFormat="1" applyFont="1" applyFill="1" applyProtection="1">
      <protection hidden="1"/>
    </xf>
    <xf numFmtId="165" fontId="24" fillId="3" borderId="5" xfId="0" applyNumberFormat="1" applyFont="1" applyFill="1" applyBorder="1" applyProtection="1">
      <protection hidden="1"/>
    </xf>
    <xf numFmtId="165" fontId="24" fillId="3" borderId="7" xfId="0" applyNumberFormat="1" applyFont="1" applyFill="1" applyBorder="1" applyProtection="1">
      <protection hidden="1"/>
    </xf>
    <xf numFmtId="165" fontId="24" fillId="3" borderId="8" xfId="0" applyNumberFormat="1" applyFont="1" applyFill="1" applyBorder="1" applyProtection="1">
      <protection hidden="1"/>
    </xf>
    <xf numFmtId="0" fontId="4" fillId="3" borderId="0" xfId="0" applyFont="1" applyFill="1" applyAlignment="1" applyProtection="1">
      <alignment vertical="center"/>
      <protection hidden="1"/>
    </xf>
    <xf numFmtId="165" fontId="2" fillId="4" borderId="7" xfId="0" applyNumberFormat="1" applyFont="1" applyFill="1" applyBorder="1" applyProtection="1">
      <protection hidden="1"/>
    </xf>
    <xf numFmtId="165" fontId="2" fillId="4" borderId="8" xfId="0" applyNumberFormat="1" applyFont="1" applyFill="1" applyBorder="1" applyProtection="1">
      <protection hidden="1"/>
    </xf>
    <xf numFmtId="2" fontId="4" fillId="3" borderId="7" xfId="0" applyNumberFormat="1" applyFont="1" applyFill="1" applyBorder="1" applyProtection="1">
      <protection hidden="1"/>
    </xf>
    <xf numFmtId="2" fontId="4" fillId="3" borderId="8" xfId="0" applyNumberFormat="1" applyFont="1" applyFill="1" applyBorder="1" applyProtection="1">
      <protection hidden="1"/>
    </xf>
    <xf numFmtId="2" fontId="4" fillId="3" borderId="0" xfId="0" applyNumberFormat="1" applyFont="1" applyFill="1" applyAlignment="1" applyProtection="1">
      <alignment horizontal="center"/>
      <protection hidden="1"/>
    </xf>
    <xf numFmtId="2" fontId="4" fillId="3" borderId="5" xfId="0" applyNumberFormat="1" applyFont="1" applyFill="1" applyBorder="1" applyAlignment="1" applyProtection="1">
      <alignment horizontal="center"/>
      <protection hidden="1"/>
    </xf>
    <xf numFmtId="2" fontId="4" fillId="3" borderId="4" xfId="0" applyNumberFormat="1" applyFont="1" applyFill="1" applyBorder="1" applyProtection="1">
      <protection hidden="1"/>
    </xf>
    <xf numFmtId="0" fontId="22" fillId="2" borderId="0" xfId="0" applyFont="1" applyFill="1" applyAlignment="1">
      <alignment horizontal="center" vertical="center"/>
    </xf>
    <xf numFmtId="0" fontId="4" fillId="3" borderId="15" xfId="0" applyFont="1" applyFill="1" applyBorder="1" applyProtection="1">
      <protection hidden="1"/>
    </xf>
    <xf numFmtId="0" fontId="4" fillId="3" borderId="17" xfId="0" applyFont="1" applyFill="1" applyBorder="1" applyProtection="1">
      <protection hidden="1"/>
    </xf>
    <xf numFmtId="0" fontId="6" fillId="3" borderId="17" xfId="0" applyFont="1" applyFill="1" applyBorder="1" applyProtection="1">
      <protection hidden="1"/>
    </xf>
    <xf numFmtId="0" fontId="26" fillId="3" borderId="17" xfId="0" applyFont="1" applyFill="1" applyBorder="1" applyProtection="1">
      <protection hidden="1"/>
    </xf>
    <xf numFmtId="0" fontId="4" fillId="3" borderId="19" xfId="0" applyFont="1" applyFill="1" applyBorder="1" applyProtection="1">
      <protection hidden="1"/>
    </xf>
    <xf numFmtId="168" fontId="4" fillId="3" borderId="0" xfId="0" applyNumberFormat="1" applyFont="1" applyFill="1" applyProtection="1">
      <protection hidden="1"/>
    </xf>
    <xf numFmtId="168" fontId="4" fillId="3" borderId="18" xfId="0" applyNumberFormat="1" applyFont="1" applyFill="1" applyBorder="1" applyProtection="1">
      <protection hidden="1"/>
    </xf>
    <xf numFmtId="169" fontId="4" fillId="3" borderId="0" xfId="0" applyNumberFormat="1" applyFont="1" applyFill="1" applyProtection="1">
      <protection hidden="1"/>
    </xf>
    <xf numFmtId="169" fontId="4" fillId="3" borderId="18" xfId="0" applyNumberFormat="1" applyFont="1" applyFill="1" applyBorder="1" applyProtection="1">
      <protection hidden="1"/>
    </xf>
    <xf numFmtId="168" fontId="4" fillId="3" borderId="10" xfId="0" applyNumberFormat="1" applyFont="1" applyFill="1" applyBorder="1" applyProtection="1">
      <protection hidden="1"/>
    </xf>
    <xf numFmtId="168" fontId="4" fillId="3" borderId="16" xfId="0" applyNumberFormat="1" applyFont="1" applyFill="1" applyBorder="1" applyProtection="1">
      <protection hidden="1"/>
    </xf>
    <xf numFmtId="2" fontId="4" fillId="6" borderId="0" xfId="0" applyNumberFormat="1" applyFont="1" applyFill="1" applyProtection="1">
      <protection hidden="1"/>
    </xf>
    <xf numFmtId="2" fontId="4" fillId="3" borderId="10" xfId="0" applyNumberFormat="1" applyFont="1" applyFill="1" applyBorder="1" applyAlignment="1" applyProtection="1">
      <alignment horizontal="right"/>
      <protection hidden="1"/>
    </xf>
    <xf numFmtId="2" fontId="4" fillId="3" borderId="9" xfId="0" applyNumberFormat="1" applyFont="1" applyFill="1" applyBorder="1" applyAlignment="1" applyProtection="1">
      <alignment horizontal="right"/>
      <protection hidden="1"/>
    </xf>
    <xf numFmtId="2" fontId="4" fillId="3" borderId="20" xfId="0" applyNumberFormat="1" applyFont="1" applyFill="1" applyBorder="1" applyAlignment="1" applyProtection="1">
      <alignment horizontal="right"/>
      <protection hidden="1"/>
    </xf>
    <xf numFmtId="165" fontId="4" fillId="3" borderId="9" xfId="0" applyNumberFormat="1" applyFont="1" applyFill="1" applyBorder="1" applyAlignment="1" applyProtection="1">
      <alignment horizontal="right"/>
      <protection hidden="1"/>
    </xf>
    <xf numFmtId="0" fontId="4" fillId="7" borderId="0" xfId="0" applyFont="1" applyFill="1" applyProtection="1">
      <protection hidden="1"/>
    </xf>
    <xf numFmtId="0" fontId="4" fillId="3" borderId="21" xfId="0" applyFont="1" applyFill="1" applyBorder="1" applyProtection="1">
      <protection hidden="1"/>
    </xf>
    <xf numFmtId="0" fontId="31" fillId="3" borderId="0" xfId="0" applyFont="1" applyFill="1" applyAlignment="1" applyProtection="1">
      <alignment horizontal="right" vertical="center"/>
      <protection hidden="1"/>
    </xf>
    <xf numFmtId="0" fontId="4" fillId="3" borderId="0" xfId="0" applyFont="1" applyFill="1" applyAlignment="1" applyProtection="1">
      <alignment vertical="center" textRotation="90"/>
      <protection hidden="1"/>
    </xf>
    <xf numFmtId="10" fontId="4" fillId="3" borderId="0" xfId="1" applyNumberFormat="1" applyFont="1" applyFill="1" applyBorder="1" applyProtection="1">
      <protection hidden="1"/>
    </xf>
    <xf numFmtId="2" fontId="4" fillId="3" borderId="18" xfId="0" applyNumberFormat="1" applyFont="1" applyFill="1" applyBorder="1" applyAlignment="1" applyProtection="1">
      <alignment horizontal="right"/>
      <protection hidden="1"/>
    </xf>
    <xf numFmtId="170" fontId="4" fillId="3" borderId="0" xfId="0" applyNumberFormat="1" applyFont="1" applyFill="1" applyAlignment="1" applyProtection="1">
      <alignment horizontal="right"/>
      <protection hidden="1"/>
    </xf>
    <xf numFmtId="2" fontId="4" fillId="3" borderId="0" xfId="0" applyNumberFormat="1" applyFont="1" applyFill="1" applyAlignment="1" applyProtection="1">
      <alignment horizontal="right"/>
      <protection hidden="1"/>
    </xf>
    <xf numFmtId="168" fontId="4" fillId="3" borderId="0" xfId="0" applyNumberFormat="1" applyFont="1" applyFill="1" applyAlignment="1" applyProtection="1">
      <alignment horizontal="right"/>
      <protection hidden="1"/>
    </xf>
    <xf numFmtId="2" fontId="4" fillId="6" borderId="0" xfId="0" applyNumberFormat="1" applyFont="1" applyFill="1" applyAlignment="1" applyProtection="1">
      <alignment horizontal="right"/>
      <protection hidden="1"/>
    </xf>
    <xf numFmtId="0" fontId="26" fillId="3" borderId="19" xfId="0" applyFont="1" applyFill="1" applyBorder="1" applyProtection="1">
      <protection hidden="1"/>
    </xf>
    <xf numFmtId="0" fontId="33" fillId="3" borderId="17" xfId="0" applyFont="1" applyFill="1" applyBorder="1" applyProtection="1">
      <protection hidden="1"/>
    </xf>
    <xf numFmtId="169" fontId="4" fillId="3" borderId="0" xfId="0" applyNumberFormat="1" applyFont="1" applyFill="1" applyAlignment="1" applyProtection="1">
      <alignment horizontal="right"/>
      <protection hidden="1"/>
    </xf>
    <xf numFmtId="168" fontId="4" fillId="3" borderId="10" xfId="0" applyNumberFormat="1" applyFont="1" applyFill="1" applyBorder="1" applyAlignment="1" applyProtection="1">
      <alignment horizontal="right"/>
      <protection hidden="1"/>
    </xf>
    <xf numFmtId="2" fontId="4" fillId="3" borderId="14" xfId="0" applyNumberFormat="1" applyFont="1" applyFill="1" applyBorder="1" applyAlignment="1" applyProtection="1">
      <alignment horizontal="right"/>
      <protection hidden="1"/>
    </xf>
    <xf numFmtId="165" fontId="4" fillId="3" borderId="12" xfId="0" applyNumberFormat="1" applyFont="1" applyFill="1" applyBorder="1" applyAlignment="1" applyProtection="1">
      <alignment horizontal="right"/>
      <protection hidden="1"/>
    </xf>
    <xf numFmtId="168" fontId="4" fillId="3" borderId="5" xfId="0" applyNumberFormat="1" applyFont="1" applyFill="1" applyBorder="1" applyProtection="1">
      <protection hidden="1"/>
    </xf>
    <xf numFmtId="0" fontId="4" fillId="6" borderId="4" xfId="0" applyFont="1" applyFill="1" applyBorder="1" applyProtection="1">
      <protection hidden="1"/>
    </xf>
    <xf numFmtId="2" fontId="4" fillId="6" borderId="5" xfId="0" applyNumberFormat="1" applyFont="1" applyFill="1" applyBorder="1" applyProtection="1">
      <protection hidden="1"/>
    </xf>
    <xf numFmtId="2" fontId="4" fillId="6" borderId="5" xfId="0" applyNumberFormat="1" applyFont="1" applyFill="1" applyBorder="1" applyAlignment="1" applyProtection="1">
      <alignment horizontal="right"/>
      <protection hidden="1"/>
    </xf>
    <xf numFmtId="10" fontId="4" fillId="3" borderId="5" xfId="1" applyNumberFormat="1" applyFont="1" applyFill="1" applyBorder="1" applyProtection="1">
      <protection hidden="1"/>
    </xf>
    <xf numFmtId="168" fontId="4" fillId="3" borderId="14" xfId="0" applyNumberFormat="1" applyFont="1" applyFill="1" applyBorder="1" applyProtection="1">
      <protection hidden="1"/>
    </xf>
    <xf numFmtId="0" fontId="6" fillId="3" borderId="4" xfId="0" applyFont="1" applyFill="1" applyBorder="1" applyProtection="1">
      <protection hidden="1"/>
    </xf>
    <xf numFmtId="0" fontId="26" fillId="3" borderId="4" xfId="0" applyFont="1" applyFill="1" applyBorder="1" applyProtection="1">
      <protection hidden="1"/>
    </xf>
    <xf numFmtId="2" fontId="4" fillId="3" borderId="5" xfId="0" applyNumberFormat="1" applyFont="1" applyFill="1" applyBorder="1" applyAlignment="1" applyProtection="1">
      <alignment horizontal="right"/>
      <protection hidden="1"/>
    </xf>
    <xf numFmtId="0" fontId="26" fillId="3" borderId="11" xfId="0" applyFont="1" applyFill="1" applyBorder="1" applyProtection="1">
      <protection hidden="1"/>
    </xf>
    <xf numFmtId="2" fontId="4" fillId="3" borderId="12" xfId="0" applyNumberFormat="1" applyFont="1" applyFill="1" applyBorder="1" applyAlignment="1" applyProtection="1">
      <alignment horizontal="right"/>
      <protection hidden="1"/>
    </xf>
    <xf numFmtId="168" fontId="4" fillId="3" borderId="14" xfId="0" applyNumberFormat="1" applyFont="1" applyFill="1" applyBorder="1" applyAlignment="1" applyProtection="1">
      <alignment horizontal="right"/>
      <protection hidden="1"/>
    </xf>
    <xf numFmtId="168" fontId="4" fillId="3" borderId="5" xfId="0" applyNumberFormat="1" applyFont="1" applyFill="1" applyBorder="1" applyAlignment="1" applyProtection="1">
      <alignment horizontal="right"/>
      <protection hidden="1"/>
    </xf>
    <xf numFmtId="0" fontId="33" fillId="3" borderId="4" xfId="0" applyFont="1" applyFill="1" applyBorder="1" applyProtection="1">
      <protection hidden="1"/>
    </xf>
    <xf numFmtId="169" fontId="4" fillId="3" borderId="5" xfId="0" applyNumberFormat="1" applyFont="1" applyFill="1" applyBorder="1" applyAlignment="1" applyProtection="1">
      <alignment horizontal="right"/>
      <protection hidden="1"/>
    </xf>
    <xf numFmtId="169" fontId="4" fillId="3" borderId="5" xfId="0" applyNumberFormat="1" applyFont="1" applyFill="1" applyBorder="1" applyProtection="1">
      <protection hidden="1"/>
    </xf>
    <xf numFmtId="168" fontId="4" fillId="3" borderId="7" xfId="0" applyNumberFormat="1" applyFont="1" applyFill="1" applyBorder="1" applyProtection="1">
      <protection hidden="1"/>
    </xf>
    <xf numFmtId="168" fontId="4" fillId="3" borderId="8" xfId="0" applyNumberFormat="1" applyFont="1" applyFill="1" applyBorder="1" applyProtection="1">
      <protection hidden="1"/>
    </xf>
    <xf numFmtId="0" fontId="22" fillId="2" borderId="4" xfId="0" applyFont="1" applyFill="1" applyBorder="1" applyAlignment="1">
      <alignment horizontal="right" vertical="center"/>
    </xf>
    <xf numFmtId="0" fontId="4" fillId="3" borderId="0" xfId="0" applyFont="1" applyFill="1" applyAlignment="1" applyProtection="1">
      <alignment horizontal="right"/>
      <protection hidden="1"/>
    </xf>
    <xf numFmtId="0" fontId="4" fillId="3" borderId="0" xfId="0" applyFont="1" applyFill="1" applyAlignment="1" applyProtection="1">
      <alignment horizontal="center" vertical="center" wrapText="1"/>
      <protection hidden="1"/>
    </xf>
    <xf numFmtId="0" fontId="4" fillId="3" borderId="0" xfId="0" applyFont="1" applyFill="1" applyAlignment="1" applyProtection="1">
      <alignment horizontal="center" wrapText="1"/>
      <protection hidden="1"/>
    </xf>
    <xf numFmtId="166" fontId="4" fillId="3" borderId="0" xfId="0" applyNumberFormat="1" applyFont="1" applyFill="1" applyProtection="1">
      <protection hidden="1"/>
    </xf>
    <xf numFmtId="2" fontId="3" fillId="3" borderId="6" xfId="0" applyNumberFormat="1" applyFont="1" applyFill="1" applyBorder="1" applyProtection="1">
      <protection hidden="1"/>
    </xf>
    <xf numFmtId="0" fontId="3" fillId="3" borderId="0" xfId="0" applyFont="1" applyFill="1" applyProtection="1">
      <protection hidden="1"/>
    </xf>
    <xf numFmtId="166" fontId="3" fillId="3" borderId="7" xfId="1" applyNumberFormat="1" applyFont="1" applyFill="1" applyBorder="1" applyProtection="1">
      <protection hidden="1"/>
    </xf>
    <xf numFmtId="165" fontId="4" fillId="3" borderId="0" xfId="0" applyNumberFormat="1" applyFont="1" applyFill="1" applyProtection="1">
      <protection hidden="1"/>
    </xf>
    <xf numFmtId="165" fontId="4" fillId="3" borderId="7" xfId="0" applyNumberFormat="1" applyFont="1" applyFill="1" applyBorder="1" applyProtection="1">
      <protection hidden="1"/>
    </xf>
    <xf numFmtId="165" fontId="4" fillId="3" borderId="8" xfId="0" applyNumberFormat="1" applyFont="1" applyFill="1" applyBorder="1" applyProtection="1">
      <protection hidden="1"/>
    </xf>
    <xf numFmtId="165" fontId="3" fillId="3" borderId="2" xfId="0" applyNumberFormat="1" applyFont="1" applyFill="1" applyBorder="1" applyProtection="1">
      <protection hidden="1"/>
    </xf>
    <xf numFmtId="165" fontId="3" fillId="3" borderId="3" xfId="0" applyNumberFormat="1" applyFont="1" applyFill="1" applyBorder="1" applyProtection="1">
      <protection hidden="1"/>
    </xf>
    <xf numFmtId="165" fontId="3" fillId="3" borderId="7" xfId="0" applyNumberFormat="1" applyFont="1" applyFill="1" applyBorder="1" applyProtection="1">
      <protection hidden="1"/>
    </xf>
    <xf numFmtId="165" fontId="3" fillId="3" borderId="8" xfId="0" applyNumberFormat="1" applyFont="1" applyFill="1" applyBorder="1" applyProtection="1">
      <protection hidden="1"/>
    </xf>
    <xf numFmtId="2" fontId="22" fillId="4" borderId="0" xfId="0" applyNumberFormat="1" applyFont="1" applyFill="1" applyProtection="1">
      <protection hidden="1"/>
    </xf>
    <xf numFmtId="2" fontId="22" fillId="4" borderId="5" xfId="0" applyNumberFormat="1" applyFont="1" applyFill="1" applyBorder="1" applyProtection="1">
      <protection hidden="1"/>
    </xf>
    <xf numFmtId="165" fontId="22" fillId="4" borderId="0" xfId="0" applyNumberFormat="1" applyFont="1" applyFill="1" applyProtection="1">
      <protection hidden="1"/>
    </xf>
    <xf numFmtId="165" fontId="22" fillId="4" borderId="5" xfId="0" applyNumberFormat="1" applyFont="1" applyFill="1" applyBorder="1" applyProtection="1">
      <protection hidden="1"/>
    </xf>
    <xf numFmtId="0" fontId="4" fillId="3" borderId="0" xfId="0" quotePrefix="1" applyFont="1" applyFill="1" applyAlignment="1" applyProtection="1">
      <alignment horizontal="center" vertical="center" wrapText="1"/>
      <protection hidden="1"/>
    </xf>
    <xf numFmtId="0" fontId="4" fillId="3" borderId="15" xfId="0" applyFont="1" applyFill="1" applyBorder="1" applyAlignment="1" applyProtection="1">
      <alignment horizontal="left"/>
      <protection hidden="1"/>
    </xf>
    <xf numFmtId="0" fontId="4" fillId="3" borderId="19" xfId="0" applyFont="1" applyFill="1" applyBorder="1" applyAlignment="1" applyProtection="1">
      <alignment horizontal="left"/>
      <protection hidden="1"/>
    </xf>
    <xf numFmtId="169" fontId="4" fillId="3" borderId="10" xfId="0" applyNumberFormat="1" applyFont="1" applyFill="1" applyBorder="1" applyAlignment="1" applyProtection="1">
      <alignment horizontal="right"/>
      <protection hidden="1"/>
    </xf>
    <xf numFmtId="169" fontId="4" fillId="3" borderId="16" xfId="0" applyNumberFormat="1" applyFont="1" applyFill="1" applyBorder="1" applyAlignment="1" applyProtection="1">
      <alignment horizontal="right"/>
      <protection hidden="1"/>
    </xf>
    <xf numFmtId="169" fontId="4" fillId="3" borderId="9" xfId="0" applyNumberFormat="1" applyFont="1" applyFill="1" applyBorder="1" applyAlignment="1" applyProtection="1">
      <alignment horizontal="right"/>
      <protection hidden="1"/>
    </xf>
    <xf numFmtId="169" fontId="4" fillId="3" borderId="20" xfId="0" applyNumberFormat="1" applyFont="1" applyFill="1" applyBorder="1" applyAlignment="1" applyProtection="1">
      <alignment horizontal="right"/>
      <protection hidden="1"/>
    </xf>
    <xf numFmtId="169" fontId="4" fillId="6" borderId="0" xfId="0" applyNumberFormat="1" applyFont="1" applyFill="1" applyProtection="1">
      <protection hidden="1"/>
    </xf>
    <xf numFmtId="169" fontId="4" fillId="6" borderId="18" xfId="0" applyNumberFormat="1" applyFont="1" applyFill="1" applyBorder="1" applyProtection="1">
      <protection hidden="1"/>
    </xf>
    <xf numFmtId="169" fontId="4" fillId="6" borderId="0" xfId="0" applyNumberFormat="1" applyFont="1" applyFill="1" applyAlignment="1" applyProtection="1">
      <alignment horizontal="right"/>
      <protection hidden="1"/>
    </xf>
    <xf numFmtId="169" fontId="4" fillId="6" borderId="18" xfId="0" applyNumberFormat="1" applyFont="1" applyFill="1" applyBorder="1" applyAlignment="1" applyProtection="1">
      <alignment horizontal="right"/>
      <protection hidden="1"/>
    </xf>
    <xf numFmtId="169" fontId="4" fillId="3" borderId="0" xfId="1" applyNumberFormat="1" applyFont="1" applyFill="1" applyBorder="1" applyProtection="1">
      <protection hidden="1"/>
    </xf>
    <xf numFmtId="169" fontId="4" fillId="3" borderId="18" xfId="1" applyNumberFormat="1" applyFont="1" applyFill="1" applyBorder="1" applyProtection="1">
      <protection hidden="1"/>
    </xf>
    <xf numFmtId="0" fontId="4" fillId="3" borderId="13" xfId="0" applyFont="1" applyFill="1" applyBorder="1" applyAlignment="1" applyProtection="1">
      <alignment horizontal="left"/>
      <protection hidden="1"/>
    </xf>
    <xf numFmtId="0" fontId="4" fillId="3" borderId="11" xfId="0" applyFont="1" applyFill="1" applyBorder="1" applyAlignment="1" applyProtection="1">
      <alignment horizontal="left"/>
      <protection hidden="1"/>
    </xf>
    <xf numFmtId="0" fontId="4" fillId="7" borderId="9" xfId="0" applyFont="1" applyFill="1" applyBorder="1" applyProtection="1">
      <protection hidden="1"/>
    </xf>
    <xf numFmtId="0" fontId="4" fillId="7" borderId="10" xfId="0" applyFont="1" applyFill="1" applyBorder="1" applyProtection="1">
      <protection hidden="1"/>
    </xf>
    <xf numFmtId="0" fontId="31" fillId="3" borderId="0" xfId="0" applyFont="1" applyFill="1" applyAlignment="1" applyProtection="1">
      <alignment horizontal="left" vertical="center"/>
      <protection hidden="1"/>
    </xf>
    <xf numFmtId="0" fontId="4" fillId="3" borderId="0" xfId="0" applyFont="1" applyFill="1" applyAlignment="1" applyProtection="1">
      <alignment horizontal="center" vertical="center"/>
      <protection hidden="1"/>
    </xf>
    <xf numFmtId="0" fontId="4" fillId="3" borderId="10" xfId="0" applyFont="1" applyFill="1" applyBorder="1" applyAlignment="1" applyProtection="1">
      <alignment horizontal="center" vertical="center"/>
      <protection hidden="1"/>
    </xf>
    <xf numFmtId="0" fontId="4" fillId="3" borderId="0" xfId="0" applyFont="1" applyFill="1" applyAlignment="1" applyProtection="1">
      <alignment horizontal="center" vertical="center"/>
      <protection hidden="1"/>
    </xf>
    <xf numFmtId="0" fontId="4" fillId="3" borderId="9" xfId="0" applyFont="1" applyFill="1" applyBorder="1" applyAlignment="1" applyProtection="1">
      <alignment horizontal="center" vertical="center"/>
      <protection hidden="1"/>
    </xf>
    <xf numFmtId="0" fontId="4" fillId="3" borderId="0" xfId="0" applyFont="1" applyFill="1" applyAlignment="1" applyProtection="1">
      <alignment horizontal="right"/>
      <protection hidden="1"/>
    </xf>
    <xf numFmtId="0" fontId="4" fillId="3" borderId="7" xfId="0" applyFont="1" applyFill="1" applyBorder="1" applyAlignment="1" applyProtection="1">
      <alignment horizontal="center" vertical="center"/>
      <protection hidden="1"/>
    </xf>
    <xf numFmtId="0" fontId="4" fillId="3" borderId="0" xfId="0" applyFont="1" applyFill="1" applyAlignment="1" applyProtection="1">
      <alignment horizontal="right" vertical="center"/>
      <protection hidden="1"/>
    </xf>
    <xf numFmtId="0" fontId="4" fillId="3" borderId="0" xfId="0" applyFont="1" applyFill="1" applyAlignment="1" applyProtection="1">
      <alignment horizontal="center" vertical="center" wrapText="1"/>
      <protection hidden="1"/>
    </xf>
    <xf numFmtId="0" fontId="4" fillId="3" borderId="7" xfId="0" applyFont="1" applyFill="1" applyBorder="1" applyAlignment="1" applyProtection="1">
      <alignment horizontal="center" vertical="center" wrapText="1"/>
      <protection hidden="1"/>
    </xf>
    <xf numFmtId="0" fontId="31" fillId="3" borderId="10" xfId="0" applyFont="1" applyFill="1" applyBorder="1" applyAlignment="1" applyProtection="1">
      <alignment horizontal="center" vertical="center"/>
      <protection hidden="1"/>
    </xf>
    <xf numFmtId="0" fontId="31" fillId="3" borderId="0" xfId="0" applyFont="1" applyFill="1" applyAlignment="1" applyProtection="1">
      <alignment horizontal="center" vertical="center"/>
      <protection hidden="1"/>
    </xf>
    <xf numFmtId="0" fontId="31" fillId="3" borderId="9" xfId="0" applyFont="1" applyFill="1" applyBorder="1" applyAlignment="1" applyProtection="1">
      <alignment horizontal="center" vertical="center"/>
      <protection hidden="1"/>
    </xf>
    <xf numFmtId="0" fontId="31" fillId="3" borderId="27" xfId="0" applyFont="1" applyFill="1" applyBorder="1" applyAlignment="1" applyProtection="1">
      <alignment horizontal="center" vertical="center" wrapText="1"/>
      <protection hidden="1"/>
    </xf>
    <xf numFmtId="0" fontId="4" fillId="3" borderId="0" xfId="0" applyFont="1" applyFill="1" applyAlignment="1" applyProtection="1">
      <alignment horizontal="right" vertical="center" wrapText="1"/>
      <protection hidden="1"/>
    </xf>
    <xf numFmtId="0" fontId="4" fillId="3" borderId="11" xfId="0" applyFont="1" applyFill="1" applyBorder="1" applyAlignment="1" applyProtection="1">
      <alignment horizontal="right"/>
      <protection hidden="1"/>
    </xf>
    <xf numFmtId="0" fontId="4" fillId="3" borderId="9" xfId="0" applyFont="1" applyFill="1" applyBorder="1" applyAlignment="1" applyProtection="1">
      <alignment horizontal="right"/>
      <protection hidden="1"/>
    </xf>
    <xf numFmtId="0" fontId="3" fillId="3" borderId="1" xfId="0" applyFont="1" applyFill="1" applyBorder="1" applyAlignment="1" applyProtection="1">
      <alignment horizontal="center"/>
      <protection hidden="1"/>
    </xf>
    <xf numFmtId="0" fontId="3" fillId="3" borderId="2" xfId="0" applyFont="1" applyFill="1" applyBorder="1" applyAlignment="1" applyProtection="1">
      <alignment horizontal="center"/>
      <protection hidden="1"/>
    </xf>
    <xf numFmtId="0" fontId="3" fillId="3" borderId="3" xfId="0" applyFont="1" applyFill="1" applyBorder="1" applyAlignment="1" applyProtection="1">
      <alignment horizontal="center"/>
      <protection hidden="1"/>
    </xf>
    <xf numFmtId="0" fontId="4" fillId="3" borderId="0" xfId="0" applyFont="1" applyFill="1" applyAlignment="1" applyProtection="1">
      <alignment horizontal="left"/>
      <protection hidden="1"/>
    </xf>
    <xf numFmtId="0" fontId="4" fillId="3" borderId="4" xfId="0" applyFont="1" applyFill="1" applyBorder="1" applyAlignment="1" applyProtection="1">
      <alignment horizontal="right"/>
      <protection hidden="1"/>
    </xf>
    <xf numFmtId="0" fontId="3" fillId="3" borderId="1" xfId="0" applyFont="1" applyFill="1" applyBorder="1" applyAlignment="1" applyProtection="1">
      <alignment horizontal="right"/>
      <protection hidden="1"/>
    </xf>
    <xf numFmtId="0" fontId="3" fillId="3" borderId="2" xfId="0" applyFont="1" applyFill="1" applyBorder="1" applyAlignment="1" applyProtection="1">
      <alignment horizontal="right"/>
      <protection hidden="1"/>
    </xf>
    <xf numFmtId="0" fontId="3" fillId="3" borderId="6" xfId="0" applyFont="1" applyFill="1" applyBorder="1" applyAlignment="1" applyProtection="1">
      <alignment horizontal="right"/>
      <protection hidden="1"/>
    </xf>
    <xf numFmtId="0" fontId="3" fillId="3" borderId="7" xfId="0" applyFont="1" applyFill="1" applyBorder="1" applyAlignment="1" applyProtection="1">
      <alignment horizontal="right"/>
      <protection hidden="1"/>
    </xf>
    <xf numFmtId="11" fontId="24" fillId="3" borderId="0" xfId="0" applyNumberFormat="1" applyFont="1" applyFill="1" applyAlignment="1" applyProtection="1">
      <alignment horizontal="left" vertical="center" wrapText="1"/>
      <protection hidden="1"/>
    </xf>
    <xf numFmtId="164" fontId="24" fillId="3" borderId="0" xfId="0" applyNumberFormat="1" applyFont="1" applyFill="1" applyAlignment="1" applyProtection="1">
      <alignment horizontal="left"/>
      <protection hidden="1"/>
    </xf>
    <xf numFmtId="1" fontId="24" fillId="3" borderId="0" xfId="0" applyNumberFormat="1" applyFont="1" applyFill="1" applyAlignment="1" applyProtection="1">
      <alignment horizontal="center"/>
      <protection hidden="1"/>
    </xf>
    <xf numFmtId="165" fontId="24" fillId="3" borderId="0" xfId="0" applyNumberFormat="1" applyFont="1" applyFill="1" applyAlignment="1" applyProtection="1">
      <alignment horizontal="center"/>
      <protection hidden="1"/>
    </xf>
    <xf numFmtId="1" fontId="4" fillId="3" borderId="25" xfId="0" applyNumberFormat="1" applyFont="1" applyFill="1" applyBorder="1" applyAlignment="1" applyProtection="1">
      <alignment horizontal="center" vertical="center"/>
      <protection hidden="1"/>
    </xf>
    <xf numFmtId="1" fontId="4" fillId="3" borderId="27" xfId="0" applyNumberFormat="1" applyFont="1" applyFill="1" applyBorder="1" applyAlignment="1" applyProtection="1">
      <alignment horizontal="center" vertical="center"/>
      <protection hidden="1"/>
    </xf>
    <xf numFmtId="1" fontId="4" fillId="3" borderId="30" xfId="0" applyNumberFormat="1" applyFont="1" applyFill="1" applyBorder="1" applyAlignment="1" applyProtection="1">
      <alignment horizontal="center" vertical="center"/>
      <protection hidden="1"/>
    </xf>
    <xf numFmtId="1" fontId="4" fillId="3" borderId="26" xfId="0" applyNumberFormat="1" applyFont="1" applyFill="1" applyBorder="1" applyAlignment="1" applyProtection="1">
      <alignment horizontal="center" vertical="center"/>
      <protection hidden="1"/>
    </xf>
    <xf numFmtId="0" fontId="30" fillId="6" borderId="0" xfId="0" applyFont="1" applyFill="1" applyAlignment="1" applyProtection="1">
      <alignment horizontal="center" vertical="center" wrapText="1"/>
      <protection hidden="1"/>
    </xf>
    <xf numFmtId="0" fontId="3" fillId="3" borderId="28" xfId="0" applyFont="1" applyFill="1" applyBorder="1" applyAlignment="1" applyProtection="1">
      <alignment horizontal="center"/>
      <protection hidden="1"/>
    </xf>
    <xf numFmtId="0" fontId="3" fillId="3" borderId="21" xfId="0" applyFont="1" applyFill="1" applyBorder="1" applyAlignment="1" applyProtection="1">
      <alignment horizontal="center"/>
      <protection hidden="1"/>
    </xf>
    <xf numFmtId="0" fontId="3" fillId="3" borderId="29" xfId="0" applyFont="1" applyFill="1" applyBorder="1" applyAlignment="1" applyProtection="1">
      <alignment horizontal="center"/>
      <protection hidden="1"/>
    </xf>
    <xf numFmtId="0" fontId="3" fillId="3" borderId="23" xfId="0" applyFont="1" applyFill="1" applyBorder="1" applyAlignment="1" applyProtection="1">
      <alignment horizontal="center"/>
      <protection hidden="1"/>
    </xf>
    <xf numFmtId="0" fontId="3" fillId="3" borderId="24" xfId="0" applyFont="1" applyFill="1" applyBorder="1" applyAlignment="1" applyProtection="1">
      <alignment horizontal="center"/>
      <protection hidden="1"/>
    </xf>
    <xf numFmtId="0" fontId="22" fillId="3" borderId="0" xfId="0" applyFont="1" applyFill="1" applyProtection="1">
      <protection hidden="1"/>
    </xf>
    <xf numFmtId="0" fontId="0" fillId="3" borderId="0" xfId="0" applyFill="1" applyAlignment="1" applyProtection="1">
      <alignment horizontal="center"/>
      <protection hidden="1"/>
    </xf>
    <xf numFmtId="0" fontId="22" fillId="3" borderId="0" xfId="0" applyFont="1" applyFill="1" applyAlignment="1" applyProtection="1">
      <alignment horizontal="center"/>
      <protection hidden="1"/>
    </xf>
    <xf numFmtId="0" fontId="4" fillId="3" borderId="22" xfId="0" applyFont="1" applyFill="1" applyBorder="1" applyAlignment="1" applyProtection="1">
      <alignment horizontal="center" vertical="center"/>
      <protection hidden="1"/>
    </xf>
    <xf numFmtId="0" fontId="3" fillId="3" borderId="22" xfId="0" applyFont="1" applyFill="1" applyBorder="1" applyAlignment="1" applyProtection="1">
      <alignment horizontal="center" vertical="center"/>
      <protection hidden="1"/>
    </xf>
    <xf numFmtId="0" fontId="3" fillId="3" borderId="22" xfId="0" applyFont="1" applyFill="1" applyBorder="1" applyAlignment="1" applyProtection="1">
      <alignment horizontal="center" vertical="center" wrapText="1"/>
      <protection hidden="1"/>
    </xf>
    <xf numFmtId="164" fontId="3" fillId="3" borderId="0" xfId="0" applyNumberFormat="1" applyFont="1" applyFill="1" applyAlignment="1" applyProtection="1">
      <alignment horizontal="center"/>
      <protection hidden="1"/>
    </xf>
    <xf numFmtId="164" fontId="3" fillId="3" borderId="0" xfId="0" applyNumberFormat="1" applyFont="1" applyFill="1" applyAlignment="1" applyProtection="1">
      <alignment horizontal="center" vertical="center" wrapText="1"/>
      <protection hidden="1"/>
    </xf>
    <xf numFmtId="11" fontId="3" fillId="3" borderId="0" xfId="0" applyNumberFormat="1" applyFont="1" applyFill="1" applyAlignment="1" applyProtection="1">
      <alignment horizontal="center" vertical="center" wrapText="1"/>
      <protection hidden="1"/>
    </xf>
    <xf numFmtId="0" fontId="3" fillId="3" borderId="0" xfId="0" applyFont="1" applyFill="1" applyAlignment="1" applyProtection="1">
      <alignment horizontal="center" vertical="center" wrapText="1"/>
      <protection hidden="1"/>
    </xf>
    <xf numFmtId="0" fontId="23" fillId="2" borderId="0" xfId="0" applyFont="1" applyFill="1" applyAlignment="1" applyProtection="1">
      <alignment horizontal="center" vertical="center"/>
      <protection locked="0"/>
    </xf>
    <xf numFmtId="0" fontId="29" fillId="2" borderId="0" xfId="0" applyFont="1" applyFill="1" applyAlignment="1" applyProtection="1">
      <alignment horizontal="center" vertical="center" wrapText="1"/>
      <protection locked="0"/>
    </xf>
    <xf numFmtId="0" fontId="0" fillId="2" borderId="0" xfId="0" applyFill="1" applyProtection="1">
      <protection locked="0"/>
    </xf>
    <xf numFmtId="0" fontId="0" fillId="2" borderId="7" xfId="0" applyFill="1" applyBorder="1" applyProtection="1">
      <protection locked="0"/>
    </xf>
    <xf numFmtId="0" fontId="22" fillId="2" borderId="0" xfId="0" applyFont="1" applyFill="1" applyAlignment="1" applyProtection="1">
      <alignment horizontal="center" vertical="center" wrapText="1"/>
      <protection locked="0"/>
    </xf>
    <xf numFmtId="0" fontId="22" fillId="2" borderId="0" xfId="0" quotePrefix="1" applyFont="1" applyFill="1" applyAlignment="1" applyProtection="1">
      <alignment horizontal="center" vertical="center" wrapText="1"/>
      <protection locked="0"/>
    </xf>
    <xf numFmtId="1" fontId="22" fillId="2" borderId="25" xfId="0" applyNumberFormat="1" applyFont="1" applyFill="1" applyBorder="1" applyAlignment="1" applyProtection="1">
      <alignment horizontal="center" vertical="center"/>
      <protection locked="0"/>
    </xf>
    <xf numFmtId="1" fontId="22" fillId="2" borderId="27" xfId="0" applyNumberFormat="1" applyFont="1" applyFill="1" applyBorder="1" applyAlignment="1" applyProtection="1">
      <alignment horizontal="center" vertical="center"/>
      <protection locked="0"/>
    </xf>
    <xf numFmtId="1" fontId="22" fillId="2" borderId="26" xfId="0" applyNumberFormat="1" applyFont="1" applyFill="1" applyBorder="1" applyAlignment="1" applyProtection="1">
      <alignment horizontal="center" vertical="center"/>
      <protection locked="0"/>
    </xf>
    <xf numFmtId="0" fontId="9" fillId="3" borderId="1" xfId="2" applyFont="1" applyFill="1" applyBorder="1" applyAlignment="1" applyProtection="1">
      <alignment horizontal="center" vertical="center"/>
      <protection hidden="1"/>
    </xf>
    <xf numFmtId="0" fontId="9" fillId="3" borderId="2" xfId="2" applyFont="1" applyFill="1" applyBorder="1" applyAlignment="1" applyProtection="1">
      <alignment horizontal="center" vertical="center"/>
      <protection hidden="1"/>
    </xf>
    <xf numFmtId="0" fontId="9" fillId="3" borderId="3" xfId="2" applyFont="1" applyFill="1" applyBorder="1" applyAlignment="1" applyProtection="1">
      <alignment horizontal="center" vertical="center"/>
      <protection hidden="1"/>
    </xf>
    <xf numFmtId="0" fontId="10" fillId="3" borderId="0" xfId="3" applyFill="1" applyProtection="1">
      <protection hidden="1"/>
    </xf>
    <xf numFmtId="0" fontId="9" fillId="3" borderId="4" xfId="2" applyFont="1" applyFill="1" applyBorder="1" applyAlignment="1" applyProtection="1">
      <alignment horizontal="center" vertical="center"/>
      <protection hidden="1"/>
    </xf>
    <xf numFmtId="0" fontId="9" fillId="3" borderId="0" xfId="2" applyFont="1" applyFill="1" applyAlignment="1" applyProtection="1">
      <alignment horizontal="center" vertical="center"/>
      <protection hidden="1"/>
    </xf>
    <xf numFmtId="0" fontId="9" fillId="3" borderId="5" xfId="2" applyFont="1" applyFill="1" applyBorder="1" applyAlignment="1" applyProtection="1">
      <alignment horizontal="center" vertical="center"/>
      <protection hidden="1"/>
    </xf>
    <xf numFmtId="0" fontId="11" fillId="5" borderId="4" xfId="2" applyFont="1" applyFill="1" applyBorder="1" applyAlignment="1" applyProtection="1">
      <alignment horizontal="center"/>
      <protection hidden="1"/>
    </xf>
    <xf numFmtId="0" fontId="11" fillId="5" borderId="0" xfId="2" applyFont="1" applyFill="1" applyAlignment="1" applyProtection="1">
      <alignment horizontal="center"/>
      <protection hidden="1"/>
    </xf>
    <xf numFmtId="0" fontId="11" fillId="5" borderId="5" xfId="2" applyFont="1" applyFill="1" applyBorder="1" applyAlignment="1" applyProtection="1">
      <alignment horizontal="center"/>
      <protection hidden="1"/>
    </xf>
    <xf numFmtId="0" fontId="12" fillId="3" borderId="0" xfId="2" applyFont="1" applyFill="1" applyAlignment="1" applyProtection="1">
      <alignment horizontal="center"/>
      <protection hidden="1"/>
    </xf>
    <xf numFmtId="0" fontId="12" fillId="3" borderId="5" xfId="2" applyFont="1" applyFill="1" applyBorder="1" applyAlignment="1" applyProtection="1">
      <alignment horizontal="center"/>
      <protection hidden="1"/>
    </xf>
    <xf numFmtId="0" fontId="12" fillId="3" borderId="0" xfId="2" applyFont="1" applyFill="1" applyAlignment="1" applyProtection="1">
      <alignment horizontal="left"/>
      <protection hidden="1"/>
    </xf>
    <xf numFmtId="0" fontId="1" fillId="3" borderId="0" xfId="2" applyFill="1" applyProtection="1">
      <protection hidden="1"/>
    </xf>
    <xf numFmtId="0" fontId="14" fillId="3" borderId="0" xfId="4" applyFont="1" applyFill="1" applyBorder="1" applyAlignment="1" applyProtection="1">
      <alignment vertical="center"/>
      <protection hidden="1"/>
    </xf>
    <xf numFmtId="0" fontId="14" fillId="3" borderId="5" xfId="4" applyFont="1" applyFill="1" applyBorder="1" applyAlignment="1" applyProtection="1">
      <alignment horizontal="right" vertical="center"/>
      <protection hidden="1"/>
    </xf>
    <xf numFmtId="0" fontId="14" fillId="3" borderId="0" xfId="4" applyFont="1" applyFill="1" applyBorder="1" applyAlignment="1" applyProtection="1">
      <alignment horizontal="right" vertical="center"/>
      <protection hidden="1"/>
    </xf>
    <xf numFmtId="0" fontId="4" fillId="3" borderId="4" xfId="3" applyFont="1" applyFill="1" applyBorder="1" applyProtection="1">
      <protection hidden="1"/>
    </xf>
    <xf numFmtId="0" fontId="4" fillId="3" borderId="0" xfId="3" applyFont="1" applyFill="1" applyProtection="1">
      <protection hidden="1"/>
    </xf>
    <xf numFmtId="0" fontId="4" fillId="3" borderId="5" xfId="3" applyFont="1" applyFill="1" applyBorder="1" applyProtection="1">
      <protection hidden="1"/>
    </xf>
    <xf numFmtId="0" fontId="15" fillId="3" borderId="4" xfId="3" applyFont="1" applyFill="1" applyBorder="1" applyAlignment="1" applyProtection="1">
      <alignment horizontal="left"/>
      <protection hidden="1"/>
    </xf>
    <xf numFmtId="0" fontId="15" fillId="3" borderId="0" xfId="3" applyFont="1" applyFill="1" applyAlignment="1" applyProtection="1">
      <alignment horizontal="left"/>
      <protection hidden="1"/>
    </xf>
    <xf numFmtId="0" fontId="15" fillId="3" borderId="5" xfId="3" applyFont="1" applyFill="1" applyBorder="1" applyAlignment="1" applyProtection="1">
      <alignment horizontal="left"/>
      <protection hidden="1"/>
    </xf>
    <xf numFmtId="0" fontId="4" fillId="3" borderId="4" xfId="3" applyFont="1" applyFill="1" applyBorder="1" applyAlignment="1" applyProtection="1">
      <alignment horizontal="left" vertical="top" wrapText="1"/>
      <protection hidden="1"/>
    </xf>
    <xf numFmtId="0" fontId="4" fillId="3" borderId="0" xfId="3" applyFont="1" applyFill="1" applyAlignment="1" applyProtection="1">
      <alignment horizontal="left" vertical="top" wrapText="1"/>
      <protection hidden="1"/>
    </xf>
    <xf numFmtId="0" fontId="4" fillId="3" borderId="5" xfId="3" applyFont="1" applyFill="1" applyBorder="1" applyAlignment="1" applyProtection="1">
      <alignment horizontal="left" vertical="top" wrapText="1"/>
      <protection hidden="1"/>
    </xf>
    <xf numFmtId="0" fontId="4" fillId="3" borderId="4" xfId="3" applyFont="1" applyFill="1" applyBorder="1" applyAlignment="1" applyProtection="1">
      <alignment horizontal="left"/>
      <protection hidden="1"/>
    </xf>
    <xf numFmtId="0" fontId="4" fillId="3" borderId="0" xfId="3" applyFont="1" applyFill="1" applyAlignment="1" applyProtection="1">
      <alignment horizontal="left"/>
      <protection hidden="1"/>
    </xf>
    <xf numFmtId="0" fontId="4" fillId="3" borderId="5" xfId="3" applyFont="1" applyFill="1" applyBorder="1" applyAlignment="1" applyProtection="1">
      <alignment horizontal="left"/>
      <protection hidden="1"/>
    </xf>
    <xf numFmtId="0" fontId="4" fillId="3" borderId="4" xfId="2" applyFont="1" applyFill="1" applyBorder="1" applyProtection="1">
      <protection hidden="1"/>
    </xf>
    <xf numFmtId="0" fontId="16" fillId="3" borderId="0" xfId="2" applyFont="1" applyFill="1" applyAlignment="1" applyProtection="1">
      <alignment horizontal="left"/>
      <protection hidden="1"/>
    </xf>
    <xf numFmtId="0" fontId="4" fillId="3" borderId="0" xfId="2" applyFont="1" applyFill="1" applyProtection="1">
      <protection hidden="1"/>
    </xf>
    <xf numFmtId="0" fontId="4" fillId="3" borderId="5" xfId="2" applyFont="1" applyFill="1" applyBorder="1" applyProtection="1">
      <protection hidden="1"/>
    </xf>
    <xf numFmtId="0" fontId="16" fillId="3" borderId="4" xfId="2" applyFont="1" applyFill="1" applyBorder="1" applyAlignment="1" applyProtection="1">
      <alignment horizontal="center"/>
      <protection hidden="1"/>
    </xf>
    <xf numFmtId="0" fontId="16" fillId="3" borderId="0" xfId="2" applyFont="1" applyFill="1" applyProtection="1">
      <protection hidden="1"/>
    </xf>
    <xf numFmtId="0" fontId="1" fillId="3" borderId="5" xfId="2" applyFill="1" applyBorder="1" applyProtection="1">
      <protection hidden="1"/>
    </xf>
    <xf numFmtId="0" fontId="17" fillId="5" borderId="4" xfId="2" applyFont="1" applyFill="1" applyBorder="1" applyAlignment="1" applyProtection="1">
      <alignment horizontal="center"/>
      <protection hidden="1"/>
    </xf>
    <xf numFmtId="0" fontId="17" fillId="5" borderId="0" xfId="2" applyFont="1" applyFill="1" applyAlignment="1" applyProtection="1">
      <alignment horizontal="left"/>
      <protection hidden="1"/>
    </xf>
    <xf numFmtId="0" fontId="2" fillId="5" borderId="5" xfId="2" applyFont="1" applyFill="1" applyBorder="1" applyProtection="1">
      <protection hidden="1"/>
    </xf>
    <xf numFmtId="0" fontId="16" fillId="3" borderId="6" xfId="2" applyFont="1" applyFill="1" applyBorder="1" applyAlignment="1" applyProtection="1">
      <alignment horizontal="center"/>
      <protection hidden="1"/>
    </xf>
    <xf numFmtId="0" fontId="16" fillId="3" borderId="7" xfId="2" applyFont="1" applyFill="1" applyBorder="1" applyAlignment="1" applyProtection="1">
      <alignment horizontal="left"/>
      <protection hidden="1"/>
    </xf>
    <xf numFmtId="0" fontId="4" fillId="3" borderId="7" xfId="2" applyFont="1" applyFill="1" applyBorder="1" applyProtection="1">
      <protection hidden="1"/>
    </xf>
    <xf numFmtId="0" fontId="1" fillId="3" borderId="8" xfId="2" applyFill="1" applyBorder="1" applyProtection="1">
      <protection hidden="1"/>
    </xf>
    <xf numFmtId="0" fontId="10" fillId="3" borderId="1" xfId="3" applyFill="1" applyBorder="1" applyProtection="1">
      <protection hidden="1"/>
    </xf>
    <xf numFmtId="0" fontId="9" fillId="3" borderId="36" xfId="2" applyFont="1" applyFill="1" applyBorder="1" applyAlignment="1" applyProtection="1">
      <alignment horizontal="center" vertical="center"/>
      <protection hidden="1"/>
    </xf>
    <xf numFmtId="0" fontId="10" fillId="3" borderId="4" xfId="3" applyFill="1" applyBorder="1" applyProtection="1">
      <protection hidden="1"/>
    </xf>
    <xf numFmtId="0" fontId="9" fillId="3" borderId="31" xfId="2" applyFont="1" applyFill="1" applyBorder="1" applyAlignment="1" applyProtection="1">
      <alignment horizontal="center" vertical="center"/>
      <protection hidden="1"/>
    </xf>
    <xf numFmtId="0" fontId="11" fillId="5" borderId="31" xfId="2" applyFont="1" applyFill="1" applyBorder="1" applyAlignment="1" applyProtection="1">
      <alignment horizontal="center"/>
      <protection hidden="1"/>
    </xf>
    <xf numFmtId="0" fontId="12" fillId="3" borderId="31" xfId="2" applyFont="1" applyFill="1" applyBorder="1" applyAlignment="1" applyProtection="1">
      <alignment horizontal="center"/>
      <protection hidden="1"/>
    </xf>
    <xf numFmtId="0" fontId="16" fillId="3" borderId="31" xfId="2" applyFont="1" applyFill="1" applyBorder="1" applyAlignment="1" applyProtection="1">
      <alignment horizontal="right"/>
      <protection hidden="1"/>
    </xf>
    <xf numFmtId="0" fontId="16" fillId="3" borderId="0" xfId="2" applyFont="1" applyFill="1" applyAlignment="1" applyProtection="1">
      <alignment horizontal="left" vertical="top"/>
      <protection hidden="1"/>
    </xf>
    <xf numFmtId="0" fontId="16" fillId="2" borderId="0" xfId="2" applyFont="1" applyFill="1" applyAlignment="1" applyProtection="1">
      <alignment vertical="top"/>
      <protection hidden="1"/>
    </xf>
    <xf numFmtId="0" fontId="16" fillId="3" borderId="0" xfId="2" applyFont="1" applyFill="1" applyAlignment="1" applyProtection="1">
      <alignment vertical="top"/>
      <protection hidden="1"/>
    </xf>
    <xf numFmtId="0" fontId="12" fillId="3" borderId="31" xfId="2" applyFont="1" applyFill="1" applyBorder="1" applyAlignment="1" applyProtection="1">
      <alignment horizontal="center"/>
      <protection hidden="1"/>
    </xf>
    <xf numFmtId="0" fontId="12" fillId="3" borderId="0" xfId="2" applyFont="1" applyFill="1" applyAlignment="1" applyProtection="1">
      <alignment horizontal="center"/>
      <protection hidden="1"/>
    </xf>
    <xf numFmtId="0" fontId="2" fillId="3" borderId="0" xfId="2" applyFont="1" applyFill="1" applyProtection="1">
      <protection hidden="1"/>
    </xf>
    <xf numFmtId="0" fontId="19" fillId="3" borderId="31" xfId="2" applyFont="1" applyFill="1" applyBorder="1" applyAlignment="1" applyProtection="1">
      <alignment horizontal="left" vertical="top" wrapText="1"/>
      <protection hidden="1"/>
    </xf>
    <xf numFmtId="0" fontId="19" fillId="3" borderId="0" xfId="2" applyFont="1" applyFill="1" applyAlignment="1" applyProtection="1">
      <alignment horizontal="left" vertical="top" wrapText="1"/>
      <protection hidden="1"/>
    </xf>
    <xf numFmtId="0" fontId="19" fillId="3" borderId="0" xfId="2" applyFont="1" applyFill="1" applyAlignment="1" applyProtection="1">
      <alignment vertical="top" wrapText="1"/>
      <protection hidden="1"/>
    </xf>
    <xf numFmtId="0" fontId="19" fillId="3" borderId="5" xfId="2" applyFont="1" applyFill="1" applyBorder="1" applyAlignment="1" applyProtection="1">
      <alignment vertical="top" wrapText="1"/>
      <protection hidden="1"/>
    </xf>
    <xf numFmtId="0" fontId="20" fillId="3" borderId="31" xfId="2" applyFont="1" applyFill="1" applyBorder="1" applyAlignment="1" applyProtection="1">
      <alignment horizontal="center" vertical="top" wrapText="1"/>
      <protection hidden="1"/>
    </xf>
    <xf numFmtId="0" fontId="20" fillId="3" borderId="0" xfId="2" applyFont="1" applyFill="1" applyAlignment="1" applyProtection="1">
      <alignment horizontal="center" vertical="top" wrapText="1"/>
      <protection hidden="1"/>
    </xf>
    <xf numFmtId="0" fontId="18" fillId="3" borderId="0" xfId="2" applyFont="1" applyFill="1" applyAlignment="1" applyProtection="1">
      <alignment vertical="top" wrapText="1"/>
      <protection hidden="1"/>
    </xf>
    <xf numFmtId="0" fontId="18" fillId="3" borderId="31" xfId="2" applyFont="1" applyFill="1" applyBorder="1" applyAlignment="1" applyProtection="1">
      <alignment vertical="top" wrapText="1"/>
      <protection hidden="1"/>
    </xf>
    <xf numFmtId="0" fontId="19" fillId="3" borderId="0" xfId="2" applyFont="1" applyFill="1" applyProtection="1">
      <protection hidden="1"/>
    </xf>
    <xf numFmtId="0" fontId="19" fillId="3" borderId="31" xfId="2" applyFont="1" applyFill="1" applyBorder="1" applyProtection="1">
      <protection hidden="1"/>
    </xf>
    <xf numFmtId="0" fontId="18" fillId="3" borderId="5" xfId="2" applyFont="1" applyFill="1" applyBorder="1" applyAlignment="1" applyProtection="1">
      <alignment vertical="top" wrapText="1"/>
      <protection hidden="1"/>
    </xf>
    <xf numFmtId="0" fontId="4" fillId="3" borderId="31" xfId="3" applyFont="1" applyFill="1" applyBorder="1" applyProtection="1">
      <protection hidden="1"/>
    </xf>
    <xf numFmtId="0" fontId="15" fillId="3" borderId="0" xfId="3" applyFont="1" applyFill="1" applyProtection="1">
      <protection hidden="1"/>
    </xf>
    <xf numFmtId="0" fontId="4" fillId="3" borderId="31" xfId="3" applyFont="1" applyFill="1" applyBorder="1" applyAlignment="1" applyProtection="1">
      <alignment vertical="top" wrapText="1"/>
      <protection hidden="1"/>
    </xf>
    <xf numFmtId="0" fontId="4" fillId="3" borderId="0" xfId="3" applyFont="1" applyFill="1" applyAlignment="1" applyProtection="1">
      <alignment vertical="top" wrapText="1"/>
      <protection hidden="1"/>
    </xf>
    <xf numFmtId="0" fontId="4" fillId="3" borderId="5" xfId="3" applyFont="1" applyFill="1" applyBorder="1" applyAlignment="1" applyProtection="1">
      <alignment vertical="top" wrapText="1"/>
      <protection hidden="1"/>
    </xf>
    <xf numFmtId="0" fontId="15" fillId="3" borderId="5" xfId="3" applyFont="1" applyFill="1" applyBorder="1" applyProtection="1">
      <protection hidden="1"/>
    </xf>
    <xf numFmtId="0" fontId="19" fillId="3" borderId="31" xfId="2" applyFont="1" applyFill="1" applyBorder="1" applyAlignment="1" applyProtection="1">
      <alignment vertical="top" wrapText="1"/>
      <protection hidden="1"/>
    </xf>
    <xf numFmtId="0" fontId="15" fillId="3" borderId="31" xfId="3" applyFont="1" applyFill="1" applyBorder="1" applyProtection="1">
      <protection hidden="1"/>
    </xf>
    <xf numFmtId="0" fontId="10" fillId="3" borderId="31" xfId="3" applyFill="1" applyBorder="1" applyProtection="1">
      <protection hidden="1"/>
    </xf>
    <xf numFmtId="0" fontId="4" fillId="3" borderId="31" xfId="2" applyFont="1" applyFill="1" applyBorder="1" applyProtection="1">
      <protection hidden="1"/>
    </xf>
    <xf numFmtId="0" fontId="19" fillId="3" borderId="31" xfId="2" applyFont="1" applyFill="1" applyBorder="1" applyAlignment="1" applyProtection="1">
      <alignment horizontal="left" wrapText="1"/>
      <protection hidden="1"/>
    </xf>
    <xf numFmtId="0" fontId="19" fillId="3" borderId="0" xfId="2" applyFont="1" applyFill="1" applyAlignment="1" applyProtection="1">
      <alignment horizontal="left" wrapText="1"/>
      <protection hidden="1"/>
    </xf>
    <xf numFmtId="0" fontId="10" fillId="3" borderId="6" xfId="3" applyFill="1" applyBorder="1" applyProtection="1">
      <protection hidden="1"/>
    </xf>
    <xf numFmtId="0" fontId="19" fillId="3" borderId="37" xfId="2" applyFont="1" applyFill="1" applyBorder="1" applyProtection="1">
      <protection hidden="1"/>
    </xf>
    <xf numFmtId="0" fontId="19" fillId="3" borderId="7" xfId="2" applyFont="1" applyFill="1" applyBorder="1" applyProtection="1">
      <protection hidden="1"/>
    </xf>
    <xf numFmtId="0" fontId="4" fillId="3" borderId="8" xfId="2" applyFont="1" applyFill="1" applyBorder="1" applyProtection="1">
      <protection hidden="1"/>
    </xf>
    <xf numFmtId="0" fontId="4" fillId="3" borderId="32" xfId="2" applyFont="1" applyFill="1" applyBorder="1" applyProtection="1">
      <protection hidden="1"/>
    </xf>
    <xf numFmtId="0" fontId="16" fillId="3" borderId="33" xfId="2" applyFont="1" applyFill="1" applyBorder="1" applyAlignment="1" applyProtection="1">
      <alignment horizontal="center"/>
      <protection hidden="1"/>
    </xf>
    <xf numFmtId="0" fontId="16" fillId="3" borderId="34" xfId="2" applyFont="1" applyFill="1" applyBorder="1" applyAlignment="1" applyProtection="1">
      <alignment horizontal="left"/>
      <protection hidden="1"/>
    </xf>
    <xf numFmtId="0" fontId="4" fillId="3" borderId="34" xfId="2" applyFont="1" applyFill="1" applyBorder="1" applyProtection="1">
      <protection hidden="1"/>
    </xf>
    <xf numFmtId="0" fontId="1" fillId="3" borderId="35" xfId="2" applyFill="1" applyBorder="1" applyProtection="1">
      <protection hidden="1"/>
    </xf>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65">
    <dxf>
      <protection locked="1" hidden="1"/>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indent="0" justifyLastLine="0" shrinkToFit="0" readingOrder="0"/>
      <protection locked="1" hidden="1"/>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right" vertical="center" textRotation="0" wrapText="0" indent="0" justifyLastLine="0" shrinkToFit="0" readingOrder="0"/>
      <border diagonalUp="0" diagonalDown="0">
        <left style="medium">
          <color theme="0"/>
        </left>
        <right/>
        <top/>
        <bottom/>
        <vertical/>
        <horizontal/>
      </border>
    </dxf>
    <dxf>
      <border outline="0">
        <bottom style="medium">
          <color theme="0"/>
        </bottom>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border diagonalUp="0" diagonalDown="0">
        <left/>
        <right style="medium">
          <color theme="0"/>
        </right>
        <top/>
        <bottom/>
        <vertical/>
        <horizontal/>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border diagonalUp="0" diagonalDown="0" outline="0">
        <left style="medium">
          <color theme="0"/>
        </left>
        <right/>
        <top/>
        <bottom/>
      </border>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Final DK Values at Base Temperature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571626031953106"/>
          <c:y val="0.20129112095267415"/>
          <c:w val="0.74879005712264779"/>
          <c:h val="0.50896596131040617"/>
        </c:manualLayout>
      </c:layout>
      <c:scatterChart>
        <c:scatterStyle val="lineMarker"/>
        <c:varyColors val="0"/>
        <c:ser>
          <c:idx val="0"/>
          <c:order val="0"/>
          <c:tx>
            <c:v>DK_InPlane</c:v>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Modeler'!$C$24:$H$24</c:f>
              <c:numCache>
                <c:formatCode>0.00</c:formatCode>
                <c:ptCount val="6"/>
                <c:pt idx="0">
                  <c:v>1</c:v>
                </c:pt>
                <c:pt idx="1">
                  <c:v>3</c:v>
                </c:pt>
                <c:pt idx="2">
                  <c:v>5</c:v>
                </c:pt>
                <c:pt idx="3">
                  <c:v>10</c:v>
                </c:pt>
                <c:pt idx="4">
                  <c:v>15</c:v>
                </c:pt>
                <c:pt idx="5">
                  <c:v>20</c:v>
                </c:pt>
              </c:numCache>
            </c:numRef>
          </c:xVal>
          <c:yVal>
            <c:numRef>
              <c:f>'Material Modeler'!$C$28:$H$28</c:f>
              <c:numCache>
                <c:formatCode>0.00</c:formatCode>
                <c:ptCount val="6"/>
                <c:pt idx="0">
                  <c:v>4.0559301971144066</c:v>
                </c:pt>
                <c:pt idx="1">
                  <c:v>4.0459301971144068</c:v>
                </c:pt>
                <c:pt idx="2">
                  <c:v>4.0159301971144075</c:v>
                </c:pt>
                <c:pt idx="3">
                  <c:v>3.9678185328185331</c:v>
                </c:pt>
                <c:pt idx="4">
                  <c:v>3.9378185328185324</c:v>
                </c:pt>
                <c:pt idx="5">
                  <c:v>3.9078185328185322</c:v>
                </c:pt>
              </c:numCache>
            </c:numRef>
          </c:yVal>
          <c:smooth val="0"/>
          <c:extLst>
            <c:ext xmlns:c16="http://schemas.microsoft.com/office/drawing/2014/chart" uri="{C3380CC4-5D6E-409C-BE32-E72D297353CC}">
              <c16:uniqueId val="{00000000-9944-4D0A-B36A-59860BDE8DF3}"/>
            </c:ext>
          </c:extLst>
        </c:ser>
        <c:ser>
          <c:idx val="1"/>
          <c:order val="1"/>
          <c:tx>
            <c:v>DK_OutofPlane</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Modeler'!$L$24:$Q$24</c:f>
              <c:numCache>
                <c:formatCode>0.00</c:formatCode>
                <c:ptCount val="6"/>
                <c:pt idx="0">
                  <c:v>1</c:v>
                </c:pt>
                <c:pt idx="1">
                  <c:v>3</c:v>
                </c:pt>
                <c:pt idx="2">
                  <c:v>5</c:v>
                </c:pt>
                <c:pt idx="3">
                  <c:v>10</c:v>
                </c:pt>
                <c:pt idx="4">
                  <c:v>15</c:v>
                </c:pt>
                <c:pt idx="5">
                  <c:v>20</c:v>
                </c:pt>
              </c:numCache>
            </c:numRef>
          </c:xVal>
          <c:yVal>
            <c:numRef>
              <c:f>'Material Modeler'!$L$28:$Q$28</c:f>
              <c:numCache>
                <c:formatCode>0.00</c:formatCode>
                <c:ptCount val="6"/>
                <c:pt idx="0">
                  <c:v>3.4585400910429773</c:v>
                </c:pt>
                <c:pt idx="1">
                  <c:v>3.4471246040146015</c:v>
                </c:pt>
                <c:pt idx="2">
                  <c:v>3.4128376076518481</c:v>
                </c:pt>
                <c:pt idx="3">
                  <c:v>3.4249463902787705</c:v>
                </c:pt>
                <c:pt idx="4">
                  <c:v>3.390976267453512</c:v>
                </c:pt>
                <c:pt idx="5">
                  <c:v>3.3569476483722775</c:v>
                </c:pt>
              </c:numCache>
            </c:numRef>
          </c:yVal>
          <c:smooth val="0"/>
          <c:extLst>
            <c:ext xmlns:c16="http://schemas.microsoft.com/office/drawing/2014/chart" uri="{C3380CC4-5D6E-409C-BE32-E72D297353CC}">
              <c16:uniqueId val="{00000001-9944-4D0A-B36A-59860BDE8DF3}"/>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Dk_anisotropic vs. Temperature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Modeler'!$AL$3:$AL$7</c:f>
              <c:strCache>
                <c:ptCount val="1"/>
                <c:pt idx="0">
                  <c:v>-40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3</c:v>
                </c:pt>
                <c:pt idx="2">
                  <c:v>5</c:v>
                </c:pt>
                <c:pt idx="3">
                  <c:v>10</c:v>
                </c:pt>
                <c:pt idx="4">
                  <c:v>15</c:v>
                </c:pt>
                <c:pt idx="5">
                  <c:v>20</c:v>
                </c:pt>
              </c:numCache>
            </c:numRef>
          </c:xVal>
          <c:yVal>
            <c:numRef>
              <c:f>'Material Modeler'!$AM$3:$AR$3</c:f>
              <c:numCache>
                <c:formatCode>0.00</c:formatCode>
                <c:ptCount val="6"/>
                <c:pt idx="0">
                  <c:v>3.8408450002633345</c:v>
                </c:pt>
                <c:pt idx="1">
                  <c:v>3.8298989770405441</c:v>
                </c:pt>
                <c:pt idx="2">
                  <c:v>3.7970401887170397</c:v>
                </c:pt>
                <c:pt idx="3">
                  <c:v>3.7786381613284696</c:v>
                </c:pt>
                <c:pt idx="4">
                  <c:v>3.7459413354714504</c:v>
                </c:pt>
                <c:pt idx="5">
                  <c:v>3.7132146106270532</c:v>
                </c:pt>
              </c:numCache>
            </c:numRef>
          </c:yVal>
          <c:smooth val="0"/>
          <c:extLst>
            <c:ext xmlns:c16="http://schemas.microsoft.com/office/drawing/2014/chart" uri="{C3380CC4-5D6E-409C-BE32-E72D297353CC}">
              <c16:uniqueId val="{00000002-B169-4131-BECD-4F6E7029C01E}"/>
            </c:ext>
          </c:extLst>
        </c:ser>
        <c:ser>
          <c:idx val="1"/>
          <c:order val="1"/>
          <c:tx>
            <c:strRef>
              <c:f>'Material Modeler'!$AL$8:$AL$12</c:f>
              <c:strCache>
                <c:ptCount val="1"/>
                <c:pt idx="0">
                  <c:v>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Modeler'!$AM$8:$AR$8</c:f>
              <c:numCache>
                <c:formatCode>0.00</c:formatCode>
                <c:ptCount val="6"/>
                <c:pt idx="0">
                  <c:v>3.7893927810727845</c:v>
                </c:pt>
                <c:pt idx="1">
                  <c:v>3.7785933915168268</c:v>
                </c:pt>
                <c:pt idx="2">
                  <c:v>3.7461747817423245</c:v>
                </c:pt>
                <c:pt idx="3">
                  <c:v>3.7280192691562735</c:v>
                </c:pt>
                <c:pt idx="4">
                  <c:v>3.6957604521881096</c:v>
                </c:pt>
                <c:pt idx="5">
                  <c:v>3.6634721367614231</c:v>
                </c:pt>
              </c:numCache>
            </c:numRef>
          </c:yVal>
          <c:smooth val="0"/>
          <c:extLst>
            <c:ext xmlns:c16="http://schemas.microsoft.com/office/drawing/2014/chart" uri="{C3380CC4-5D6E-409C-BE32-E72D297353CC}">
              <c16:uniqueId val="{00000003-B169-4131-BECD-4F6E7029C01E}"/>
            </c:ext>
          </c:extLst>
        </c:ser>
        <c:ser>
          <c:idx val="2"/>
          <c:order val="2"/>
          <c:tx>
            <c:strRef>
              <c:f>'Material Modeler'!$AL$13:$AL$17</c:f>
              <c:strCache>
                <c:ptCount val="1"/>
                <c:pt idx="0">
                  <c:v>25</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Modeler'!$AM$13:$AR$13</c:f>
              <c:numCache>
                <c:formatCode>0.00</c:formatCode>
                <c:ptCount val="6"/>
                <c:pt idx="0">
                  <c:v>3.7572351440786917</c:v>
                </c:pt>
                <c:pt idx="1">
                  <c:v>3.7465274005645042</c:v>
                </c:pt>
                <c:pt idx="2">
                  <c:v>3.714383902383128</c:v>
                </c:pt>
                <c:pt idx="3">
                  <c:v>3.6963824615486516</c:v>
                </c:pt>
                <c:pt idx="4">
                  <c:v>3.6643974001360222</c:v>
                </c:pt>
                <c:pt idx="5">
                  <c:v>3.6323830905954049</c:v>
                </c:pt>
              </c:numCache>
            </c:numRef>
          </c:yVal>
          <c:smooth val="0"/>
          <c:extLst>
            <c:ext xmlns:c16="http://schemas.microsoft.com/office/drawing/2014/chart" uri="{C3380CC4-5D6E-409C-BE32-E72D297353CC}">
              <c16:uniqueId val="{00000004-B169-4131-BECD-4F6E7029C01E}"/>
            </c:ext>
          </c:extLst>
        </c:ser>
        <c:ser>
          <c:idx val="3"/>
          <c:order val="3"/>
          <c:tx>
            <c:strRef>
              <c:f>'Material Modeler'!$AL$18:$AL$22</c:f>
              <c:strCache>
                <c:ptCount val="1"/>
                <c:pt idx="0">
                  <c:v>90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3</c:v>
                </c:pt>
                <c:pt idx="2">
                  <c:v>5</c:v>
                </c:pt>
                <c:pt idx="3">
                  <c:v>10</c:v>
                </c:pt>
                <c:pt idx="4">
                  <c:v>15</c:v>
                </c:pt>
                <c:pt idx="5">
                  <c:v>20</c:v>
                </c:pt>
              </c:numCache>
            </c:numRef>
          </c:xVal>
          <c:yVal>
            <c:numRef>
              <c:f>'Material Modeler'!$AM$18:$AR$18</c:f>
              <c:numCache>
                <c:formatCode>0.00</c:formatCode>
                <c:ptCount val="6"/>
                <c:pt idx="0">
                  <c:v>3.6736252878940494</c:v>
                </c:pt>
                <c:pt idx="1">
                  <c:v>3.6631558240884647</c:v>
                </c:pt>
                <c:pt idx="2">
                  <c:v>3.6317276160492167</c:v>
                </c:pt>
                <c:pt idx="3">
                  <c:v>3.614126761768834</c:v>
                </c:pt>
                <c:pt idx="4">
                  <c:v>3.5828534648005945</c:v>
                </c:pt>
                <c:pt idx="5">
                  <c:v>3.551551570563757</c:v>
                </c:pt>
              </c:numCache>
            </c:numRef>
          </c:yVal>
          <c:smooth val="0"/>
          <c:extLst>
            <c:ext xmlns:c16="http://schemas.microsoft.com/office/drawing/2014/chart" uri="{C3380CC4-5D6E-409C-BE32-E72D297353CC}">
              <c16:uniqueId val="{00000005-B169-4131-BECD-4F6E7029C01E}"/>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DK_avg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 Line Design'!$Q$40</c:f>
          <c:strCache>
            <c:ptCount val="1"/>
            <c:pt idx="0">
              <c:v>α_Total_odd (dB/m)</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Design'!$Q$40</c:f>
              <c:strCache>
                <c:ptCount val="1"/>
                <c:pt idx="0">
                  <c:v>α_Total_odd (dB/m)</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Design'!$AV$40:$BA$40</c:f>
                <c:numCache>
                  <c:formatCode>General</c:formatCode>
                  <c:ptCount val="6"/>
                  <c:pt idx="0">
                    <c:v>0.19483670432088701</c:v>
                  </c:pt>
                  <c:pt idx="1">
                    <c:v>0.38337288941318398</c:v>
                  </c:pt>
                  <c:pt idx="2">
                    <c:v>0.55065779642129098</c:v>
                  </c:pt>
                  <c:pt idx="3">
                    <c:v>0.73430226516036601</c:v>
                  </c:pt>
                  <c:pt idx="4">
                    <c:v>1.0215970848717499</c:v>
                  </c:pt>
                  <c:pt idx="5">
                    <c:v>1.67160378504596</c:v>
                  </c:pt>
                </c:numCache>
              </c:numRef>
            </c:plus>
            <c:minus>
              <c:numRef>
                <c:f>'Transmission Line Design'!$AM$40:$AR$40</c:f>
                <c:numCache>
                  <c:formatCode>General</c:formatCode>
                  <c:ptCount val="6"/>
                  <c:pt idx="0">
                    <c:v>0.33434198448320901</c:v>
                  </c:pt>
                  <c:pt idx="1">
                    <c:v>0.63986341057617002</c:v>
                  </c:pt>
                  <c:pt idx="2">
                    <c:v>0.898283169421081</c:v>
                  </c:pt>
                  <c:pt idx="3">
                    <c:v>1.2773315106374099</c:v>
                  </c:pt>
                  <c:pt idx="4">
                    <c:v>1.7381961878663399</c:v>
                  </c:pt>
                  <c:pt idx="5">
                    <c:v>2.5586508326349802</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Design'!$S$40:$X$40</c:f>
              <c:numCache>
                <c:formatCode>0.000</c:formatCode>
                <c:ptCount val="6"/>
                <c:pt idx="0">
                  <c:v>5.9116426832435653</c:v>
                </c:pt>
                <c:pt idx="1">
                  <c:v>12.040861427565911</c:v>
                </c:pt>
                <c:pt idx="2">
                  <c:v>17.650999527966373</c:v>
                </c:pt>
                <c:pt idx="3">
                  <c:v>31.776788747399859</c:v>
                </c:pt>
                <c:pt idx="4">
                  <c:v>45.692523690824942</c:v>
                </c:pt>
                <c:pt idx="5">
                  <c:v>59.364390430084939</c:v>
                </c:pt>
              </c:numCache>
            </c:numRef>
          </c:yVal>
          <c:smooth val="0"/>
          <c:extLst>
            <c:ext xmlns:c16="http://schemas.microsoft.com/office/drawing/2014/chart" uri="{C3380CC4-5D6E-409C-BE32-E72D297353CC}">
              <c16:uniqueId val="{00000000-FCC9-4E35-BAD5-11160277C398}"/>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Attenuation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|Zs| and |Zm| (</a:t>
            </a:r>
            <a:r>
              <a:rPr lang="el-GR"/>
              <a:t>Ω)</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Design'!$Q$28</c:f>
              <c:strCache>
                <c:ptCount val="1"/>
                <c:pt idx="0">
                  <c:v>|Zs| (Ω)</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Design'!$AV$28:$BA$28</c:f>
                <c:numCache>
                  <c:formatCode>General</c:formatCode>
                  <c:ptCount val="6"/>
                  <c:pt idx="0">
                    <c:v>7.4410268776936697</c:v>
                  </c:pt>
                  <c:pt idx="1">
                    <c:v>7.4550295764564902</c:v>
                  </c:pt>
                  <c:pt idx="2">
                    <c:v>7.4995352683076204</c:v>
                  </c:pt>
                  <c:pt idx="3">
                    <c:v>7.4420596426381804</c:v>
                  </c:pt>
                  <c:pt idx="4">
                    <c:v>7.4860677575782999</c:v>
                  </c:pt>
                  <c:pt idx="5">
                    <c:v>7.5310617604530599</c:v>
                  </c:pt>
                </c:numCache>
              </c:numRef>
            </c:plus>
            <c:minus>
              <c:numRef>
                <c:f>'Transmission Line Design'!$AR$28</c:f>
                <c:numCache>
                  <c:formatCode>General</c:formatCode>
                  <c:ptCount val="1"/>
                  <c:pt idx="0">
                    <c:v>7.1110671082926</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Design'!$S$28:$X$28</c:f>
              <c:numCache>
                <c:formatCode>0.00</c:formatCode>
                <c:ptCount val="6"/>
                <c:pt idx="0">
                  <c:v>55.282200797549436</c:v>
                </c:pt>
                <c:pt idx="1">
                  <c:v>55.365716966939516</c:v>
                </c:pt>
                <c:pt idx="2">
                  <c:v>55.618758279032157</c:v>
                </c:pt>
                <c:pt idx="3">
                  <c:v>55.665846823864925</c:v>
                </c:pt>
                <c:pt idx="4">
                  <c:v>55.92191138155134</c:v>
                </c:pt>
                <c:pt idx="5">
                  <c:v>56.18196061577666</c:v>
                </c:pt>
              </c:numCache>
            </c:numRef>
          </c:yVal>
          <c:smooth val="0"/>
          <c:extLst>
            <c:ext xmlns:c16="http://schemas.microsoft.com/office/drawing/2014/chart" uri="{C3380CC4-5D6E-409C-BE32-E72D297353CC}">
              <c16:uniqueId val="{00000000-628C-4B1B-BD47-26E499632CC9}"/>
            </c:ext>
          </c:extLst>
        </c:ser>
        <c:ser>
          <c:idx val="1"/>
          <c:order val="1"/>
          <c:tx>
            <c:strRef>
              <c:f>'Transmission Line Design'!$Q$29</c:f>
              <c:strCache>
                <c:ptCount val="1"/>
                <c:pt idx="0">
                  <c:v>|Zm| (Ω)</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Design'!$AV$29:$BA$29</c:f>
                <c:numCache>
                  <c:formatCode>General</c:formatCode>
                  <c:ptCount val="6"/>
                  <c:pt idx="0">
                    <c:v>1.07100419572344</c:v>
                  </c:pt>
                  <c:pt idx="1">
                    <c:v>1.07300419356512</c:v>
                  </c:pt>
                  <c:pt idx="2">
                    <c:v>1.0795041289782901</c:v>
                  </c:pt>
                  <c:pt idx="3">
                    <c:v>1.0700110180709901</c:v>
                  </c:pt>
                  <c:pt idx="4">
                    <c:v>1.0770112740994</c:v>
                  </c:pt>
                  <c:pt idx="5">
                    <c:v>1.0840093348309701</c:v>
                  </c:pt>
                </c:numCache>
              </c:numRef>
            </c:plus>
            <c:minus>
              <c:numRef>
                <c:f>'Transmission Line Design'!$AM$29:$AR$29</c:f>
                <c:numCache>
                  <c:formatCode>General</c:formatCode>
                  <c:ptCount val="6"/>
                  <c:pt idx="0">
                    <c:v>1.38500040350543</c:v>
                  </c:pt>
                  <c:pt idx="1">
                    <c:v>1.38700022204772</c:v>
                  </c:pt>
                  <c:pt idx="2">
                    <c:v>1.3920012402583499</c:v>
                  </c:pt>
                  <c:pt idx="3">
                    <c:v>1.3850021311007701</c:v>
                  </c:pt>
                  <c:pt idx="4">
                    <c:v>1.3895034335176999</c:v>
                  </c:pt>
                  <c:pt idx="5">
                    <c:v>1.3950008328091399</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Design'!$S$29:$X$29</c:f>
              <c:numCache>
                <c:formatCode>0.00</c:formatCode>
                <c:ptCount val="6"/>
                <c:pt idx="0">
                  <c:v>8.9570321524165841</c:v>
                </c:pt>
                <c:pt idx="1">
                  <c:v>8.9705348356017929</c:v>
                </c:pt>
                <c:pt idx="2">
                  <c:v>9.0115419600971691</c:v>
                </c:pt>
                <c:pt idx="3">
                  <c:v>9.0195549991121169</c:v>
                </c:pt>
                <c:pt idx="4">
                  <c:v>9.060565679576456</c:v>
                </c:pt>
                <c:pt idx="5">
                  <c:v>9.1025731728627441</c:v>
                </c:pt>
              </c:numCache>
            </c:numRef>
          </c:yVal>
          <c:smooth val="0"/>
          <c:extLst>
            <c:ext xmlns:c16="http://schemas.microsoft.com/office/drawing/2014/chart" uri="{C3380CC4-5D6E-409C-BE32-E72D297353CC}">
              <c16:uniqueId val="{00000001-628C-4B1B-BD47-26E499632CC9}"/>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Impedance (</a:t>
                </a:r>
                <a:r>
                  <a:rPr lang="el-GR"/>
                  <a:t>Ω)</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|Zdd| and |Zcc| (</a:t>
            </a:r>
            <a:r>
              <a:rPr lang="el-GR"/>
              <a:t>Ω)</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Design'!$Q$26</c:f>
              <c:strCache>
                <c:ptCount val="1"/>
                <c:pt idx="0">
                  <c:v>|Zdd| (Ω)</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Design'!$AV$26:$BA$26</c:f>
                <c:numCache>
                  <c:formatCode>General</c:formatCode>
                  <c:ptCount val="6"/>
                  <c:pt idx="0">
                    <c:v>12.740045363940499</c:v>
                  </c:pt>
                  <c:pt idx="1">
                    <c:v>12.7640507657827</c:v>
                  </c:pt>
                  <c:pt idx="2">
                    <c:v>12.840062278658699</c:v>
                  </c:pt>
                  <c:pt idx="3">
                    <c:v>12.7440972491344</c:v>
                  </c:pt>
                  <c:pt idx="4">
                    <c:v>12.8181129669578</c:v>
                  </c:pt>
                  <c:pt idx="5">
                    <c:v>12.894104851244199</c:v>
                  </c:pt>
                </c:numCache>
              </c:numRef>
            </c:plus>
            <c:minus>
              <c:numRef>
                <c:f>'Transmission Line Design'!$AM$26:$AR$26</c:f>
                <c:numCache>
                  <c:formatCode>General</c:formatCode>
                  <c:ptCount val="6"/>
                  <c:pt idx="0">
                    <c:v>11.250055988540501</c:v>
                  </c:pt>
                  <c:pt idx="1">
                    <c:v>11.274061966754299</c:v>
                  </c:pt>
                  <c:pt idx="2">
                    <c:v>11.348074956585499</c:v>
                  </c:pt>
                  <c:pt idx="3">
                    <c:v>11.2801124759091</c:v>
                  </c:pt>
                  <c:pt idx="4">
                    <c:v>11.3561377550323</c:v>
                  </c:pt>
                  <c:pt idx="5">
                    <c:v>11.4321325509669</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Design'!$S$26:$X$26</c:f>
              <c:numCache>
                <c:formatCode>0.00</c:formatCode>
                <c:ptCount val="6"/>
                <c:pt idx="0">
                  <c:v>92.650337290265711</c:v>
                </c:pt>
                <c:pt idx="1">
                  <c:v>92.790364262675453</c:v>
                </c:pt>
                <c:pt idx="2">
                  <c:v>93.214432637869976</c:v>
                </c:pt>
                <c:pt idx="3">
                  <c:v>93.292583649505616</c:v>
                </c:pt>
                <c:pt idx="4">
                  <c:v>93.722691403949767</c:v>
                </c:pt>
                <c:pt idx="5">
                  <c:v>94.158774885827839</c:v>
                </c:pt>
              </c:numCache>
            </c:numRef>
          </c:yVal>
          <c:smooth val="0"/>
          <c:extLst>
            <c:ext xmlns:c16="http://schemas.microsoft.com/office/drawing/2014/chart" uri="{C3380CC4-5D6E-409C-BE32-E72D297353CC}">
              <c16:uniqueId val="{00000000-32AF-4D27-B9A6-47DF0AB6DDE3}"/>
            </c:ext>
          </c:extLst>
        </c:ser>
        <c:ser>
          <c:idx val="1"/>
          <c:order val="1"/>
          <c:tx>
            <c:strRef>
              <c:f>'Transmission Line Design'!$Q$27</c:f>
              <c:strCache>
                <c:ptCount val="1"/>
                <c:pt idx="0">
                  <c:v>|Zcc| (Ω)</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Design'!$AV$27:$BA$27</c:f>
                <c:numCache>
                  <c:formatCode>General</c:formatCode>
                  <c:ptCount val="6"/>
                  <c:pt idx="0">
                    <c:v>4.2560155367085502</c:v>
                  </c:pt>
                  <c:pt idx="1">
                    <c:v>4.2640168850107996</c:v>
                  </c:pt>
                  <c:pt idx="2">
                    <c:v>4.2895196986429598</c:v>
                  </c:pt>
                  <c:pt idx="3">
                    <c:v>4.2560353303545897</c:v>
                  </c:pt>
                  <c:pt idx="4">
                    <c:v>4.2815395158388503</c:v>
                  </c:pt>
                  <c:pt idx="5">
                    <c:v>4.3075355476420096</c:v>
                  </c:pt>
                </c:numCache>
              </c:numRef>
            </c:plus>
            <c:minus>
              <c:numRef>
                <c:f>'Transmission Line Design'!$AM$27:$AR$27</c:f>
                <c:numCache>
                  <c:formatCode>General</c:formatCode>
                  <c:ptCount val="6"/>
                  <c:pt idx="0">
                    <c:v>4.1975144006405403</c:v>
                  </c:pt>
                  <c:pt idx="1">
                    <c:v>4.2055157137363004</c:v>
                  </c:pt>
                  <c:pt idx="2">
                    <c:v>4.2290199794047396</c:v>
                  </c:pt>
                  <c:pt idx="3">
                    <c:v>4.2050302500780399</c:v>
                  </c:pt>
                  <c:pt idx="4">
                    <c:v>4.2285378722757798</c:v>
                  </c:pt>
                  <c:pt idx="5">
                    <c:v>4.2530339705508702</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Design'!$S$27:$X$27</c:f>
              <c:numCache>
                <c:formatCode>0.00</c:formatCode>
                <c:ptCount val="6"/>
                <c:pt idx="0">
                  <c:v>32.119616474983012</c:v>
                </c:pt>
                <c:pt idx="1">
                  <c:v>32.168125901270656</c:v>
                </c:pt>
                <c:pt idx="2">
                  <c:v>32.315150119564663</c:v>
                </c:pt>
                <c:pt idx="3">
                  <c:v>32.342700911488521</c:v>
                </c:pt>
                <c:pt idx="4">
                  <c:v>32.491238530563898</c:v>
                </c:pt>
                <c:pt idx="5">
                  <c:v>32.642266894319704</c:v>
                </c:pt>
              </c:numCache>
            </c:numRef>
          </c:yVal>
          <c:smooth val="0"/>
          <c:extLst>
            <c:ext xmlns:c16="http://schemas.microsoft.com/office/drawing/2014/chart" uri="{C3380CC4-5D6E-409C-BE32-E72D297353CC}">
              <c16:uniqueId val="{00000001-32AF-4D27-B9A6-47DF0AB6DDE3}"/>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Impedance (</a:t>
                </a:r>
                <a:r>
                  <a:rPr lang="el-GR"/>
                  <a:t>Ω)</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Resistance (</a:t>
            </a:r>
            <a:r>
              <a:rPr lang="el-GR"/>
              <a:t>Ω/</a:t>
            </a:r>
            <a:r>
              <a:rPr lang="en-US"/>
              <a:t>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Design'!$Q$45</c:f>
              <c:strCache>
                <c:ptCount val="1"/>
                <c:pt idx="0">
                  <c:v>Reven (Ω/u.l)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Design'!$AV$45:$BA$45</c:f>
                <c:numCache>
                  <c:formatCode>General</c:formatCode>
                  <c:ptCount val="6"/>
                  <c:pt idx="0">
                    <c:v>3.66858</c:v>
                  </c:pt>
                  <c:pt idx="1">
                    <c:v>8.6086639999999992</c:v>
                  </c:pt>
                  <c:pt idx="2">
                    <c:v>13.724417000000001</c:v>
                  </c:pt>
                  <c:pt idx="3">
                    <c:v>31.470140000000001</c:v>
                  </c:pt>
                  <c:pt idx="4">
                    <c:v>47.803787999999997</c:v>
                  </c:pt>
                  <c:pt idx="5">
                    <c:v>58.671813999999898</c:v>
                  </c:pt>
                </c:numCache>
              </c:numRef>
            </c:plus>
            <c:minus>
              <c:numRef>
                <c:f>'Transmission Line Design'!$AM$45:$AR$45</c:f>
                <c:numCache>
                  <c:formatCode>General</c:formatCode>
                  <c:ptCount val="6"/>
                  <c:pt idx="0">
                    <c:v>3.5114960000000002</c:v>
                  </c:pt>
                  <c:pt idx="1">
                    <c:v>8.4420520000000003</c:v>
                  </c:pt>
                  <c:pt idx="2">
                    <c:v>13.823852</c:v>
                  </c:pt>
                  <c:pt idx="3">
                    <c:v>30.348071999999998</c:v>
                  </c:pt>
                  <c:pt idx="4">
                    <c:v>47.502361000000001</c:v>
                  </c:pt>
                  <c:pt idx="5">
                    <c:v>58.890692000000101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Design'!$S$45:$X$45</c:f>
              <c:numCache>
                <c:formatCode>0.000</c:formatCode>
                <c:ptCount val="6"/>
                <c:pt idx="0">
                  <c:v>44.246777000000002</c:v>
                </c:pt>
                <c:pt idx="1">
                  <c:v>98.832892000000001</c:v>
                </c:pt>
                <c:pt idx="2">
                  <c:v>154.07983400000001</c:v>
                </c:pt>
                <c:pt idx="3">
                  <c:v>300.59029600000002</c:v>
                </c:pt>
                <c:pt idx="4">
                  <c:v>453.50134700000001</c:v>
                </c:pt>
                <c:pt idx="5">
                  <c:v>609.22872800000005</c:v>
                </c:pt>
              </c:numCache>
            </c:numRef>
          </c:yVal>
          <c:smooth val="0"/>
          <c:extLst>
            <c:ext xmlns:c16="http://schemas.microsoft.com/office/drawing/2014/chart" uri="{C3380CC4-5D6E-409C-BE32-E72D297353CC}">
              <c16:uniqueId val="{00000000-DA81-416F-A595-199F380CD9FB}"/>
            </c:ext>
          </c:extLst>
        </c:ser>
        <c:ser>
          <c:idx val="1"/>
          <c:order val="1"/>
          <c:tx>
            <c:strRef>
              <c:f>'Transmission Line Design'!$Q$46</c:f>
              <c:strCache>
                <c:ptCount val="1"/>
                <c:pt idx="0">
                  <c:v>Rodd (Ω/u.l)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Design'!$AV$46:$BA$46</c:f>
                <c:numCache>
                  <c:formatCode>General</c:formatCode>
                  <c:ptCount val="6"/>
                  <c:pt idx="0">
                    <c:v>3.6775890000000002</c:v>
                  </c:pt>
                  <c:pt idx="1">
                    <c:v>8.2777100000000008</c:v>
                  </c:pt>
                  <c:pt idx="2">
                    <c:v>12.943968999999999</c:v>
                  </c:pt>
                  <c:pt idx="3">
                    <c:v>27.122333999999999</c:v>
                  </c:pt>
                  <c:pt idx="4">
                    <c:v>40.723494000000002</c:v>
                  </c:pt>
                  <c:pt idx="5">
                    <c:v>50.419299000000002</c:v>
                  </c:pt>
                </c:numCache>
              </c:numRef>
            </c:plus>
            <c:minus>
              <c:numRef>
                <c:f>'Transmission Line Design'!$AM$46:$AR$46</c:f>
                <c:numCache>
                  <c:formatCode>General</c:formatCode>
                  <c:ptCount val="6"/>
                  <c:pt idx="0">
                    <c:v>2.9025759999999998</c:v>
                  </c:pt>
                  <c:pt idx="1">
                    <c:v>6.7568849999999996</c:v>
                  </c:pt>
                  <c:pt idx="2">
                    <c:v>10.869838</c:v>
                  </c:pt>
                  <c:pt idx="3">
                    <c:v>23.647252000000002</c:v>
                  </c:pt>
                  <c:pt idx="4">
                    <c:v>36.731220999999998</c:v>
                  </c:pt>
                  <c:pt idx="5">
                    <c:v>45.960397</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Design'!$S$46:$X$46</c:f>
              <c:numCache>
                <c:formatCode>0.000</c:formatCode>
                <c:ptCount val="6"/>
                <c:pt idx="0">
                  <c:v>36.457324999999997</c:v>
                </c:pt>
                <c:pt idx="1">
                  <c:v>79.59966</c:v>
                </c:pt>
                <c:pt idx="2">
                  <c:v>122.425528</c:v>
                </c:pt>
                <c:pt idx="3">
                  <c:v>234.99624800000001</c:v>
                </c:pt>
                <c:pt idx="4">
                  <c:v>351.37798099999998</c:v>
                </c:pt>
                <c:pt idx="5">
                  <c:v>469.43102099999999</c:v>
                </c:pt>
              </c:numCache>
            </c:numRef>
          </c:yVal>
          <c:smooth val="0"/>
          <c:extLst>
            <c:ext xmlns:c16="http://schemas.microsoft.com/office/drawing/2014/chart" uri="{C3380CC4-5D6E-409C-BE32-E72D297353CC}">
              <c16:uniqueId val="{00000001-DA81-416F-A595-199F380CD9FB}"/>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Resistance (</a:t>
                </a:r>
                <a:r>
                  <a:rPr lang="el-GR"/>
                  <a:t>Ω/</a:t>
                </a:r>
                <a:r>
                  <a:rPr lang="en-US"/>
                  <a:t>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Conductance (Ʊ/u.l)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Design'!$Q$49</c:f>
              <c:strCache>
                <c:ptCount val="1"/>
                <c:pt idx="0">
                  <c:v>Geven (Ʊ/u.l)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Design'!$AV$49:$BA$49</c:f>
                <c:numCache>
                  <c:formatCode>General</c:formatCode>
                  <c:ptCount val="6"/>
                  <c:pt idx="0">
                    <c:v>1.2243206848711499E-3</c:v>
                  </c:pt>
                  <c:pt idx="1">
                    <c:v>2.2604468129142001E-3</c:v>
                  </c:pt>
                  <c:pt idx="2">
                    <c:v>3.0676849876649002E-3</c:v>
                  </c:pt>
                  <c:pt idx="3">
                    <c:v>4.8795992201143001E-3</c:v>
                  </c:pt>
                  <c:pt idx="4">
                    <c:v>6.3750468616062001E-3</c:v>
                  </c:pt>
                  <c:pt idx="5">
                    <c:v>7.80090349678481E-3</c:v>
                  </c:pt>
                </c:numCache>
              </c:numRef>
            </c:plus>
            <c:minus>
              <c:numRef>
                <c:f>'Transmission Line Design'!$AM$49:$AR$49</c:f>
                <c:numCache>
                  <c:formatCode>General</c:formatCode>
                  <c:ptCount val="6"/>
                  <c:pt idx="0">
                    <c:v>1.74951065041105E-3</c:v>
                  </c:pt>
                  <c:pt idx="1">
                    <c:v>3.1948218195725002E-3</c:v>
                  </c:pt>
                  <c:pt idx="2">
                    <c:v>4.3683303488837996E-3</c:v>
                  </c:pt>
                  <c:pt idx="3">
                    <c:v>6.7427764512848999E-3</c:v>
                  </c:pt>
                  <c:pt idx="4">
                    <c:v>9.1207982174786005E-3</c:v>
                  </c:pt>
                  <c:pt idx="5">
                    <c:v>1.09631341807763E-2</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Design'!$S$49:$X$49</c:f>
              <c:numCache>
                <c:formatCode>0.00000</c:formatCode>
                <c:ptCount val="6"/>
                <c:pt idx="0">
                  <c:v>7.4287088064190496E-3</c:v>
                </c:pt>
                <c:pt idx="1">
                  <c:v>1.3643904431994701E-2</c:v>
                </c:pt>
                <c:pt idx="2">
                  <c:v>1.8473762836937802E-2</c:v>
                </c:pt>
                <c:pt idx="3">
                  <c:v>2.9326587769264199E-2</c:v>
                </c:pt>
                <c:pt idx="4">
                  <c:v>3.8704359041652099E-2</c:v>
                </c:pt>
                <c:pt idx="5">
                  <c:v>4.7178076238381203E-2</c:v>
                </c:pt>
              </c:numCache>
            </c:numRef>
          </c:yVal>
          <c:smooth val="0"/>
          <c:extLst>
            <c:ext xmlns:c16="http://schemas.microsoft.com/office/drawing/2014/chart" uri="{C3380CC4-5D6E-409C-BE32-E72D297353CC}">
              <c16:uniqueId val="{00000000-BB4F-4840-AA24-280D77500111}"/>
            </c:ext>
          </c:extLst>
        </c:ser>
        <c:ser>
          <c:idx val="1"/>
          <c:order val="1"/>
          <c:tx>
            <c:strRef>
              <c:f>'Transmission Line Design'!$Q$50</c:f>
              <c:strCache>
                <c:ptCount val="1"/>
                <c:pt idx="0">
                  <c:v>Godd (Ʊ/u.l)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Design'!$AV$50:$BA$50</c:f>
                <c:numCache>
                  <c:formatCode>General</c:formatCode>
                  <c:ptCount val="6"/>
                  <c:pt idx="0">
                    <c:v>1.8924428289555999E-3</c:v>
                  </c:pt>
                  <c:pt idx="1">
                    <c:v>3.4612876950641E-3</c:v>
                  </c:pt>
                  <c:pt idx="2">
                    <c:v>4.7155588868995997E-3</c:v>
                  </c:pt>
                  <c:pt idx="3">
                    <c:v>7.2670866239654998E-3</c:v>
                  </c:pt>
                  <c:pt idx="4">
                    <c:v>9.6090345320364E-3</c:v>
                  </c:pt>
                  <c:pt idx="5">
                    <c:v>1.1835122395709601E-2</c:v>
                  </c:pt>
                </c:numCache>
              </c:numRef>
            </c:plus>
            <c:minus>
              <c:numRef>
                <c:f>'Transmission Line Design'!$AM$50:$AR$50</c:f>
                <c:numCache>
                  <c:formatCode>General</c:formatCode>
                  <c:ptCount val="6"/>
                  <c:pt idx="0">
                    <c:v>2.6626316425459999E-3</c:v>
                  </c:pt>
                  <c:pt idx="1">
                    <c:v>5.0255908742556001E-3</c:v>
                  </c:pt>
                  <c:pt idx="2">
                    <c:v>6.9481360023176996E-3</c:v>
                  </c:pt>
                  <c:pt idx="3">
                    <c:v>1.10523668842855E-2</c:v>
                  </c:pt>
                  <c:pt idx="4">
                    <c:v>1.51630582120117E-2</c:v>
                  </c:pt>
                  <c:pt idx="5">
                    <c:v>1.8623080515732499E-2</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Design'!$S$50:$X$50</c:f>
              <c:numCache>
                <c:formatCode>0.00000</c:formatCode>
                <c:ptCount val="6"/>
                <c:pt idx="0">
                  <c:v>1.2412423688721599E-2</c:v>
                </c:pt>
                <c:pt idx="1">
                  <c:v>2.27674730454871E-2</c:v>
                </c:pt>
                <c:pt idx="2">
                  <c:v>3.0837084205033099E-2</c:v>
                </c:pt>
                <c:pt idx="3">
                  <c:v>4.8838197387413303E-2</c:v>
                </c:pt>
                <c:pt idx="4">
                  <c:v>6.4523853522816199E-2</c:v>
                </c:pt>
                <c:pt idx="5">
                  <c:v>7.8565922122676393E-2</c:v>
                </c:pt>
              </c:numCache>
            </c:numRef>
          </c:yVal>
          <c:smooth val="0"/>
          <c:extLst>
            <c:ext xmlns:c16="http://schemas.microsoft.com/office/drawing/2014/chart" uri="{C3380CC4-5D6E-409C-BE32-E72D297353CC}">
              <c16:uniqueId val="{00000001-BB4F-4840-AA24-280D77500111}"/>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Conductance (Ʊ/u.l)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Inductance (nH</a:t>
            </a:r>
            <a:r>
              <a:rPr lang="el-G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t>
            </a: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Design'!$Q$47</c:f>
              <c:strCache>
                <c:ptCount val="1"/>
                <c:pt idx="0">
                  <c:v>Leven (nH/u.l)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Design'!$AV$47:$BA$47</c:f>
                <c:numCache>
                  <c:formatCode>General</c:formatCode>
                  <c:ptCount val="6"/>
                  <c:pt idx="0">
                    <c:v>43.741049732523003</c:v>
                  </c:pt>
                  <c:pt idx="1">
                    <c:v>43.738872970366302</c:v>
                  </c:pt>
                  <c:pt idx="2">
                    <c:v>43.741250299582198</c:v>
                  </c:pt>
                  <c:pt idx="3">
                    <c:v>43.738902605016698</c:v>
                  </c:pt>
                  <c:pt idx="4">
                    <c:v>43.740131376670298</c:v>
                  </c:pt>
                  <c:pt idx="5">
                    <c:v>43.742191748817199</c:v>
                  </c:pt>
                </c:numCache>
              </c:numRef>
            </c:plus>
            <c:minus>
              <c:numRef>
                <c:f>'Transmission Line Design'!$AM$47:$AR$47</c:f>
                <c:numCache>
                  <c:formatCode>General</c:formatCode>
                  <c:ptCount val="6"/>
                  <c:pt idx="0">
                    <c:v>45.1308548350435</c:v>
                  </c:pt>
                  <c:pt idx="1">
                    <c:v>45.138526846023602</c:v>
                  </c:pt>
                  <c:pt idx="2">
                    <c:v>45.135070308359197</c:v>
                  </c:pt>
                  <c:pt idx="3">
                    <c:v>45.1349443213062</c:v>
                  </c:pt>
                  <c:pt idx="4">
                    <c:v>45.1323890356433</c:v>
                  </c:pt>
                  <c:pt idx="5">
                    <c:v>45.137849758454301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Design'!$S$47:$X$47</c:f>
              <c:numCache>
                <c:formatCode>0.000</c:formatCode>
                <c:ptCount val="6"/>
                <c:pt idx="0">
                  <c:v>401.58087620252348</c:v>
                </c:pt>
                <c:pt idx="1">
                  <c:v>401.58768405521425</c:v>
                </c:pt>
                <c:pt idx="2">
                  <c:v>401.58609081874096</c:v>
                </c:pt>
                <c:pt idx="3">
                  <c:v>401.58540247361208</c:v>
                </c:pt>
                <c:pt idx="4">
                  <c:v>401.58016378255695</c:v>
                </c:pt>
                <c:pt idx="5">
                  <c:v>401.57926030238627</c:v>
                </c:pt>
              </c:numCache>
            </c:numRef>
          </c:yVal>
          <c:smooth val="0"/>
          <c:extLst>
            <c:ext xmlns:c16="http://schemas.microsoft.com/office/drawing/2014/chart" uri="{C3380CC4-5D6E-409C-BE32-E72D297353CC}">
              <c16:uniqueId val="{00000000-AE84-4FEF-9FEF-C4748EEE8E6F}"/>
            </c:ext>
          </c:extLst>
        </c:ser>
        <c:ser>
          <c:idx val="1"/>
          <c:order val="1"/>
          <c:tx>
            <c:strRef>
              <c:f>'Transmission Line Design'!$Q$48</c:f>
              <c:strCache>
                <c:ptCount val="1"/>
                <c:pt idx="0">
                  <c:v>Lodd (nH/u.l)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Design'!$AV$48:$BA$48</c:f>
                <c:numCache>
                  <c:formatCode>General</c:formatCode>
                  <c:ptCount val="6"/>
                  <c:pt idx="0">
                    <c:v>32.961112696032203</c:v>
                  </c:pt>
                  <c:pt idx="1">
                    <c:v>32.960273472017299</c:v>
                  </c:pt>
                  <c:pt idx="2">
                    <c:v>32.962732129409098</c:v>
                  </c:pt>
                  <c:pt idx="3">
                    <c:v>32.963360568617396</c:v>
                  </c:pt>
                  <c:pt idx="4">
                    <c:v>32.958734571041497</c:v>
                  </c:pt>
                  <c:pt idx="5">
                    <c:v>32.956431240916302</c:v>
                  </c:pt>
                </c:numCache>
              </c:numRef>
            </c:plus>
            <c:minus>
              <c:numRef>
                <c:f>'Transmission Line Design'!$AM$48:$AR$48</c:f>
                <c:numCache>
                  <c:formatCode>General</c:formatCode>
                  <c:ptCount val="6"/>
                  <c:pt idx="0">
                    <c:v>29.807000564824602</c:v>
                  </c:pt>
                  <c:pt idx="1">
                    <c:v>29.819633806742502</c:v>
                  </c:pt>
                  <c:pt idx="2">
                    <c:v>29.848900013453001</c:v>
                  </c:pt>
                  <c:pt idx="3">
                    <c:v>29.8577027619469</c:v>
                  </c:pt>
                  <c:pt idx="4">
                    <c:v>29.893570105602901</c:v>
                  </c:pt>
                  <c:pt idx="5">
                    <c:v>29.9260647676813</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Design'!$S$48:$X$48</c:f>
              <c:numCache>
                <c:formatCode>0.000</c:formatCode>
                <c:ptCount val="6"/>
                <c:pt idx="0">
                  <c:v>289.59210751286429</c:v>
                </c:pt>
                <c:pt idx="1">
                  <c:v>289.59805354153821</c:v>
                </c:pt>
                <c:pt idx="2">
                  <c:v>289.59697017384059</c:v>
                </c:pt>
                <c:pt idx="3">
                  <c:v>289.59241168979156</c:v>
                </c:pt>
                <c:pt idx="4">
                  <c:v>289.59377728164463</c:v>
                </c:pt>
                <c:pt idx="5">
                  <c:v>289.59447318398065</c:v>
                </c:pt>
              </c:numCache>
            </c:numRef>
          </c:yVal>
          <c:smooth val="0"/>
          <c:extLst>
            <c:ext xmlns:c16="http://schemas.microsoft.com/office/drawing/2014/chart" uri="{C3380CC4-5D6E-409C-BE32-E72D297353CC}">
              <c16:uniqueId val="{00000001-AE84-4FEF-9FEF-C4748EEE8E6F}"/>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Inductance (nH/u.l)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Capacitance (pF/u.l)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Design'!$Q$51</c:f>
              <c:strCache>
                <c:ptCount val="1"/>
                <c:pt idx="0">
                  <c:v>Ceven (pF/u.l)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Design'!$AV$51:$BA$51</c:f>
                <c:numCache>
                  <c:formatCode>General</c:formatCode>
                  <c:ptCount val="6"/>
                  <c:pt idx="0">
                    <c:v>13.1764102186289</c:v>
                  </c:pt>
                  <c:pt idx="1">
                    <c:v>13.144357705837299</c:v>
                  </c:pt>
                  <c:pt idx="2">
                    <c:v>13.0517833773684</c:v>
                  </c:pt>
                  <c:pt idx="3">
                    <c:v>12.861410004504799</c:v>
                  </c:pt>
                  <c:pt idx="4">
                    <c:v>12.7703247252001</c:v>
                  </c:pt>
                  <c:pt idx="5">
                    <c:v>12.679046254255701</c:v>
                  </c:pt>
                </c:numCache>
              </c:numRef>
            </c:plus>
            <c:minus>
              <c:numRef>
                <c:f>'Transmission Line Design'!$AM$52:$AR$52</c:f>
                <c:numCache>
                  <c:formatCode>General</c:formatCode>
                  <c:ptCount val="6"/>
                  <c:pt idx="0">
                    <c:v>21.886005259533999</c:v>
                  </c:pt>
                  <c:pt idx="1">
                    <c:v>21.839397632116999</c:v>
                  </c:pt>
                  <c:pt idx="2">
                    <c:v>21.708575928822501</c:v>
                  </c:pt>
                  <c:pt idx="3">
                    <c:v>21.373917089986001</c:v>
                  </c:pt>
                  <c:pt idx="4">
                    <c:v>21.246502458809498</c:v>
                  </c:pt>
                  <c:pt idx="5">
                    <c:v>21.116475711891301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Design'!$S$51:$X$51</c:f>
              <c:numCache>
                <c:formatCode>0.000</c:formatCode>
                <c:ptCount val="6"/>
                <c:pt idx="0">
                  <c:v>97.321108754346724</c:v>
                </c:pt>
                <c:pt idx="1">
                  <c:v>97.027267979004378</c:v>
                </c:pt>
                <c:pt idx="2">
                  <c:v>96.145857862966494</c:v>
                </c:pt>
                <c:pt idx="3">
                  <c:v>95.982274474893003</c:v>
                </c:pt>
                <c:pt idx="4">
                  <c:v>95.105767264782187</c:v>
                </c:pt>
                <c:pt idx="5">
                  <c:v>94.227758536449443</c:v>
                </c:pt>
              </c:numCache>
            </c:numRef>
          </c:yVal>
          <c:smooth val="0"/>
          <c:extLst>
            <c:ext xmlns:c16="http://schemas.microsoft.com/office/drawing/2014/chart" uri="{C3380CC4-5D6E-409C-BE32-E72D297353CC}">
              <c16:uniqueId val="{00000000-EEE5-44AE-9D3E-ACDC2B83605D}"/>
            </c:ext>
          </c:extLst>
        </c:ser>
        <c:ser>
          <c:idx val="1"/>
          <c:order val="1"/>
          <c:tx>
            <c:strRef>
              <c:f>'Transmission Line Design'!$Q$52</c:f>
              <c:strCache>
                <c:ptCount val="1"/>
                <c:pt idx="0">
                  <c:v>Codd (pF/u.l)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Design'!$AV$52:$BA$52</c:f>
                <c:numCache>
                  <c:formatCode>General</c:formatCode>
                  <c:ptCount val="6"/>
                  <c:pt idx="0">
                    <c:v>18.784892391435498</c:v>
                  </c:pt>
                  <c:pt idx="1">
                    <c:v>18.738999460964799</c:v>
                  </c:pt>
                  <c:pt idx="2">
                    <c:v>18.606079244525901</c:v>
                  </c:pt>
                  <c:pt idx="3">
                    <c:v>18.343474959932301</c:v>
                  </c:pt>
                  <c:pt idx="4">
                    <c:v>18.209901837456101</c:v>
                  </c:pt>
                  <c:pt idx="5">
                    <c:v>18.077079866683899</c:v>
                  </c:pt>
                </c:numCache>
              </c:numRef>
            </c:plus>
            <c:minus>
              <c:numRef>
                <c:f>'Transmission Line Design'!$AM$52:$AR$52</c:f>
                <c:numCache>
                  <c:formatCode>General</c:formatCode>
                  <c:ptCount val="6"/>
                  <c:pt idx="0">
                    <c:v>21.886005259533999</c:v>
                  </c:pt>
                  <c:pt idx="1">
                    <c:v>21.839397632116999</c:v>
                  </c:pt>
                  <c:pt idx="2">
                    <c:v>21.708575928822501</c:v>
                  </c:pt>
                  <c:pt idx="3">
                    <c:v>21.373917089986001</c:v>
                  </c:pt>
                  <c:pt idx="4">
                    <c:v>21.246502458809498</c:v>
                  </c:pt>
                  <c:pt idx="5">
                    <c:v>21.116475711891301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Design'!$S$52:$X$52</c:f>
              <c:numCache>
                <c:formatCode>0.000</c:formatCode>
                <c:ptCount val="6"/>
                <c:pt idx="0">
                  <c:v>134.95635406309492</c:v>
                </c:pt>
                <c:pt idx="1">
                  <c:v>134.54840055527328</c:v>
                </c:pt>
                <c:pt idx="2">
                  <c:v>133.3261169739192</c:v>
                </c:pt>
                <c:pt idx="3">
                  <c:v>133.10112888412809</c:v>
                </c:pt>
                <c:pt idx="4">
                  <c:v>131.88331328925779</c:v>
                </c:pt>
                <c:pt idx="5">
                  <c:v>130.66516470475545</c:v>
                </c:pt>
              </c:numCache>
            </c:numRef>
          </c:yVal>
          <c:smooth val="0"/>
          <c:extLst>
            <c:ext xmlns:c16="http://schemas.microsoft.com/office/drawing/2014/chart" uri="{C3380CC4-5D6E-409C-BE32-E72D297353CC}">
              <c16:uniqueId val="{00000001-EEE5-44AE-9D3E-ACDC2B83605D}"/>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9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Capacitance (pF/u.l)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Dielectric</a:t>
            </a:r>
            <a:r>
              <a:rPr lang="en-US" baseline="0"/>
              <a:t> Constant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Design'!$Q$19</c:f>
              <c:strCache>
                <c:ptCount val="1"/>
                <c:pt idx="0">
                  <c:v>Dk_avg</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Design'!$AV$19:$BA$19</c:f>
                <c:numCache>
                  <c:formatCode>General</c:formatCode>
                  <c:ptCount val="6"/>
                  <c:pt idx="0">
                    <c:v>0.144734693284962</c:v>
                  </c:pt>
                  <c:pt idx="1">
                    <c:v>0.14465697099704899</c:v>
                  </c:pt>
                  <c:pt idx="2">
                    <c:v>0.144421206779205</c:v>
                  </c:pt>
                  <c:pt idx="3">
                    <c:v>0.13745057104496899</c:v>
                  </c:pt>
                  <c:pt idx="4">
                    <c:v>0.137234992494326</c:v>
                  </c:pt>
                  <c:pt idx="5">
                    <c:v>0.137015707857707</c:v>
                  </c:pt>
                </c:numCache>
              </c:numRef>
            </c:plus>
            <c:minus>
              <c:numRef>
                <c:f>'Transmission Line Design'!$AM$19:$AR$19</c:f>
                <c:numCache>
                  <c:formatCode>General</c:formatCode>
                  <c:ptCount val="6"/>
                  <c:pt idx="0">
                    <c:v>0.14940776783142201</c:v>
                  </c:pt>
                  <c:pt idx="1">
                    <c:v>0.14933470694877901</c:v>
                  </c:pt>
                  <c:pt idx="2">
                    <c:v>0.149112850519936</c:v>
                  </c:pt>
                  <c:pt idx="3">
                    <c:v>0.141783719741188</c:v>
                  </c:pt>
                  <c:pt idx="4">
                    <c:v>0.14158255728935901</c:v>
                  </c:pt>
                  <c:pt idx="5">
                    <c:v>0.14137761003102001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Design'!$S$19:$X$19</c:f>
              <c:numCache>
                <c:formatCode>0.00</c:formatCode>
                <c:ptCount val="6"/>
                <c:pt idx="0">
                  <c:v>3.5125993616160756</c:v>
                </c:pt>
                <c:pt idx="1">
                  <c:v>3.5020067989009855</c:v>
                </c:pt>
                <c:pt idx="2">
                  <c:v>3.4702131931589801</c:v>
                </c:pt>
                <c:pt idx="3">
                  <c:v>3.4642945822927431</c:v>
                </c:pt>
                <c:pt idx="4">
                  <c:v>3.432625795223156</c:v>
                </c:pt>
                <c:pt idx="5">
                  <c:v>3.4009339001347092</c:v>
                </c:pt>
              </c:numCache>
            </c:numRef>
          </c:yVal>
          <c:smooth val="0"/>
          <c:extLst>
            <c:ext xmlns:c16="http://schemas.microsoft.com/office/drawing/2014/chart" uri="{C3380CC4-5D6E-409C-BE32-E72D297353CC}">
              <c16:uniqueId val="{00000000-FC66-4877-908E-634F039914BA}"/>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Loss Tangent</a:t>
            </a:r>
            <a:endParaRPr lang="el-G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lotArea>
      <c:layout/>
      <c:scatterChart>
        <c:scatterStyle val="lineMarker"/>
        <c:varyColors val="0"/>
        <c:ser>
          <c:idx val="1"/>
          <c:order val="0"/>
          <c:tx>
            <c:strRef>
              <c:f>'Transmission Line Design'!$Q$20</c:f>
              <c:strCache>
                <c:ptCount val="1"/>
                <c:pt idx="0">
                  <c:v>Df</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Design'!$AV$20:$BA$20</c:f>
                <c:numCache>
                  <c:formatCode>General</c:formatCode>
                  <c:ptCount val="6"/>
                  <c:pt idx="0">
                    <c:v>0</c:v>
                  </c:pt>
                  <c:pt idx="1">
                    <c:v>0</c:v>
                  </c:pt>
                  <c:pt idx="2">
                    <c:v>0</c:v>
                  </c:pt>
                  <c:pt idx="3">
                    <c:v>1.12985165616745E-4</c:v>
                  </c:pt>
                  <c:pt idx="4">
                    <c:v>1.12985165616745E-4</c:v>
                  </c:pt>
                  <c:pt idx="5">
                    <c:v>0</c:v>
                  </c:pt>
                </c:numCache>
              </c:numRef>
            </c:plus>
            <c:minus>
              <c:numRef>
                <c:f>'Transmission Line Design'!$AM$20:$AR$20</c:f>
                <c:numCache>
                  <c:formatCode>General</c:formatCode>
                  <c:ptCount val="6"/>
                  <c:pt idx="0">
                    <c:v>0</c:v>
                  </c:pt>
                  <c:pt idx="1">
                    <c:v>0</c:v>
                  </c:pt>
                  <c:pt idx="2">
                    <c:v>0</c:v>
                  </c:pt>
                  <c:pt idx="3">
                    <c:v>1.12985165616745E-4</c:v>
                  </c:pt>
                  <c:pt idx="4">
                    <c:v>1.12985165616745E-4</c:v>
                  </c:pt>
                  <c:pt idx="5">
                    <c:v>0</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3</c:v>
                </c:pt>
                <c:pt idx="2">
                  <c:v>5</c:v>
                </c:pt>
                <c:pt idx="3">
                  <c:v>10</c:v>
                </c:pt>
                <c:pt idx="4">
                  <c:v>15</c:v>
                </c:pt>
                <c:pt idx="5">
                  <c:v>20</c:v>
                </c:pt>
              </c:numCache>
            </c:numRef>
          </c:xVal>
          <c:yVal>
            <c:numRef>
              <c:f>'Transmission Line Design'!$S$20:$X$20</c:f>
              <c:numCache>
                <c:formatCode>0.0000</c:formatCode>
                <c:ptCount val="6"/>
                <c:pt idx="0">
                  <c:v>5.3999999999999994E-3</c:v>
                </c:pt>
                <c:pt idx="1">
                  <c:v>5.5999999999999999E-3</c:v>
                </c:pt>
                <c:pt idx="2">
                  <c:v>6.1000000000000004E-3</c:v>
                </c:pt>
                <c:pt idx="3">
                  <c:v>7.0617598049177001E-3</c:v>
                </c:pt>
                <c:pt idx="4">
                  <c:v>7.6617598049177E-3</c:v>
                </c:pt>
                <c:pt idx="5">
                  <c:v>8.0999999999999996E-3</c:v>
                </c:pt>
              </c:numCache>
            </c:numRef>
          </c:yVal>
          <c:smooth val="0"/>
          <c:extLst>
            <c:ext xmlns:c16="http://schemas.microsoft.com/office/drawing/2014/chart" uri="{C3380CC4-5D6E-409C-BE32-E72D297353CC}">
              <c16:uniqueId val="{00000001-420E-47CF-A958-4223A8636CD5}"/>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Final DF Values at Base Temperature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571626031953106"/>
          <c:y val="0.20129112095267415"/>
          <c:w val="0.74879005712264779"/>
          <c:h val="0.50892137592611519"/>
        </c:manualLayout>
      </c:layout>
      <c:scatterChart>
        <c:scatterStyle val="lineMarker"/>
        <c:varyColors val="0"/>
        <c:ser>
          <c:idx val="0"/>
          <c:order val="0"/>
          <c:tx>
            <c:v>DF</c:v>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Modeler'!$U$24:$Z$24</c:f>
              <c:numCache>
                <c:formatCode>0.00</c:formatCode>
                <c:ptCount val="6"/>
                <c:pt idx="0">
                  <c:v>1</c:v>
                </c:pt>
                <c:pt idx="1">
                  <c:v>3</c:v>
                </c:pt>
                <c:pt idx="2">
                  <c:v>5</c:v>
                </c:pt>
                <c:pt idx="3">
                  <c:v>10</c:v>
                </c:pt>
                <c:pt idx="4">
                  <c:v>15</c:v>
                </c:pt>
                <c:pt idx="5">
                  <c:v>20</c:v>
                </c:pt>
              </c:numCache>
            </c:numRef>
          </c:xVal>
          <c:yVal>
            <c:numRef>
              <c:f>'Material Modeler'!$U$28:$Z$28</c:f>
              <c:numCache>
                <c:formatCode>0.0000</c:formatCode>
                <c:ptCount val="6"/>
                <c:pt idx="0">
                  <c:v>5.3999999999999994E-3</c:v>
                </c:pt>
                <c:pt idx="1">
                  <c:v>5.5999999999999999E-3</c:v>
                </c:pt>
                <c:pt idx="2">
                  <c:v>6.1000000000000004E-3</c:v>
                </c:pt>
                <c:pt idx="3">
                  <c:v>6.8787238366185728E-3</c:v>
                </c:pt>
                <c:pt idx="4">
                  <c:v>7.4787238366185727E-3</c:v>
                </c:pt>
                <c:pt idx="5">
                  <c:v>8.0999999999999996E-3</c:v>
                </c:pt>
              </c:numCache>
            </c:numRef>
          </c:yVal>
          <c:smooth val="0"/>
          <c:extLst>
            <c:ext xmlns:c16="http://schemas.microsoft.com/office/drawing/2014/chart" uri="{C3380CC4-5D6E-409C-BE32-E72D297353CC}">
              <c16:uniqueId val="{00000000-0B78-4988-88A5-23736FD620A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DF</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Modeler'!$C$24</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Modeler'!$C$25:$C$28</c:f>
              <c:numCache>
                <c:formatCode>0.00</c:formatCode>
                <c:ptCount val="4"/>
                <c:pt idx="0">
                  <c:v>4.0476315789473682</c:v>
                </c:pt>
                <c:pt idx="1">
                  <c:v>3.9839473684210525</c:v>
                </c:pt>
                <c:pt idx="2">
                  <c:v>3.8884210526315792</c:v>
                </c:pt>
                <c:pt idx="3">
                  <c:v>4.0559301971144066</c:v>
                </c:pt>
              </c:numCache>
            </c:numRef>
          </c:yVal>
          <c:smooth val="0"/>
          <c:extLst>
            <c:ext xmlns:c16="http://schemas.microsoft.com/office/drawing/2014/chart" uri="{C3380CC4-5D6E-409C-BE32-E72D297353CC}">
              <c16:uniqueId val="{00000000-E8F2-4BC5-B561-CCE1E60D5638}"/>
            </c:ext>
          </c:extLst>
        </c:ser>
        <c:ser>
          <c:idx val="1"/>
          <c:order val="1"/>
          <c:tx>
            <c:strRef>
              <c:f>'Material Modeler'!$D$24</c:f>
              <c:strCache>
                <c:ptCount val="1"/>
                <c:pt idx="0">
                  <c:v>3.00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Modeler'!$D$25:$D$28</c:f>
              <c:numCache>
                <c:formatCode>0.00</c:formatCode>
                <c:ptCount val="4"/>
                <c:pt idx="0">
                  <c:v>4.0376315789473685</c:v>
                </c:pt>
                <c:pt idx="1">
                  <c:v>3.9739473684210522</c:v>
                </c:pt>
                <c:pt idx="2">
                  <c:v>3.8784210526315785</c:v>
                </c:pt>
                <c:pt idx="3">
                  <c:v>4.0459301971144068</c:v>
                </c:pt>
              </c:numCache>
            </c:numRef>
          </c:yVal>
          <c:smooth val="0"/>
          <c:extLst>
            <c:ext xmlns:c16="http://schemas.microsoft.com/office/drawing/2014/chart" uri="{C3380CC4-5D6E-409C-BE32-E72D297353CC}">
              <c16:uniqueId val="{00000001-E8F2-4BC5-B561-CCE1E60D5638}"/>
            </c:ext>
          </c:extLst>
        </c:ser>
        <c:ser>
          <c:idx val="2"/>
          <c:order val="2"/>
          <c:tx>
            <c:strRef>
              <c:f>'Material Modeler'!$E$24</c:f>
              <c:strCache>
                <c:ptCount val="1"/>
                <c:pt idx="0">
                  <c:v>5.00</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Modeler'!$E$25:$E$28</c:f>
              <c:numCache>
                <c:formatCode>0.00</c:formatCode>
                <c:ptCount val="4"/>
                <c:pt idx="0">
                  <c:v>4.0076315789473682</c:v>
                </c:pt>
                <c:pt idx="1">
                  <c:v>3.9439473684210524</c:v>
                </c:pt>
                <c:pt idx="2">
                  <c:v>3.8484210526315792</c:v>
                </c:pt>
                <c:pt idx="3">
                  <c:v>4.0159301971144075</c:v>
                </c:pt>
              </c:numCache>
            </c:numRef>
          </c:yVal>
          <c:smooth val="0"/>
          <c:extLst>
            <c:ext xmlns:c16="http://schemas.microsoft.com/office/drawing/2014/chart" uri="{C3380CC4-5D6E-409C-BE32-E72D297353CC}">
              <c16:uniqueId val="{00000002-E8F2-4BC5-B561-CCE1E60D5638}"/>
            </c:ext>
          </c:extLst>
        </c:ser>
        <c:ser>
          <c:idx val="3"/>
          <c:order val="3"/>
          <c:tx>
            <c:strRef>
              <c:f>'Material Modeler'!$F$24</c:f>
              <c:strCache>
                <c:ptCount val="1"/>
                <c:pt idx="0">
                  <c:v>10.00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Modeler'!$F$25:$F$28</c:f>
              <c:numCache>
                <c:formatCode>0.00</c:formatCode>
                <c:ptCount val="4"/>
                <c:pt idx="0">
                  <c:v>3.9600000000000004</c:v>
                </c:pt>
                <c:pt idx="1">
                  <c:v>3.9000000000000004</c:v>
                </c:pt>
                <c:pt idx="2">
                  <c:v>3.8100000000000005</c:v>
                </c:pt>
                <c:pt idx="3">
                  <c:v>3.9678185328185331</c:v>
                </c:pt>
              </c:numCache>
            </c:numRef>
          </c:yVal>
          <c:smooth val="0"/>
          <c:extLst>
            <c:ext xmlns:c16="http://schemas.microsoft.com/office/drawing/2014/chart" uri="{C3380CC4-5D6E-409C-BE32-E72D297353CC}">
              <c16:uniqueId val="{00000003-E8F2-4BC5-B561-CCE1E60D5638}"/>
            </c:ext>
          </c:extLst>
        </c:ser>
        <c:ser>
          <c:idx val="4"/>
          <c:order val="4"/>
          <c:tx>
            <c:strRef>
              <c:f>'Material Modeler'!$G$24</c:f>
              <c:strCache>
                <c:ptCount val="1"/>
                <c:pt idx="0">
                  <c:v>15.00</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Modeler'!$G$25:$G$28</c:f>
              <c:numCache>
                <c:formatCode>0.00</c:formatCode>
                <c:ptCount val="4"/>
                <c:pt idx="0">
                  <c:v>3.93</c:v>
                </c:pt>
                <c:pt idx="1">
                  <c:v>3.87</c:v>
                </c:pt>
                <c:pt idx="2">
                  <c:v>3.7800000000000002</c:v>
                </c:pt>
                <c:pt idx="3">
                  <c:v>3.9378185328185324</c:v>
                </c:pt>
              </c:numCache>
            </c:numRef>
          </c:yVal>
          <c:smooth val="0"/>
          <c:extLst>
            <c:ext xmlns:c16="http://schemas.microsoft.com/office/drawing/2014/chart" uri="{C3380CC4-5D6E-409C-BE32-E72D297353CC}">
              <c16:uniqueId val="{00000000-17DD-4A05-8980-FBE88EBEB021}"/>
            </c:ext>
          </c:extLst>
        </c:ser>
        <c:ser>
          <c:idx val="5"/>
          <c:order val="5"/>
          <c:tx>
            <c:strRef>
              <c:f>'Material Modeler'!$H$24</c:f>
              <c:strCache>
                <c:ptCount val="1"/>
                <c:pt idx="0">
                  <c:v>20.00</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Modeler'!$H$25:$H$28</c:f>
              <c:numCache>
                <c:formatCode>0.00</c:formatCode>
                <c:ptCount val="4"/>
                <c:pt idx="0">
                  <c:v>3.8999999999999995</c:v>
                </c:pt>
                <c:pt idx="1">
                  <c:v>3.84</c:v>
                </c:pt>
                <c:pt idx="2">
                  <c:v>3.75</c:v>
                </c:pt>
                <c:pt idx="3">
                  <c:v>3.9078185328185322</c:v>
                </c:pt>
              </c:numCache>
            </c:numRef>
          </c:yVal>
          <c:smooth val="0"/>
          <c:extLst>
            <c:ext xmlns:c16="http://schemas.microsoft.com/office/drawing/2014/chart" uri="{C3380CC4-5D6E-409C-BE32-E72D297353CC}">
              <c16:uniqueId val="{00000001-17DD-4A05-8980-FBE88EBEB021}"/>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Modeler'!$L$24</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Modeler'!$L$25:$L$28</c:f>
              <c:numCache>
                <c:formatCode>0.00</c:formatCode>
                <c:ptCount val="4"/>
                <c:pt idx="0">
                  <c:v>3.4517688615280053</c:v>
                </c:pt>
                <c:pt idx="1">
                  <c:v>3.4006753350438306</c:v>
                </c:pt>
                <c:pt idx="2">
                  <c:v>3.3268095412058152</c:v>
                </c:pt>
                <c:pt idx="3">
                  <c:v>3.4585400910429773</c:v>
                </c:pt>
              </c:numCache>
            </c:numRef>
          </c:yVal>
          <c:smooth val="0"/>
          <c:extLst>
            <c:ext xmlns:c16="http://schemas.microsoft.com/office/drawing/2014/chart" uri="{C3380CC4-5D6E-409C-BE32-E72D297353CC}">
              <c16:uniqueId val="{00000000-BF33-43FE-8578-32CFAFDE4D7E}"/>
            </c:ext>
          </c:extLst>
        </c:ser>
        <c:ser>
          <c:idx val="1"/>
          <c:order val="1"/>
          <c:tx>
            <c:strRef>
              <c:f>'Material Modeler'!$M$24</c:f>
              <c:strCache>
                <c:ptCount val="1"/>
                <c:pt idx="0">
                  <c:v>3.00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Modeler'!$M$25:$M$28</c:f>
              <c:numCache>
                <c:formatCode>0.00</c:formatCode>
                <c:ptCount val="4"/>
                <c:pt idx="0">
                  <c:v>3.4403597643059016</c:v>
                </c:pt>
                <c:pt idx="1">
                  <c:v>3.3893164767722106</c:v>
                </c:pt>
                <c:pt idx="2">
                  <c:v>3.3155296301206385</c:v>
                </c:pt>
                <c:pt idx="3">
                  <c:v>3.4471246040146015</c:v>
                </c:pt>
              </c:numCache>
            </c:numRef>
          </c:yVal>
          <c:smooth val="0"/>
          <c:extLst>
            <c:ext xmlns:c16="http://schemas.microsoft.com/office/drawing/2014/chart" uri="{C3380CC4-5D6E-409C-BE32-E72D297353CC}">
              <c16:uniqueId val="{00000001-BF33-43FE-8578-32CFAFDE4D7E}"/>
            </c:ext>
          </c:extLst>
        </c:ser>
        <c:ser>
          <c:idx val="2"/>
          <c:order val="2"/>
          <c:tx>
            <c:strRef>
              <c:f>'Material Modeler'!$N$24</c:f>
              <c:strCache>
                <c:ptCount val="1"/>
                <c:pt idx="0">
                  <c:v>5.00</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Modeler'!$N$25:$N$28</c:f>
              <c:numCache>
                <c:formatCode>0.00</c:formatCode>
                <c:ptCount val="4"/>
                <c:pt idx="0">
                  <c:v>3.4060922001022615</c:v>
                </c:pt>
                <c:pt idx="1">
                  <c:v>3.3552016455288993</c:v>
                </c:pt>
                <c:pt idx="2">
                  <c:v>3.2816546529366897</c:v>
                </c:pt>
                <c:pt idx="3">
                  <c:v>3.4128376076518481</c:v>
                </c:pt>
              </c:numCache>
            </c:numRef>
          </c:yVal>
          <c:smooth val="0"/>
          <c:extLst>
            <c:ext xmlns:c16="http://schemas.microsoft.com/office/drawing/2014/chart" uri="{C3380CC4-5D6E-409C-BE32-E72D297353CC}">
              <c16:uniqueId val="{00000002-BF33-43FE-8578-32CFAFDE4D7E}"/>
            </c:ext>
          </c:extLst>
        </c:ser>
        <c:ser>
          <c:idx val="3"/>
          <c:order val="3"/>
          <c:tx>
            <c:strRef>
              <c:f>'Material Modeler'!$O$24</c:f>
              <c:strCache>
                <c:ptCount val="1"/>
                <c:pt idx="0">
                  <c:v>10.00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Modeler'!$O$25:$O$28</c:f>
              <c:numCache>
                <c:formatCode>0.00</c:formatCode>
                <c:ptCount val="4"/>
                <c:pt idx="0">
                  <c:v>3.4184782608695645</c:v>
                </c:pt>
                <c:pt idx="1">
                  <c:v>3.3696428571428569</c:v>
                </c:pt>
                <c:pt idx="2">
                  <c:v>3.2989510489510487</c:v>
                </c:pt>
                <c:pt idx="3">
                  <c:v>3.4249463902787705</c:v>
                </c:pt>
              </c:numCache>
            </c:numRef>
          </c:yVal>
          <c:smooth val="0"/>
          <c:extLst>
            <c:ext xmlns:c16="http://schemas.microsoft.com/office/drawing/2014/chart" uri="{C3380CC4-5D6E-409C-BE32-E72D297353CC}">
              <c16:uniqueId val="{00000003-BF33-43FE-8578-32CFAFDE4D7E}"/>
            </c:ext>
          </c:extLst>
        </c:ser>
        <c:ser>
          <c:idx val="4"/>
          <c:order val="4"/>
          <c:tx>
            <c:strRef>
              <c:f>'Material Modeler'!$P$24</c:f>
              <c:strCache>
                <c:ptCount val="1"/>
                <c:pt idx="0">
                  <c:v>15.00</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Modeler'!$P$25:$P$28</c:f>
              <c:numCache>
                <c:formatCode>0.00</c:formatCode>
                <c:ptCount val="4"/>
                <c:pt idx="0">
                  <c:v>3.3845255474452514</c:v>
                </c:pt>
                <c:pt idx="1">
                  <c:v>3.3358273381294925</c:v>
                </c:pt>
                <c:pt idx="2">
                  <c:v>3.2653521126760521</c:v>
                </c:pt>
                <c:pt idx="3">
                  <c:v>3.390976267453512</c:v>
                </c:pt>
              </c:numCache>
            </c:numRef>
          </c:yVal>
          <c:smooth val="0"/>
          <c:extLst>
            <c:ext xmlns:c16="http://schemas.microsoft.com/office/drawing/2014/chart" uri="{C3380CC4-5D6E-409C-BE32-E72D297353CC}">
              <c16:uniqueId val="{00000000-F4DA-4DB7-9B91-DA1F82B415F8}"/>
            </c:ext>
          </c:extLst>
        </c:ser>
        <c:ser>
          <c:idx val="5"/>
          <c:order val="5"/>
          <c:tx>
            <c:strRef>
              <c:f>'Material Modeler'!$Q$24</c:f>
              <c:strCache>
                <c:ptCount val="1"/>
                <c:pt idx="0">
                  <c:v>20.00</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Modeler'!$Q$25:$Q$28</c:f>
              <c:numCache>
                <c:formatCode>0.00</c:formatCode>
                <c:ptCount val="4"/>
                <c:pt idx="0">
                  <c:v>3.3505147058823526</c:v>
                </c:pt>
                <c:pt idx="1">
                  <c:v>3.3019565217391298</c:v>
                </c:pt>
                <c:pt idx="2">
                  <c:v>3.2317021276595734</c:v>
                </c:pt>
                <c:pt idx="3">
                  <c:v>3.3569476483722775</c:v>
                </c:pt>
              </c:numCache>
            </c:numRef>
          </c:yVal>
          <c:smooth val="0"/>
          <c:extLst>
            <c:ext xmlns:c16="http://schemas.microsoft.com/office/drawing/2014/chart" uri="{C3380CC4-5D6E-409C-BE32-E72D297353CC}">
              <c16:uniqueId val="{00000001-F4DA-4DB7-9B91-DA1F82B415F8}"/>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Modeler'!$AB$9:$AH$9</c:f>
          <c:strCache>
            <c:ptCount val="7"/>
            <c:pt idx="0">
              <c:v>Stripline Loss Decomposition at 25°C</c:v>
            </c:pt>
          </c:strCache>
        </c:strRef>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571626031953106"/>
          <c:y val="0.20129112095267415"/>
          <c:w val="0.74879005712264779"/>
          <c:h val="0.44032963382099438"/>
        </c:manualLayout>
      </c:layout>
      <c:scatterChart>
        <c:scatterStyle val="lineMarker"/>
        <c:varyColors val="0"/>
        <c:ser>
          <c:idx val="0"/>
          <c:order val="0"/>
          <c:tx>
            <c:strRef>
              <c:f>'Material Modeler'!$AB$14</c:f>
              <c:strCache>
                <c:ptCount val="1"/>
                <c:pt idx="0">
                  <c:v>α_Dielectric (dB/m)</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Modeler'!$AD$10:$AI$10</c:f>
              <c:numCache>
                <c:formatCode>0.00</c:formatCode>
                <c:ptCount val="6"/>
                <c:pt idx="0">
                  <c:v>1</c:v>
                </c:pt>
                <c:pt idx="1">
                  <c:v>3</c:v>
                </c:pt>
                <c:pt idx="2">
                  <c:v>5</c:v>
                </c:pt>
                <c:pt idx="3">
                  <c:v>10</c:v>
                </c:pt>
                <c:pt idx="4">
                  <c:v>15</c:v>
                </c:pt>
                <c:pt idx="5">
                  <c:v>20</c:v>
                </c:pt>
              </c:numCache>
            </c:numRef>
          </c:xVal>
          <c:yVal>
            <c:numRef>
              <c:f>'Material Modeler'!$AD$14:$AI$14</c:f>
              <c:numCache>
                <c:formatCode>0.00</c:formatCode>
                <c:ptCount val="6"/>
                <c:pt idx="0">
                  <c:v>0.95272336963681148</c:v>
                </c:pt>
                <c:pt idx="1">
                  <c:v>2.9598016558868414</c:v>
                </c:pt>
                <c:pt idx="2">
                  <c:v>5.3503489060531626</c:v>
                </c:pt>
                <c:pt idx="3">
                  <c:v>12.037469367047326</c:v>
                </c:pt>
                <c:pt idx="4">
                  <c:v>19.546045672950971</c:v>
                </c:pt>
                <c:pt idx="5">
                  <c:v>28.102807443751743</c:v>
                </c:pt>
              </c:numCache>
            </c:numRef>
          </c:yVal>
          <c:smooth val="0"/>
          <c:extLst>
            <c:ext xmlns:c16="http://schemas.microsoft.com/office/drawing/2014/chart" uri="{C3380CC4-5D6E-409C-BE32-E72D297353CC}">
              <c16:uniqueId val="{00000000-52F4-4FF2-8262-6851F7BEE136}"/>
            </c:ext>
          </c:extLst>
        </c:ser>
        <c:ser>
          <c:idx val="1"/>
          <c:order val="1"/>
          <c:tx>
            <c:strRef>
              <c:f>'Material Modeler'!$AB$15</c:f>
              <c:strCache>
                <c:ptCount val="1"/>
                <c:pt idx="0">
                  <c:v>α_SmoothMetal (dB/m)</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Modeler'!$AD$10:$AI$10</c:f>
              <c:numCache>
                <c:formatCode>0.00</c:formatCode>
                <c:ptCount val="6"/>
                <c:pt idx="0">
                  <c:v>1</c:v>
                </c:pt>
                <c:pt idx="1">
                  <c:v>3</c:v>
                </c:pt>
                <c:pt idx="2">
                  <c:v>5</c:v>
                </c:pt>
                <c:pt idx="3">
                  <c:v>10</c:v>
                </c:pt>
                <c:pt idx="4">
                  <c:v>15</c:v>
                </c:pt>
                <c:pt idx="5">
                  <c:v>20</c:v>
                </c:pt>
              </c:numCache>
            </c:numRef>
          </c:xVal>
          <c:yVal>
            <c:numRef>
              <c:f>'Material Modeler'!$AD$15:$AI$15</c:f>
              <c:numCache>
                <c:formatCode>0.00</c:formatCode>
                <c:ptCount val="6"/>
                <c:pt idx="0">
                  <c:v>5.7900381973181609</c:v>
                </c:pt>
                <c:pt idx="1">
                  <c:v>10.014339829683564</c:v>
                </c:pt>
                <c:pt idx="2">
                  <c:v>12.872877523174772</c:v>
                </c:pt>
                <c:pt idx="3">
                  <c:v>18.160829925554019</c:v>
                </c:pt>
                <c:pt idx="4">
                  <c:v>22.145941763749324</c:v>
                </c:pt>
                <c:pt idx="5">
                  <c:v>25.459980184900452</c:v>
                </c:pt>
              </c:numCache>
            </c:numRef>
          </c:yVal>
          <c:smooth val="0"/>
          <c:extLst>
            <c:ext xmlns:c16="http://schemas.microsoft.com/office/drawing/2014/chart" uri="{C3380CC4-5D6E-409C-BE32-E72D297353CC}">
              <c16:uniqueId val="{00000001-52F4-4FF2-8262-6851F7BEE136}"/>
            </c:ext>
          </c:extLst>
        </c:ser>
        <c:ser>
          <c:idx val="2"/>
          <c:order val="2"/>
          <c:tx>
            <c:strRef>
              <c:f>'Material Modeler'!$AB$16</c:f>
              <c:strCache>
                <c:ptCount val="1"/>
                <c:pt idx="0">
                  <c:v>α_RoughMetal  (dB/m)</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Modeler'!$AD$10:$AI$10</c:f>
              <c:numCache>
                <c:formatCode>0.00</c:formatCode>
                <c:ptCount val="6"/>
                <c:pt idx="0">
                  <c:v>1</c:v>
                </c:pt>
                <c:pt idx="1">
                  <c:v>3</c:v>
                </c:pt>
                <c:pt idx="2">
                  <c:v>5</c:v>
                </c:pt>
                <c:pt idx="3">
                  <c:v>10</c:v>
                </c:pt>
                <c:pt idx="4">
                  <c:v>15</c:v>
                </c:pt>
                <c:pt idx="5">
                  <c:v>20</c:v>
                </c:pt>
              </c:numCache>
            </c:numRef>
          </c:xVal>
          <c:yVal>
            <c:numRef>
              <c:f>'Material Modeler'!$AD$16:$AI$16</c:f>
              <c:numCache>
                <c:formatCode>0.00</c:formatCode>
                <c:ptCount val="6"/>
                <c:pt idx="0">
                  <c:v>5.9822240718452653</c:v>
                </c:pt>
                <c:pt idx="1">
                  <c:v>11.004410714837475</c:v>
                </c:pt>
                <c:pt idx="2">
                  <c:v>14.964592232898681</c:v>
                </c:pt>
                <c:pt idx="3">
                  <c:v>23.721724052266172</c:v>
                </c:pt>
                <c:pt idx="4">
                  <c:v>31.509606223387348</c:v>
                </c:pt>
                <c:pt idx="5">
                  <c:v>38.536645972570135</c:v>
                </c:pt>
              </c:numCache>
            </c:numRef>
          </c:yVal>
          <c:smooth val="0"/>
          <c:extLst>
            <c:ext xmlns:c16="http://schemas.microsoft.com/office/drawing/2014/chart" uri="{C3380CC4-5D6E-409C-BE32-E72D297353CC}">
              <c16:uniqueId val="{00000002-52F4-4FF2-8262-6851F7BEE136}"/>
            </c:ext>
          </c:extLst>
        </c:ser>
        <c:ser>
          <c:idx val="3"/>
          <c:order val="3"/>
          <c:tx>
            <c:strRef>
              <c:f>'Material Modeler'!$AB$17</c:f>
              <c:strCache>
                <c:ptCount val="1"/>
                <c:pt idx="0">
                  <c:v>α_Total  (dB/m)</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Modeler'!$AD$10:$AI$10</c:f>
              <c:numCache>
                <c:formatCode>0.00</c:formatCode>
                <c:ptCount val="6"/>
                <c:pt idx="0">
                  <c:v>1</c:v>
                </c:pt>
                <c:pt idx="1">
                  <c:v>3</c:v>
                </c:pt>
                <c:pt idx="2">
                  <c:v>5</c:v>
                </c:pt>
                <c:pt idx="3">
                  <c:v>10</c:v>
                </c:pt>
                <c:pt idx="4">
                  <c:v>15</c:v>
                </c:pt>
                <c:pt idx="5">
                  <c:v>20</c:v>
                </c:pt>
              </c:numCache>
            </c:numRef>
          </c:xVal>
          <c:yVal>
            <c:numRef>
              <c:f>'Material Modeler'!$AD$17:$AI$17</c:f>
              <c:numCache>
                <c:formatCode>0.00</c:formatCode>
                <c:ptCount val="6"/>
                <c:pt idx="0">
                  <c:v>6.9349474414820769</c:v>
                </c:pt>
                <c:pt idx="1">
                  <c:v>13.964212370724315</c:v>
                </c:pt>
                <c:pt idx="2">
                  <c:v>20.314941138951845</c:v>
                </c:pt>
                <c:pt idx="3">
                  <c:v>35.759193419313497</c:v>
                </c:pt>
                <c:pt idx="4">
                  <c:v>51.055651896338318</c:v>
                </c:pt>
                <c:pt idx="5">
                  <c:v>66.639453416321885</c:v>
                </c:pt>
              </c:numCache>
            </c:numRef>
          </c:yVal>
          <c:smooth val="0"/>
          <c:extLst>
            <c:ext xmlns:c16="http://schemas.microsoft.com/office/drawing/2014/chart" uri="{C3380CC4-5D6E-409C-BE32-E72D297353CC}">
              <c16:uniqueId val="{00000003-52F4-4FF2-8262-6851F7BEE13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Modeler'!$AK$24:$AQ$24</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Modeler'!$AM$25</c:f>
              <c:strCache>
                <c:ptCount val="1"/>
                <c:pt idx="0">
                  <c:v>1.00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Modeler'!$AM$26:$AM$29</c:f>
              <c:numCache>
                <c:formatCode>0.00</c:formatCode>
                <c:ptCount val="4"/>
                <c:pt idx="0">
                  <c:v>5.8637182001945805</c:v>
                </c:pt>
                <c:pt idx="1">
                  <c:v>6.607990228107548</c:v>
                </c:pt>
                <c:pt idx="2">
                  <c:v>7.0464006957749854</c:v>
                </c:pt>
                <c:pt idx="3">
                  <c:v>8.10810610045427</c:v>
                </c:pt>
              </c:numCache>
            </c:numRef>
          </c:yVal>
          <c:smooth val="0"/>
          <c:extLst>
            <c:ext xmlns:c16="http://schemas.microsoft.com/office/drawing/2014/chart" uri="{C3380CC4-5D6E-409C-BE32-E72D297353CC}">
              <c16:uniqueId val="{00000001-A5C3-4E39-BBC9-B8FF93DF1593}"/>
            </c:ext>
          </c:extLst>
        </c:ser>
        <c:ser>
          <c:idx val="1"/>
          <c:order val="1"/>
          <c:tx>
            <c:strRef>
              <c:f>'Material Modeler'!$AN$25</c:f>
              <c:strCache>
                <c:ptCount val="1"/>
                <c:pt idx="0">
                  <c:v>3.00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Modeler'!$AN$26:$AN$29</c:f>
              <c:numCache>
                <c:formatCode>0.00</c:formatCode>
                <c:ptCount val="4"/>
                <c:pt idx="0">
                  <c:v>11.629011287975494</c:v>
                </c:pt>
                <c:pt idx="1">
                  <c:v>13.21723351167315</c:v>
                </c:pt>
                <c:pt idx="2">
                  <c:v>14.169232672708105</c:v>
                </c:pt>
                <c:pt idx="3">
                  <c:v>16.519838120098196</c:v>
                </c:pt>
              </c:numCache>
            </c:numRef>
          </c:yVal>
          <c:smooth val="0"/>
          <c:extLst>
            <c:ext xmlns:c16="http://schemas.microsoft.com/office/drawing/2014/chart" uri="{C3380CC4-5D6E-409C-BE32-E72D297353CC}">
              <c16:uniqueId val="{00000003-A5C3-4E39-BBC9-B8FF93DF1593}"/>
            </c:ext>
          </c:extLst>
        </c:ser>
        <c:ser>
          <c:idx val="2"/>
          <c:order val="2"/>
          <c:tx>
            <c:strRef>
              <c:f>'Material Modeler'!$AO$25</c:f>
              <c:strCache>
                <c:ptCount val="1"/>
                <c:pt idx="0">
                  <c:v>5.00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Modeler'!$AO$26:$AO$29</c:f>
              <c:numCache>
                <c:formatCode>0.00</c:formatCode>
                <c:ptCount val="4"/>
                <c:pt idx="0">
                  <c:v>16.728958129373385</c:v>
                </c:pt>
                <c:pt idx="1">
                  <c:v>19.137937020314578</c:v>
                </c:pt>
                <c:pt idx="2">
                  <c:v>20.593742548509958</c:v>
                </c:pt>
                <c:pt idx="3">
                  <c:v>24.224581246992194</c:v>
                </c:pt>
              </c:numCache>
            </c:numRef>
          </c:yVal>
          <c:smooth val="0"/>
          <c:extLst>
            <c:ext xmlns:c16="http://schemas.microsoft.com/office/drawing/2014/chart" uri="{C3380CC4-5D6E-409C-BE32-E72D297353CC}">
              <c16:uniqueId val="{00000005-A5C3-4E39-BBC9-B8FF93DF1593}"/>
            </c:ext>
          </c:extLst>
        </c:ser>
        <c:ser>
          <c:idx val="3"/>
          <c:order val="3"/>
          <c:tx>
            <c:strRef>
              <c:f>'Material Modeler'!$AP$25</c:f>
              <c:strCache>
                <c:ptCount val="1"/>
                <c:pt idx="0">
                  <c:v>10.00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trendline>
            <c:spPr>
              <a:ln w="19050" cap="rnd">
                <a:solidFill>
                  <a:schemeClr val="accent4"/>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Modeler'!$AP$26:$AP$29</c:f>
              <c:numCache>
                <c:formatCode>0.00</c:formatCode>
                <c:ptCount val="4"/>
                <c:pt idx="0">
                  <c:v>28.836594734231401</c:v>
                </c:pt>
                <c:pt idx="1">
                  <c:v>33.427092737707412</c:v>
                </c:pt>
                <c:pt idx="2">
                  <c:v>36.201146664680302</c:v>
                </c:pt>
                <c:pt idx="3">
                  <c:v>43.152948329130538</c:v>
                </c:pt>
              </c:numCache>
            </c:numRef>
          </c:yVal>
          <c:smooth val="0"/>
          <c:extLst>
            <c:ext xmlns:c16="http://schemas.microsoft.com/office/drawing/2014/chart" uri="{C3380CC4-5D6E-409C-BE32-E72D297353CC}">
              <c16:uniqueId val="{00000007-A5C3-4E39-BBC9-B8FF93DF1593}"/>
            </c:ext>
          </c:extLst>
        </c:ser>
        <c:ser>
          <c:idx val="4"/>
          <c:order val="4"/>
          <c:tx>
            <c:strRef>
              <c:f>'Material Modeler'!$AQ$25</c:f>
              <c:strCache>
                <c:ptCount val="1"/>
                <c:pt idx="0">
                  <c:v>15.00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trendline>
            <c:spPr>
              <a:ln w="19050" cap="rnd">
                <a:solidFill>
                  <a:schemeClr val="accent5"/>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Modeler'!$AQ$26:$AQ$29</c:f>
              <c:numCache>
                <c:formatCode>0.00</c:formatCode>
                <c:ptCount val="4"/>
                <c:pt idx="0">
                  <c:v>40.269442224573041</c:v>
                </c:pt>
                <c:pt idx="1">
                  <c:v>47.375210623575242</c:v>
                </c:pt>
                <c:pt idx="2">
                  <c:v>51.642699140458234</c:v>
                </c:pt>
                <c:pt idx="3">
                  <c:v>62.287628443571577</c:v>
                </c:pt>
              </c:numCache>
            </c:numRef>
          </c:yVal>
          <c:smooth val="0"/>
          <c:extLst>
            <c:ext xmlns:c16="http://schemas.microsoft.com/office/drawing/2014/chart" uri="{C3380CC4-5D6E-409C-BE32-E72D297353CC}">
              <c16:uniqueId val="{00000009-A5C3-4E39-BBC9-B8FF93DF1593}"/>
            </c:ext>
          </c:extLst>
        </c:ser>
        <c:ser>
          <c:idx val="5"/>
          <c:order val="5"/>
          <c:tx>
            <c:strRef>
              <c:f>'Material Modeler'!$AR$25</c:f>
              <c:strCache>
                <c:ptCount val="1"/>
                <c:pt idx="0">
                  <c:v>20.00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trendline>
            <c:spPr>
              <a:ln w="19050" cap="rnd">
                <a:solidFill>
                  <a:schemeClr val="accent6"/>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Modeler'!$AR$26:$AR$29</c:f>
              <c:numCache>
                <c:formatCode>0.00</c:formatCode>
                <c:ptCount val="4"/>
                <c:pt idx="0">
                  <c:v>51.339806201768369</c:v>
                </c:pt>
                <c:pt idx="1">
                  <c:v>61.356588127359693</c:v>
                </c:pt>
                <c:pt idx="2">
                  <c:v>67.357419602742567</c:v>
                </c:pt>
                <c:pt idx="3">
                  <c:v>82.273283313169145</c:v>
                </c:pt>
              </c:numCache>
            </c:numRef>
          </c:yVal>
          <c:smooth val="0"/>
          <c:extLst>
            <c:ext xmlns:c16="http://schemas.microsoft.com/office/drawing/2014/chart" uri="{C3380CC4-5D6E-409C-BE32-E72D297353CC}">
              <c16:uniqueId val="{0000000B-A5C3-4E39-BBC9-B8FF93DF1593}"/>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5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Modeler'!$AK$24:$AQ$24</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503790684700997"/>
          <c:y val="0.19910914687196135"/>
          <c:w val="0.73237382202540646"/>
          <c:h val="0.4862079143409791"/>
        </c:manualLayout>
      </c:layout>
      <c:scatterChart>
        <c:scatterStyle val="smoothMarker"/>
        <c:varyColors val="0"/>
        <c:ser>
          <c:idx val="0"/>
          <c:order val="0"/>
          <c:tx>
            <c:strRef>
              <c:f>'Material Modeler'!$AL$26</c:f>
              <c:strCache>
                <c:ptCount val="1"/>
                <c:pt idx="0">
                  <c:v>-40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Modeler'!$AM$25:$AR$25</c:f>
              <c:numCache>
                <c:formatCode>0.00</c:formatCode>
                <c:ptCount val="6"/>
                <c:pt idx="0">
                  <c:v>1</c:v>
                </c:pt>
                <c:pt idx="1">
                  <c:v>3</c:v>
                </c:pt>
                <c:pt idx="2">
                  <c:v>5</c:v>
                </c:pt>
                <c:pt idx="3">
                  <c:v>10</c:v>
                </c:pt>
                <c:pt idx="4">
                  <c:v>15</c:v>
                </c:pt>
                <c:pt idx="5">
                  <c:v>20</c:v>
                </c:pt>
              </c:numCache>
            </c:numRef>
          </c:xVal>
          <c:yVal>
            <c:numRef>
              <c:f>'Material Modeler'!$AM$26:$AR$26</c:f>
              <c:numCache>
                <c:formatCode>0.00</c:formatCode>
                <c:ptCount val="6"/>
                <c:pt idx="0">
                  <c:v>5.8637182001945805</c:v>
                </c:pt>
                <c:pt idx="1">
                  <c:v>11.629011287975494</c:v>
                </c:pt>
                <c:pt idx="2">
                  <c:v>16.728958129373385</c:v>
                </c:pt>
                <c:pt idx="3">
                  <c:v>28.836594734231401</c:v>
                </c:pt>
                <c:pt idx="4">
                  <c:v>40.269442224573041</c:v>
                </c:pt>
                <c:pt idx="5">
                  <c:v>51.339806201768369</c:v>
                </c:pt>
              </c:numCache>
            </c:numRef>
          </c:yVal>
          <c:smooth val="1"/>
          <c:extLst>
            <c:ext xmlns:c16="http://schemas.microsoft.com/office/drawing/2014/chart" uri="{C3380CC4-5D6E-409C-BE32-E72D297353CC}">
              <c16:uniqueId val="{00000000-A2F6-4439-8069-BF38D0952ECC}"/>
            </c:ext>
          </c:extLst>
        </c:ser>
        <c:ser>
          <c:idx val="1"/>
          <c:order val="1"/>
          <c:tx>
            <c:strRef>
              <c:f>'Material Modeler'!$AL$27</c:f>
              <c:strCache>
                <c:ptCount val="1"/>
                <c:pt idx="0">
                  <c:v>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Modeler'!$AM$25:$AR$25</c:f>
              <c:numCache>
                <c:formatCode>0.00</c:formatCode>
                <c:ptCount val="6"/>
                <c:pt idx="0">
                  <c:v>1</c:v>
                </c:pt>
                <c:pt idx="1">
                  <c:v>3</c:v>
                </c:pt>
                <c:pt idx="2">
                  <c:v>5</c:v>
                </c:pt>
                <c:pt idx="3">
                  <c:v>10</c:v>
                </c:pt>
                <c:pt idx="4">
                  <c:v>15</c:v>
                </c:pt>
                <c:pt idx="5">
                  <c:v>20</c:v>
                </c:pt>
              </c:numCache>
            </c:numRef>
          </c:xVal>
          <c:yVal>
            <c:numRef>
              <c:f>'Material Modeler'!$AM$27:$AR$27</c:f>
              <c:numCache>
                <c:formatCode>0.00</c:formatCode>
                <c:ptCount val="6"/>
                <c:pt idx="0">
                  <c:v>6.607990228107548</c:v>
                </c:pt>
                <c:pt idx="1">
                  <c:v>13.21723351167315</c:v>
                </c:pt>
                <c:pt idx="2">
                  <c:v>19.137937020314578</c:v>
                </c:pt>
                <c:pt idx="3">
                  <c:v>33.427092737707412</c:v>
                </c:pt>
                <c:pt idx="4">
                  <c:v>47.375210623575242</c:v>
                </c:pt>
                <c:pt idx="5">
                  <c:v>61.356588127359693</c:v>
                </c:pt>
              </c:numCache>
            </c:numRef>
          </c:yVal>
          <c:smooth val="1"/>
          <c:extLst>
            <c:ext xmlns:c16="http://schemas.microsoft.com/office/drawing/2014/chart" uri="{C3380CC4-5D6E-409C-BE32-E72D297353CC}">
              <c16:uniqueId val="{00000001-A2F6-4439-8069-BF38D0952ECC}"/>
            </c:ext>
          </c:extLst>
        </c:ser>
        <c:ser>
          <c:idx val="2"/>
          <c:order val="2"/>
          <c:tx>
            <c:strRef>
              <c:f>'Material Modeler'!$AL$28</c:f>
              <c:strCache>
                <c:ptCount val="1"/>
                <c:pt idx="0">
                  <c:v>25</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Modeler'!$AM$25:$AR$25</c:f>
              <c:numCache>
                <c:formatCode>0.00</c:formatCode>
                <c:ptCount val="6"/>
                <c:pt idx="0">
                  <c:v>1</c:v>
                </c:pt>
                <c:pt idx="1">
                  <c:v>3</c:v>
                </c:pt>
                <c:pt idx="2">
                  <c:v>5</c:v>
                </c:pt>
                <c:pt idx="3">
                  <c:v>10</c:v>
                </c:pt>
                <c:pt idx="4">
                  <c:v>15</c:v>
                </c:pt>
                <c:pt idx="5">
                  <c:v>20</c:v>
                </c:pt>
              </c:numCache>
            </c:numRef>
          </c:xVal>
          <c:yVal>
            <c:numRef>
              <c:f>'Material Modeler'!$AM$28:$AR$28</c:f>
              <c:numCache>
                <c:formatCode>0.00</c:formatCode>
                <c:ptCount val="6"/>
                <c:pt idx="0">
                  <c:v>7.0464006957749854</c:v>
                </c:pt>
                <c:pt idx="1">
                  <c:v>14.169232672708105</c:v>
                </c:pt>
                <c:pt idx="2">
                  <c:v>20.593742548509958</c:v>
                </c:pt>
                <c:pt idx="3">
                  <c:v>36.201146664680302</c:v>
                </c:pt>
                <c:pt idx="4">
                  <c:v>51.642699140458234</c:v>
                </c:pt>
                <c:pt idx="5">
                  <c:v>67.357419602742567</c:v>
                </c:pt>
              </c:numCache>
            </c:numRef>
          </c:yVal>
          <c:smooth val="1"/>
          <c:extLst>
            <c:ext xmlns:c16="http://schemas.microsoft.com/office/drawing/2014/chart" uri="{C3380CC4-5D6E-409C-BE32-E72D297353CC}">
              <c16:uniqueId val="{00000002-A2F6-4439-8069-BF38D0952ECC}"/>
            </c:ext>
          </c:extLst>
        </c:ser>
        <c:ser>
          <c:idx val="3"/>
          <c:order val="3"/>
          <c:tx>
            <c:strRef>
              <c:f>'Material Modeler'!$AL$29</c:f>
              <c:strCache>
                <c:ptCount val="1"/>
                <c:pt idx="0">
                  <c:v>90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Modeler'!$AM$25:$AR$25</c:f>
              <c:numCache>
                <c:formatCode>0.00</c:formatCode>
                <c:ptCount val="6"/>
                <c:pt idx="0">
                  <c:v>1</c:v>
                </c:pt>
                <c:pt idx="1">
                  <c:v>3</c:v>
                </c:pt>
                <c:pt idx="2">
                  <c:v>5</c:v>
                </c:pt>
                <c:pt idx="3">
                  <c:v>10</c:v>
                </c:pt>
                <c:pt idx="4">
                  <c:v>15</c:v>
                </c:pt>
                <c:pt idx="5">
                  <c:v>20</c:v>
                </c:pt>
              </c:numCache>
            </c:numRef>
          </c:xVal>
          <c:yVal>
            <c:numRef>
              <c:f>'Material Modeler'!$AM$29:$AR$29</c:f>
              <c:numCache>
                <c:formatCode>0.00</c:formatCode>
                <c:ptCount val="6"/>
                <c:pt idx="0">
                  <c:v>8.10810610045427</c:v>
                </c:pt>
                <c:pt idx="1">
                  <c:v>16.519838120098196</c:v>
                </c:pt>
                <c:pt idx="2">
                  <c:v>24.224581246992194</c:v>
                </c:pt>
                <c:pt idx="3">
                  <c:v>43.152948329130538</c:v>
                </c:pt>
                <c:pt idx="4">
                  <c:v>62.287628443571577</c:v>
                </c:pt>
                <c:pt idx="5">
                  <c:v>82.273283313169145</c:v>
                </c:pt>
              </c:numCache>
            </c:numRef>
          </c:yVal>
          <c:smooth val="1"/>
          <c:extLst>
            <c:ext xmlns:c16="http://schemas.microsoft.com/office/drawing/2014/chart" uri="{C3380CC4-5D6E-409C-BE32-E72D297353CC}">
              <c16:uniqueId val="{00000003-A2F6-4439-8069-BF38D0952ECC}"/>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Modeler'!$U$24</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Modeler'!$U$25:$U$28</c:f>
              <c:numCache>
                <c:formatCode>0.0000</c:formatCode>
                <c:ptCount val="4"/>
                <c:pt idx="0">
                  <c:v>5.3999999999999994E-3</c:v>
                </c:pt>
                <c:pt idx="1">
                  <c:v>5.3999999999999994E-3</c:v>
                </c:pt>
                <c:pt idx="2">
                  <c:v>5.3999999999999994E-3</c:v>
                </c:pt>
                <c:pt idx="3">
                  <c:v>5.3999999999999994E-3</c:v>
                </c:pt>
              </c:numCache>
            </c:numRef>
          </c:yVal>
          <c:smooth val="0"/>
          <c:extLst>
            <c:ext xmlns:c16="http://schemas.microsoft.com/office/drawing/2014/chart" uri="{C3380CC4-5D6E-409C-BE32-E72D297353CC}">
              <c16:uniqueId val="{00000000-1851-4F34-A56C-EB4F6F571AFF}"/>
            </c:ext>
          </c:extLst>
        </c:ser>
        <c:ser>
          <c:idx val="1"/>
          <c:order val="1"/>
          <c:tx>
            <c:strRef>
              <c:f>'Material Modeler'!$V$24</c:f>
              <c:strCache>
                <c:ptCount val="1"/>
                <c:pt idx="0">
                  <c:v>3.00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Modeler'!$V$25:$V$28</c:f>
              <c:numCache>
                <c:formatCode>0.0000</c:formatCode>
                <c:ptCount val="4"/>
                <c:pt idx="0">
                  <c:v>5.5999999999999999E-3</c:v>
                </c:pt>
                <c:pt idx="1">
                  <c:v>5.5999999999999999E-3</c:v>
                </c:pt>
                <c:pt idx="2">
                  <c:v>5.5999999999999999E-3</c:v>
                </c:pt>
                <c:pt idx="3">
                  <c:v>5.5999999999999999E-3</c:v>
                </c:pt>
              </c:numCache>
            </c:numRef>
          </c:yVal>
          <c:smooth val="0"/>
          <c:extLst>
            <c:ext xmlns:c16="http://schemas.microsoft.com/office/drawing/2014/chart" uri="{C3380CC4-5D6E-409C-BE32-E72D297353CC}">
              <c16:uniqueId val="{00000001-1851-4F34-A56C-EB4F6F571AFF}"/>
            </c:ext>
          </c:extLst>
        </c:ser>
        <c:ser>
          <c:idx val="2"/>
          <c:order val="2"/>
          <c:tx>
            <c:strRef>
              <c:f>'Material Modeler'!$W$24</c:f>
              <c:strCache>
                <c:ptCount val="1"/>
                <c:pt idx="0">
                  <c:v>5.00</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Modeler'!$W$25:$W$28</c:f>
              <c:numCache>
                <c:formatCode>0.0000</c:formatCode>
                <c:ptCount val="4"/>
                <c:pt idx="0">
                  <c:v>6.1000000000000004E-3</c:v>
                </c:pt>
                <c:pt idx="1">
                  <c:v>6.1000000000000004E-3</c:v>
                </c:pt>
                <c:pt idx="2">
                  <c:v>6.1000000000000004E-3</c:v>
                </c:pt>
                <c:pt idx="3">
                  <c:v>6.1000000000000004E-3</c:v>
                </c:pt>
              </c:numCache>
            </c:numRef>
          </c:yVal>
          <c:smooth val="0"/>
          <c:extLst>
            <c:ext xmlns:c16="http://schemas.microsoft.com/office/drawing/2014/chart" uri="{C3380CC4-5D6E-409C-BE32-E72D297353CC}">
              <c16:uniqueId val="{00000002-1851-4F34-A56C-EB4F6F571AFF}"/>
            </c:ext>
          </c:extLst>
        </c:ser>
        <c:ser>
          <c:idx val="3"/>
          <c:order val="3"/>
          <c:tx>
            <c:strRef>
              <c:f>'Material Modeler'!$X$24</c:f>
              <c:strCache>
                <c:ptCount val="1"/>
                <c:pt idx="0">
                  <c:v>10.00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Modeler'!$X$25:$X$28</c:f>
              <c:numCache>
                <c:formatCode>0.0000</c:formatCode>
                <c:ptCount val="4"/>
                <c:pt idx="0">
                  <c:v>6.8842105263157895E-3</c:v>
                </c:pt>
                <c:pt idx="1">
                  <c:v>6.9263157894736841E-3</c:v>
                </c:pt>
                <c:pt idx="2">
                  <c:v>6.9894736842105263E-3</c:v>
                </c:pt>
                <c:pt idx="3">
                  <c:v>6.8787238366185728E-3</c:v>
                </c:pt>
              </c:numCache>
            </c:numRef>
          </c:yVal>
          <c:smooth val="0"/>
          <c:extLst>
            <c:ext xmlns:c16="http://schemas.microsoft.com/office/drawing/2014/chart" uri="{C3380CC4-5D6E-409C-BE32-E72D297353CC}">
              <c16:uniqueId val="{00000003-1851-4F34-A56C-EB4F6F571AFF}"/>
            </c:ext>
          </c:extLst>
        </c:ser>
        <c:ser>
          <c:idx val="4"/>
          <c:order val="4"/>
          <c:tx>
            <c:strRef>
              <c:f>'Material Modeler'!$Y$24</c:f>
              <c:strCache>
                <c:ptCount val="1"/>
                <c:pt idx="0">
                  <c:v>15.00</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Modeler'!$Y$25:$Y$28</c:f>
              <c:numCache>
                <c:formatCode>0.0000</c:formatCode>
                <c:ptCount val="4"/>
                <c:pt idx="0">
                  <c:v>7.4842105263157894E-3</c:v>
                </c:pt>
                <c:pt idx="1">
                  <c:v>7.5263157894736848E-3</c:v>
                </c:pt>
                <c:pt idx="2">
                  <c:v>7.5894736842105261E-3</c:v>
                </c:pt>
                <c:pt idx="3">
                  <c:v>7.4787238366185727E-3</c:v>
                </c:pt>
              </c:numCache>
            </c:numRef>
          </c:yVal>
          <c:smooth val="0"/>
          <c:extLst>
            <c:ext xmlns:c16="http://schemas.microsoft.com/office/drawing/2014/chart" uri="{C3380CC4-5D6E-409C-BE32-E72D297353CC}">
              <c16:uniqueId val="{00000000-2756-434C-9D61-9898919EA569}"/>
            </c:ext>
          </c:extLst>
        </c:ser>
        <c:ser>
          <c:idx val="5"/>
          <c:order val="5"/>
          <c:tx>
            <c:strRef>
              <c:f>'Material Modeler'!$Z$24</c:f>
              <c:strCache>
                <c:ptCount val="1"/>
                <c:pt idx="0">
                  <c:v>20.00</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0.53</c:v>
                </c:pt>
                <c:pt idx="1">
                  <c:v>0.55000000000000004</c:v>
                </c:pt>
                <c:pt idx="2">
                  <c:v>0.57999999999999996</c:v>
                </c:pt>
                <c:pt idx="3">
                  <c:v>0.52739382239382249</c:v>
                </c:pt>
              </c:numCache>
            </c:numRef>
          </c:xVal>
          <c:yVal>
            <c:numRef>
              <c:f>'Material Modeler'!$Z$25:$Z$28</c:f>
              <c:numCache>
                <c:formatCode>0.0000</c:formatCode>
                <c:ptCount val="4"/>
                <c:pt idx="0">
                  <c:v>8.0999999999999996E-3</c:v>
                </c:pt>
                <c:pt idx="1">
                  <c:v>8.0999999999999996E-3</c:v>
                </c:pt>
                <c:pt idx="2">
                  <c:v>8.0999999999999996E-3</c:v>
                </c:pt>
                <c:pt idx="3">
                  <c:v>8.0999999999999996E-3</c:v>
                </c:pt>
              </c:numCache>
            </c:numRef>
          </c:yVal>
          <c:smooth val="0"/>
          <c:extLst>
            <c:ext xmlns:c16="http://schemas.microsoft.com/office/drawing/2014/chart" uri="{C3380CC4-5D6E-409C-BE32-E72D297353CC}">
              <c16:uniqueId val="{00000001-2756-434C-9D61-9898919EA569}"/>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Df vs. Temperature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smoothMarker"/>
        <c:varyColors val="0"/>
        <c:ser>
          <c:idx val="0"/>
          <c:order val="0"/>
          <c:tx>
            <c:strRef>
              <c:f>'Material Modeler'!$AL$3</c:f>
              <c:strCache>
                <c:ptCount val="1"/>
                <c:pt idx="0">
                  <c:v>-40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3</c:v>
                </c:pt>
                <c:pt idx="2">
                  <c:v>5</c:v>
                </c:pt>
                <c:pt idx="3">
                  <c:v>10</c:v>
                </c:pt>
                <c:pt idx="4">
                  <c:v>15</c:v>
                </c:pt>
                <c:pt idx="5">
                  <c:v>20</c:v>
                </c:pt>
              </c:numCache>
            </c:numRef>
          </c:xVal>
          <c:yVal>
            <c:numRef>
              <c:f>'Material Modeler'!$AM$4:$AR$4</c:f>
              <c:numCache>
                <c:formatCode>0.0000</c:formatCode>
                <c:ptCount val="6"/>
                <c:pt idx="0">
                  <c:v>2.8741608149540103E-3</c:v>
                </c:pt>
                <c:pt idx="1">
                  <c:v>2.9806112155078626E-3</c:v>
                </c:pt>
                <c:pt idx="2">
                  <c:v>3.2467372168924935E-3</c:v>
                </c:pt>
                <c:pt idx="3">
                  <c:v>3.6612145385368916E-3</c:v>
                </c:pt>
                <c:pt idx="4">
                  <c:v>3.9805657401984487E-3</c:v>
                </c:pt>
                <c:pt idx="5">
                  <c:v>4.3112412224310158E-3</c:v>
                </c:pt>
              </c:numCache>
            </c:numRef>
          </c:yVal>
          <c:smooth val="1"/>
          <c:extLst>
            <c:ext xmlns:c16="http://schemas.microsoft.com/office/drawing/2014/chart" uri="{C3380CC4-5D6E-409C-BE32-E72D297353CC}">
              <c16:uniqueId val="{00000000-C37B-4423-860D-66EA48D8C0DF}"/>
            </c:ext>
          </c:extLst>
        </c:ser>
        <c:ser>
          <c:idx val="1"/>
          <c:order val="1"/>
          <c:tx>
            <c:strRef>
              <c:f>'Material Modeler'!$AL$8</c:f>
              <c:strCache>
                <c:ptCount val="1"/>
                <c:pt idx="0">
                  <c:v>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Modeler'!$AM$9:$AR$9</c:f>
              <c:numCache>
                <c:formatCode>0.0000</c:formatCode>
                <c:ptCount val="6"/>
                <c:pt idx="0">
                  <c:v>4.4285233903669265E-3</c:v>
                </c:pt>
                <c:pt idx="1">
                  <c:v>4.5925427751953313E-3</c:v>
                </c:pt>
                <c:pt idx="2">
                  <c:v>5.0025912372663435E-3</c:v>
                </c:pt>
                <c:pt idx="3">
                  <c:v>5.6412202604333109E-3</c:v>
                </c:pt>
                <c:pt idx="4">
                  <c:v>6.1332784149185247E-3</c:v>
                </c:pt>
                <c:pt idx="5">
                  <c:v>6.6427850855503897E-3</c:v>
                </c:pt>
              </c:numCache>
            </c:numRef>
          </c:yVal>
          <c:smooth val="1"/>
          <c:extLst>
            <c:ext xmlns:c16="http://schemas.microsoft.com/office/drawing/2014/chart" uri="{C3380CC4-5D6E-409C-BE32-E72D297353CC}">
              <c16:uniqueId val="{00000001-C37B-4423-860D-66EA48D8C0DF}"/>
            </c:ext>
          </c:extLst>
        </c:ser>
        <c:ser>
          <c:idx val="2"/>
          <c:order val="2"/>
          <c:tx>
            <c:strRef>
              <c:f>'Material Modeler'!$AL$13</c:f>
              <c:strCache>
                <c:ptCount val="1"/>
                <c:pt idx="0">
                  <c:v>25</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3</c:v>
                </c:pt>
                <c:pt idx="2">
                  <c:v>5</c:v>
                </c:pt>
                <c:pt idx="3">
                  <c:v>10</c:v>
                </c:pt>
                <c:pt idx="4">
                  <c:v>15</c:v>
                </c:pt>
                <c:pt idx="5">
                  <c:v>20</c:v>
                </c:pt>
              </c:numCache>
            </c:numRef>
          </c:xVal>
          <c:yVal>
            <c:numRef>
              <c:f>'Material Modeler'!$AM$14:$AR$14</c:f>
              <c:numCache>
                <c:formatCode>0.0000</c:formatCode>
                <c:ptCount val="6"/>
                <c:pt idx="0">
                  <c:v>5.3999999999999994E-3</c:v>
                </c:pt>
                <c:pt idx="1">
                  <c:v>5.5999999999999999E-3</c:v>
                </c:pt>
                <c:pt idx="2">
                  <c:v>6.1000000000000004E-3</c:v>
                </c:pt>
                <c:pt idx="3">
                  <c:v>6.8787238366185728E-3</c:v>
                </c:pt>
                <c:pt idx="4">
                  <c:v>7.4787238366185727E-3</c:v>
                </c:pt>
                <c:pt idx="5">
                  <c:v>8.0999999999999996E-3</c:v>
                </c:pt>
              </c:numCache>
            </c:numRef>
          </c:yVal>
          <c:smooth val="1"/>
          <c:extLst>
            <c:ext xmlns:c16="http://schemas.microsoft.com/office/drawing/2014/chart" uri="{C3380CC4-5D6E-409C-BE32-E72D297353CC}">
              <c16:uniqueId val="{00000002-C37B-4423-860D-66EA48D8C0DF}"/>
            </c:ext>
          </c:extLst>
        </c:ser>
        <c:ser>
          <c:idx val="3"/>
          <c:order val="3"/>
          <c:tx>
            <c:strRef>
              <c:f>'Material Modeler'!$AL$18</c:f>
              <c:strCache>
                <c:ptCount val="1"/>
                <c:pt idx="0">
                  <c:v>90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3</c:v>
                </c:pt>
                <c:pt idx="2">
                  <c:v>5</c:v>
                </c:pt>
                <c:pt idx="3">
                  <c:v>10</c:v>
                </c:pt>
                <c:pt idx="4">
                  <c:v>15</c:v>
                </c:pt>
                <c:pt idx="5">
                  <c:v>20</c:v>
                </c:pt>
              </c:numCache>
            </c:numRef>
          </c:xVal>
          <c:yVal>
            <c:numRef>
              <c:f>'Material Modeler'!$AM$19:$AR$19</c:f>
              <c:numCache>
                <c:formatCode>0.0000</c:formatCode>
                <c:ptCount val="6"/>
                <c:pt idx="0">
                  <c:v>7.9258391850459894E-3</c:v>
                </c:pt>
                <c:pt idx="1">
                  <c:v>8.2193887844921373E-3</c:v>
                </c:pt>
                <c:pt idx="2">
                  <c:v>8.9532627831075077E-3</c:v>
                </c:pt>
                <c:pt idx="3">
                  <c:v>1.0096233134700254E-2</c:v>
                </c:pt>
                <c:pt idx="4">
                  <c:v>1.0976881933038697E-2</c:v>
                </c:pt>
                <c:pt idx="5">
                  <c:v>1.1888758777568984E-2</c:v>
                </c:pt>
              </c:numCache>
            </c:numRef>
          </c:yVal>
          <c:smooth val="1"/>
          <c:extLst>
            <c:ext xmlns:c16="http://schemas.microsoft.com/office/drawing/2014/chart" uri="{C3380CC4-5D6E-409C-BE32-E72D297353CC}">
              <c16:uniqueId val="{00000003-C37B-4423-860D-66EA48D8C0DF}"/>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Df</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09800" cy="524914"/>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104778</xdr:colOff>
      <xdr:row>0</xdr:row>
      <xdr:rowOff>1</xdr:rowOff>
    </xdr:from>
    <xdr:to>
      <xdr:col>3</xdr:col>
      <xdr:colOff>569809</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02873" y="1"/>
          <a:ext cx="2024554" cy="512454"/>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77080</xdr:colOff>
      <xdr:row>10</xdr:row>
      <xdr:rowOff>39739</xdr:rowOff>
    </xdr:from>
    <xdr:to>
      <xdr:col>19</xdr:col>
      <xdr:colOff>457152</xdr:colOff>
      <xdr:row>14</xdr:row>
      <xdr:rowOff>131885</xdr:rowOff>
    </xdr:to>
    <xdr:grpSp>
      <xdr:nvGrpSpPr>
        <xdr:cNvPr id="27" name="Group 26">
          <a:extLst>
            <a:ext uri="{FF2B5EF4-FFF2-40B4-BE49-F238E27FC236}">
              <a16:creationId xmlns:a16="http://schemas.microsoft.com/office/drawing/2014/main" id="{E08D9742-5543-2127-068C-E84EDE76600A}"/>
            </a:ext>
          </a:extLst>
        </xdr:cNvPr>
        <xdr:cNvGrpSpPr/>
      </xdr:nvGrpSpPr>
      <xdr:grpSpPr>
        <a:xfrm>
          <a:off x="245168" y="2191268"/>
          <a:ext cx="12280719" cy="887764"/>
          <a:chOff x="248530" y="2211439"/>
          <a:chExt cx="12286322" cy="816046"/>
        </a:xfrm>
      </xdr:grpSpPr>
      <xdr:pic>
        <xdr:nvPicPr>
          <xdr:cNvPr id="18" name="Picture 17">
            <a:extLst>
              <a:ext uri="{FF2B5EF4-FFF2-40B4-BE49-F238E27FC236}">
                <a16:creationId xmlns:a16="http://schemas.microsoft.com/office/drawing/2014/main" id="{0D0FCC2C-8F16-59E6-909F-C7BA09A6F3B8}"/>
              </a:ext>
            </a:extLst>
          </xdr:cNvPr>
          <xdr:cNvPicPr>
            <a:picLocks noChangeAspect="1"/>
          </xdr:cNvPicPr>
        </xdr:nvPicPr>
        <xdr:blipFill>
          <a:blip xmlns:r="http://schemas.openxmlformats.org/officeDocument/2006/relationships" r:embed="rId2"/>
          <a:stretch>
            <a:fillRect/>
          </a:stretch>
        </xdr:blipFill>
        <xdr:spPr>
          <a:xfrm>
            <a:off x="360494" y="2294891"/>
            <a:ext cx="12156557" cy="602165"/>
          </a:xfrm>
          <a:prstGeom prst="rect">
            <a:avLst/>
          </a:prstGeom>
        </xdr:spPr>
      </xdr:pic>
      <xdr:grpSp>
        <xdr:nvGrpSpPr>
          <xdr:cNvPr id="9" name="Group 8">
            <a:extLst>
              <a:ext uri="{FF2B5EF4-FFF2-40B4-BE49-F238E27FC236}">
                <a16:creationId xmlns:a16="http://schemas.microsoft.com/office/drawing/2014/main" id="{33CD00F1-BFA0-5629-9150-D67CD60E9206}"/>
              </a:ext>
            </a:extLst>
          </xdr:cNvPr>
          <xdr:cNvGrpSpPr/>
        </xdr:nvGrpSpPr>
        <xdr:grpSpPr>
          <a:xfrm>
            <a:off x="248530" y="2220846"/>
            <a:ext cx="6592033" cy="806639"/>
            <a:chOff x="58616" y="1934306"/>
            <a:chExt cx="6645520" cy="794827"/>
          </a:xfrm>
        </xdr:grpSpPr>
        <xdr:sp macro="" textlink="">
          <xdr:nvSpPr>
            <xdr:cNvPr id="6" name="Rectangle: Rounded Corners 5">
              <a:extLst>
                <a:ext uri="{FF2B5EF4-FFF2-40B4-BE49-F238E27FC236}">
                  <a16:creationId xmlns:a16="http://schemas.microsoft.com/office/drawing/2014/main" id="{BAD30B5D-F14D-A768-8805-18124994BBE8}"/>
                </a:ext>
              </a:extLst>
            </xdr:cNvPr>
            <xdr:cNvSpPr/>
          </xdr:nvSpPr>
          <xdr:spPr>
            <a:xfrm>
              <a:off x="58616" y="1952479"/>
              <a:ext cx="1905000" cy="776654"/>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 name="Rectangle: Rounded Corners 6">
              <a:extLst>
                <a:ext uri="{FF2B5EF4-FFF2-40B4-BE49-F238E27FC236}">
                  <a16:creationId xmlns:a16="http://schemas.microsoft.com/office/drawing/2014/main" id="{161F61F4-0BE8-45CB-9D3A-38F86A9FF958}"/>
                </a:ext>
              </a:extLst>
            </xdr:cNvPr>
            <xdr:cNvSpPr/>
          </xdr:nvSpPr>
          <xdr:spPr>
            <a:xfrm>
              <a:off x="2210827" y="1952478"/>
              <a:ext cx="2137849" cy="651088"/>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F80D4BA4-AC74-46AE-A1CD-219D6DFC8E2D}"/>
                </a:ext>
              </a:extLst>
            </xdr:cNvPr>
            <xdr:cNvSpPr/>
          </xdr:nvSpPr>
          <xdr:spPr>
            <a:xfrm>
              <a:off x="4488169" y="1934306"/>
              <a:ext cx="2215967" cy="65433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sp macro="" textlink="">
        <xdr:nvSpPr>
          <xdr:cNvPr id="13" name="Rectangle: Rounded Corners 12">
            <a:extLst>
              <a:ext uri="{FF2B5EF4-FFF2-40B4-BE49-F238E27FC236}">
                <a16:creationId xmlns:a16="http://schemas.microsoft.com/office/drawing/2014/main" id="{E67E9310-0047-4F80-BF43-5BBF38E4B84A}"/>
              </a:ext>
            </a:extLst>
          </xdr:cNvPr>
          <xdr:cNvSpPr/>
        </xdr:nvSpPr>
        <xdr:spPr>
          <a:xfrm>
            <a:off x="8477188" y="2211439"/>
            <a:ext cx="4057664" cy="654621"/>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editAs="oneCell">
    <xdr:from>
      <xdr:col>1</xdr:col>
      <xdr:colOff>191959</xdr:colOff>
      <xdr:row>20</xdr:row>
      <xdr:rowOff>75675</xdr:rowOff>
    </xdr:from>
    <xdr:to>
      <xdr:col>7</xdr:col>
      <xdr:colOff>0</xdr:colOff>
      <xdr:row>29</xdr:row>
      <xdr:rowOff>29190</xdr:rowOff>
    </xdr:to>
    <xdr:pic>
      <xdr:nvPicPr>
        <xdr:cNvPr id="14" name="Picture 13">
          <a:extLst>
            <a:ext uri="{FF2B5EF4-FFF2-40B4-BE49-F238E27FC236}">
              <a16:creationId xmlns:a16="http://schemas.microsoft.com/office/drawing/2014/main" id="{8C326F91-59B6-A0AB-CAF5-FE24148FF968}"/>
            </a:ext>
          </a:extLst>
        </xdr:cNvPr>
        <xdr:cNvPicPr>
          <a:picLocks noChangeAspect="1"/>
        </xdr:cNvPicPr>
      </xdr:nvPicPr>
      <xdr:blipFill>
        <a:blip xmlns:r="http://schemas.openxmlformats.org/officeDocument/2006/relationships" r:embed="rId3"/>
        <a:stretch>
          <a:fillRect/>
        </a:stretch>
      </xdr:blipFill>
      <xdr:spPr>
        <a:xfrm>
          <a:off x="363409" y="4133325"/>
          <a:ext cx="3979991" cy="1658490"/>
        </a:xfrm>
        <a:prstGeom prst="rect">
          <a:avLst/>
        </a:prstGeom>
      </xdr:spPr>
    </xdr:pic>
    <xdr:clientData/>
  </xdr:twoCellAnchor>
  <xdr:twoCellAnchor>
    <xdr:from>
      <xdr:col>1</xdr:col>
      <xdr:colOff>74295</xdr:colOff>
      <xdr:row>35</xdr:row>
      <xdr:rowOff>75984</xdr:rowOff>
    </xdr:from>
    <xdr:to>
      <xdr:col>9</xdr:col>
      <xdr:colOff>29320</xdr:colOff>
      <xdr:row>44</xdr:row>
      <xdr:rowOff>221610</xdr:rowOff>
    </xdr:to>
    <xdr:grpSp>
      <xdr:nvGrpSpPr>
        <xdr:cNvPr id="11" name="Group 10">
          <a:extLst>
            <a:ext uri="{FF2B5EF4-FFF2-40B4-BE49-F238E27FC236}">
              <a16:creationId xmlns:a16="http://schemas.microsoft.com/office/drawing/2014/main" id="{E3A80044-CDAE-5CE4-E889-86502E50EE39}"/>
            </a:ext>
          </a:extLst>
        </xdr:cNvPr>
        <xdr:cNvGrpSpPr/>
      </xdr:nvGrpSpPr>
      <xdr:grpSpPr>
        <a:xfrm>
          <a:off x="242383" y="6945190"/>
          <a:ext cx="5320738" cy="1914250"/>
          <a:chOff x="4646295" y="4057650"/>
          <a:chExt cx="5639833" cy="1792604"/>
        </a:xfrm>
      </xdr:grpSpPr>
      <xdr:pic>
        <xdr:nvPicPr>
          <xdr:cNvPr id="5" name="Picture 4">
            <a:extLst>
              <a:ext uri="{FF2B5EF4-FFF2-40B4-BE49-F238E27FC236}">
                <a16:creationId xmlns:a16="http://schemas.microsoft.com/office/drawing/2014/main" id="{5158CAF3-EE51-048F-027D-E75C1A98F784}"/>
              </a:ext>
            </a:extLst>
          </xdr:cNvPr>
          <xdr:cNvPicPr>
            <a:picLocks noChangeAspect="1"/>
          </xdr:cNvPicPr>
        </xdr:nvPicPr>
        <xdr:blipFill rotWithShape="1">
          <a:blip xmlns:r="http://schemas.openxmlformats.org/officeDocument/2006/relationships" r:embed="rId4"/>
          <a:srcRect l="51228"/>
          <a:stretch>
            <a:fillRect/>
          </a:stretch>
        </xdr:blipFill>
        <xdr:spPr>
          <a:xfrm>
            <a:off x="7437932" y="4057650"/>
            <a:ext cx="2848196" cy="1792604"/>
          </a:xfrm>
          <a:prstGeom prst="rect">
            <a:avLst/>
          </a:prstGeom>
        </xdr:spPr>
      </xdr:pic>
      <xdr:pic>
        <xdr:nvPicPr>
          <xdr:cNvPr id="10" name="Picture 9">
            <a:extLst>
              <a:ext uri="{FF2B5EF4-FFF2-40B4-BE49-F238E27FC236}">
                <a16:creationId xmlns:a16="http://schemas.microsoft.com/office/drawing/2014/main" id="{A3816967-176C-4B49-AA35-8633A71B567D}"/>
              </a:ext>
            </a:extLst>
          </xdr:cNvPr>
          <xdr:cNvPicPr>
            <a:picLocks noChangeAspect="1"/>
          </xdr:cNvPicPr>
        </xdr:nvPicPr>
        <xdr:blipFill rotWithShape="1">
          <a:blip xmlns:r="http://schemas.openxmlformats.org/officeDocument/2006/relationships" r:embed="rId4"/>
          <a:srcRect r="51732"/>
          <a:stretch>
            <a:fillRect/>
          </a:stretch>
        </xdr:blipFill>
        <xdr:spPr>
          <a:xfrm>
            <a:off x="4646295" y="4059554"/>
            <a:ext cx="2830830" cy="1790577"/>
          </a:xfrm>
          <a:prstGeom prst="rect">
            <a:avLst/>
          </a:prstGeom>
        </xdr:spPr>
      </xdr:pic>
    </xdr:grpSp>
    <xdr:clientData/>
  </xdr:twoCellAnchor>
  <xdr:twoCellAnchor>
    <xdr:from>
      <xdr:col>1</xdr:col>
      <xdr:colOff>85725</xdr:colOff>
      <xdr:row>47</xdr:row>
      <xdr:rowOff>114300</xdr:rowOff>
    </xdr:from>
    <xdr:to>
      <xdr:col>8</xdr:col>
      <xdr:colOff>665829</xdr:colOff>
      <xdr:row>57</xdr:row>
      <xdr:rowOff>9525</xdr:rowOff>
    </xdr:to>
    <xdr:grpSp>
      <xdr:nvGrpSpPr>
        <xdr:cNvPr id="20" name="Group 19">
          <a:extLst>
            <a:ext uri="{FF2B5EF4-FFF2-40B4-BE49-F238E27FC236}">
              <a16:creationId xmlns:a16="http://schemas.microsoft.com/office/drawing/2014/main" id="{7615853B-7429-93B4-882E-62F191873245}"/>
            </a:ext>
          </a:extLst>
        </xdr:cNvPr>
        <xdr:cNvGrpSpPr/>
      </xdr:nvGrpSpPr>
      <xdr:grpSpPr>
        <a:xfrm>
          <a:off x="251908" y="9370359"/>
          <a:ext cx="5254862" cy="1686261"/>
          <a:chOff x="4619625" y="6189345"/>
          <a:chExt cx="5621613" cy="1602143"/>
        </a:xfrm>
      </xdr:grpSpPr>
      <xdr:pic>
        <xdr:nvPicPr>
          <xdr:cNvPr id="12" name="Picture 11">
            <a:extLst>
              <a:ext uri="{FF2B5EF4-FFF2-40B4-BE49-F238E27FC236}">
                <a16:creationId xmlns:a16="http://schemas.microsoft.com/office/drawing/2014/main" id="{82E7BE53-A756-A59E-0BD8-E0732E9937B9}"/>
              </a:ext>
            </a:extLst>
          </xdr:cNvPr>
          <xdr:cNvPicPr>
            <a:picLocks noChangeAspect="1"/>
          </xdr:cNvPicPr>
        </xdr:nvPicPr>
        <xdr:blipFill>
          <a:blip xmlns:r="http://schemas.openxmlformats.org/officeDocument/2006/relationships" r:embed="rId5"/>
          <a:stretch>
            <a:fillRect/>
          </a:stretch>
        </xdr:blipFill>
        <xdr:spPr>
          <a:xfrm>
            <a:off x="4619625" y="6191250"/>
            <a:ext cx="2838450" cy="1600238"/>
          </a:xfrm>
          <a:prstGeom prst="rect">
            <a:avLst/>
          </a:prstGeom>
        </xdr:spPr>
      </xdr:pic>
      <xdr:pic>
        <xdr:nvPicPr>
          <xdr:cNvPr id="19" name="Picture 18">
            <a:extLst>
              <a:ext uri="{FF2B5EF4-FFF2-40B4-BE49-F238E27FC236}">
                <a16:creationId xmlns:a16="http://schemas.microsoft.com/office/drawing/2014/main" id="{95D682AF-72A7-320B-8639-820958B9B9CF}"/>
              </a:ext>
            </a:extLst>
          </xdr:cNvPr>
          <xdr:cNvPicPr>
            <a:picLocks noChangeAspect="1"/>
          </xdr:cNvPicPr>
        </xdr:nvPicPr>
        <xdr:blipFill>
          <a:blip xmlns:r="http://schemas.openxmlformats.org/officeDocument/2006/relationships" r:embed="rId6"/>
          <a:stretch>
            <a:fillRect/>
          </a:stretch>
        </xdr:blipFill>
        <xdr:spPr>
          <a:xfrm>
            <a:off x="7477125" y="6189345"/>
            <a:ext cx="2764113" cy="1602105"/>
          </a:xfrm>
          <a:prstGeom prst="rect">
            <a:avLst/>
          </a:prstGeom>
        </xdr:spPr>
      </xdr:pic>
    </xdr:grpSp>
    <xdr:clientData/>
  </xdr:twoCellAnchor>
  <xdr:twoCellAnchor editAs="oneCell">
    <xdr:from>
      <xdr:col>10</xdr:col>
      <xdr:colOff>19050</xdr:colOff>
      <xdr:row>17</xdr:row>
      <xdr:rowOff>38100</xdr:rowOff>
    </xdr:from>
    <xdr:to>
      <xdr:col>14</xdr:col>
      <xdr:colOff>581025</xdr:colOff>
      <xdr:row>33</xdr:row>
      <xdr:rowOff>114367</xdr:rowOff>
    </xdr:to>
    <xdr:pic>
      <xdr:nvPicPr>
        <xdr:cNvPr id="22" name="Picture 21">
          <a:extLst>
            <a:ext uri="{FF2B5EF4-FFF2-40B4-BE49-F238E27FC236}">
              <a16:creationId xmlns:a16="http://schemas.microsoft.com/office/drawing/2014/main" id="{D454A8AC-6B52-BCE0-CB3D-5A509CCA031A}"/>
            </a:ext>
          </a:extLst>
        </xdr:cNvPr>
        <xdr:cNvPicPr>
          <a:picLocks noChangeAspect="1"/>
        </xdr:cNvPicPr>
      </xdr:nvPicPr>
      <xdr:blipFill>
        <a:blip xmlns:r="http://schemas.openxmlformats.org/officeDocument/2006/relationships" r:embed="rId7"/>
        <a:stretch>
          <a:fillRect/>
        </a:stretch>
      </xdr:blipFill>
      <xdr:spPr>
        <a:xfrm>
          <a:off x="6257925" y="3476625"/>
          <a:ext cx="3343275" cy="3124267"/>
        </a:xfrm>
        <a:prstGeom prst="rect">
          <a:avLst/>
        </a:prstGeom>
      </xdr:spPr>
    </xdr:pic>
    <xdr:clientData/>
  </xdr:twoCellAnchor>
  <xdr:twoCellAnchor>
    <xdr:from>
      <xdr:col>10</xdr:col>
      <xdr:colOff>9522</xdr:colOff>
      <xdr:row>36</xdr:row>
      <xdr:rowOff>161015</xdr:rowOff>
    </xdr:from>
    <xdr:to>
      <xdr:col>20</xdr:col>
      <xdr:colOff>420053</xdr:colOff>
      <xdr:row>52</xdr:row>
      <xdr:rowOff>123824</xdr:rowOff>
    </xdr:to>
    <xdr:grpSp>
      <xdr:nvGrpSpPr>
        <xdr:cNvPr id="26" name="Group 25">
          <a:extLst>
            <a:ext uri="{FF2B5EF4-FFF2-40B4-BE49-F238E27FC236}">
              <a16:creationId xmlns:a16="http://schemas.microsoft.com/office/drawing/2014/main" id="{7EB6C4C5-7B1A-99C7-FE11-3B9B24177EE6}"/>
            </a:ext>
          </a:extLst>
        </xdr:cNvPr>
        <xdr:cNvGrpSpPr/>
      </xdr:nvGrpSpPr>
      <xdr:grpSpPr>
        <a:xfrm>
          <a:off x="6241898" y="7211420"/>
          <a:ext cx="6941655" cy="3066838"/>
          <a:chOff x="14220824" y="3763371"/>
          <a:chExt cx="6667960" cy="2974502"/>
        </a:xfrm>
      </xdr:grpSpPr>
      <xdr:pic>
        <xdr:nvPicPr>
          <xdr:cNvPr id="23" name="Picture 22">
            <a:extLst>
              <a:ext uri="{FF2B5EF4-FFF2-40B4-BE49-F238E27FC236}">
                <a16:creationId xmlns:a16="http://schemas.microsoft.com/office/drawing/2014/main" id="{1DDA3E98-5512-567A-4BEB-95D4F40FB368}"/>
              </a:ext>
            </a:extLst>
          </xdr:cNvPr>
          <xdr:cNvPicPr>
            <a:picLocks noChangeAspect="1"/>
          </xdr:cNvPicPr>
        </xdr:nvPicPr>
        <xdr:blipFill>
          <a:blip xmlns:r="http://schemas.openxmlformats.org/officeDocument/2006/relationships" r:embed="rId8"/>
          <a:stretch>
            <a:fillRect/>
          </a:stretch>
        </xdr:blipFill>
        <xdr:spPr>
          <a:xfrm>
            <a:off x="14220824" y="3763371"/>
            <a:ext cx="3246121" cy="997224"/>
          </a:xfrm>
          <a:prstGeom prst="rect">
            <a:avLst/>
          </a:prstGeom>
        </xdr:spPr>
      </xdr:pic>
      <xdr:pic>
        <xdr:nvPicPr>
          <xdr:cNvPr id="24" name="Picture 23">
            <a:extLst>
              <a:ext uri="{FF2B5EF4-FFF2-40B4-BE49-F238E27FC236}">
                <a16:creationId xmlns:a16="http://schemas.microsoft.com/office/drawing/2014/main" id="{25884CDD-6341-350D-8AEE-DB53778A7355}"/>
              </a:ext>
            </a:extLst>
          </xdr:cNvPr>
          <xdr:cNvPicPr>
            <a:picLocks noChangeAspect="1"/>
          </xdr:cNvPicPr>
        </xdr:nvPicPr>
        <xdr:blipFill>
          <a:blip xmlns:r="http://schemas.openxmlformats.org/officeDocument/2006/relationships" r:embed="rId9"/>
          <a:stretch>
            <a:fillRect/>
          </a:stretch>
        </xdr:blipFill>
        <xdr:spPr>
          <a:xfrm>
            <a:off x="14228512" y="4968846"/>
            <a:ext cx="3216641" cy="1753697"/>
          </a:xfrm>
          <a:prstGeom prst="rect">
            <a:avLst/>
          </a:prstGeom>
        </xdr:spPr>
      </xdr:pic>
      <xdr:pic>
        <xdr:nvPicPr>
          <xdr:cNvPr id="25" name="Picture 24">
            <a:extLst>
              <a:ext uri="{FF2B5EF4-FFF2-40B4-BE49-F238E27FC236}">
                <a16:creationId xmlns:a16="http://schemas.microsoft.com/office/drawing/2014/main" id="{0EAD3279-5C83-AF44-617C-DC20CB5184E7}"/>
              </a:ext>
            </a:extLst>
          </xdr:cNvPr>
          <xdr:cNvPicPr>
            <a:picLocks noChangeAspect="1"/>
          </xdr:cNvPicPr>
        </xdr:nvPicPr>
        <xdr:blipFill>
          <a:blip xmlns:r="http://schemas.openxmlformats.org/officeDocument/2006/relationships" r:embed="rId10"/>
          <a:stretch>
            <a:fillRect/>
          </a:stretch>
        </xdr:blipFill>
        <xdr:spPr>
          <a:xfrm>
            <a:off x="17474890" y="4975573"/>
            <a:ext cx="3413894" cy="1762300"/>
          </a:xfrm>
          <a:prstGeom prst="rect">
            <a:avLst/>
          </a:prstGeom>
        </xdr:spPr>
      </xdr:pic>
    </xdr:grpSp>
    <xdr:clientData/>
  </xdr:twoCellAnchor>
  <xdr:twoCellAnchor>
    <xdr:from>
      <xdr:col>20</xdr:col>
      <xdr:colOff>609101</xdr:colOff>
      <xdr:row>12</xdr:row>
      <xdr:rowOff>97042</xdr:rowOff>
    </xdr:from>
    <xdr:to>
      <xdr:col>29</xdr:col>
      <xdr:colOff>210646</xdr:colOff>
      <xdr:row>55</xdr:row>
      <xdr:rowOff>112395</xdr:rowOff>
    </xdr:to>
    <xdr:grpSp>
      <xdr:nvGrpSpPr>
        <xdr:cNvPr id="46" name="Group 45">
          <a:extLst>
            <a:ext uri="{FF2B5EF4-FFF2-40B4-BE49-F238E27FC236}">
              <a16:creationId xmlns:a16="http://schemas.microsoft.com/office/drawing/2014/main" id="{A56D8047-2803-B47A-2489-A93A24F507E5}"/>
            </a:ext>
          </a:extLst>
        </xdr:cNvPr>
        <xdr:cNvGrpSpPr/>
      </xdr:nvGrpSpPr>
      <xdr:grpSpPr>
        <a:xfrm>
          <a:off x="13372601" y="2607160"/>
          <a:ext cx="5383780" cy="8195647"/>
          <a:chOff x="13372601" y="2607160"/>
          <a:chExt cx="5383780" cy="8195647"/>
        </a:xfrm>
      </xdr:grpSpPr>
      <xdr:grpSp>
        <xdr:nvGrpSpPr>
          <xdr:cNvPr id="40" name="Group 39">
            <a:extLst>
              <a:ext uri="{FF2B5EF4-FFF2-40B4-BE49-F238E27FC236}">
                <a16:creationId xmlns:a16="http://schemas.microsoft.com/office/drawing/2014/main" id="{D149D0E2-06B5-A96F-5E08-014DFBBDD81C}"/>
              </a:ext>
            </a:extLst>
          </xdr:cNvPr>
          <xdr:cNvGrpSpPr/>
        </xdr:nvGrpSpPr>
        <xdr:grpSpPr>
          <a:xfrm>
            <a:off x="13373100" y="4858734"/>
            <a:ext cx="5267885" cy="1301899"/>
            <a:chOff x="13436600" y="4667251"/>
            <a:chExt cx="5306483" cy="1296807"/>
          </a:xfrm>
        </xdr:grpSpPr>
        <xdr:pic>
          <xdr:nvPicPr>
            <xdr:cNvPr id="36" name="Picture 35">
              <a:extLst>
                <a:ext uri="{FF2B5EF4-FFF2-40B4-BE49-F238E27FC236}">
                  <a16:creationId xmlns:a16="http://schemas.microsoft.com/office/drawing/2014/main" id="{D65BD778-321F-5ACB-D5B3-FF678FFC3A5E}"/>
                </a:ext>
              </a:extLst>
            </xdr:cNvPr>
            <xdr:cNvPicPr>
              <a:picLocks noChangeAspect="1"/>
            </xdr:cNvPicPr>
          </xdr:nvPicPr>
          <xdr:blipFill>
            <a:blip xmlns:r="http://schemas.openxmlformats.org/officeDocument/2006/relationships" r:embed="rId11"/>
            <a:stretch>
              <a:fillRect/>
            </a:stretch>
          </xdr:blipFill>
          <xdr:spPr>
            <a:xfrm>
              <a:off x="13436600" y="4667251"/>
              <a:ext cx="3609128" cy="1296807"/>
            </a:xfrm>
            <a:prstGeom prst="rect">
              <a:avLst/>
            </a:prstGeom>
          </xdr:spPr>
        </xdr:pic>
        <xdr:pic>
          <xdr:nvPicPr>
            <xdr:cNvPr id="39" name="Picture 38">
              <a:extLst>
                <a:ext uri="{FF2B5EF4-FFF2-40B4-BE49-F238E27FC236}">
                  <a16:creationId xmlns:a16="http://schemas.microsoft.com/office/drawing/2014/main" id="{8D5976CD-CA28-2753-007A-2217E3E34DB5}"/>
                </a:ext>
              </a:extLst>
            </xdr:cNvPr>
            <xdr:cNvPicPr>
              <a:picLocks noChangeAspect="1"/>
            </xdr:cNvPicPr>
          </xdr:nvPicPr>
          <xdr:blipFill>
            <a:blip xmlns:r="http://schemas.openxmlformats.org/officeDocument/2006/relationships" r:embed="rId12"/>
            <a:stretch>
              <a:fillRect/>
            </a:stretch>
          </xdr:blipFill>
          <xdr:spPr>
            <a:xfrm>
              <a:off x="17104783" y="4667251"/>
              <a:ext cx="1638300" cy="1288680"/>
            </a:xfrm>
            <a:prstGeom prst="rect">
              <a:avLst/>
            </a:prstGeom>
          </xdr:spPr>
        </xdr:pic>
      </xdr:grpSp>
      <xdr:grpSp>
        <xdr:nvGrpSpPr>
          <xdr:cNvPr id="43" name="Group 42">
            <a:extLst>
              <a:ext uri="{FF2B5EF4-FFF2-40B4-BE49-F238E27FC236}">
                <a16:creationId xmlns:a16="http://schemas.microsoft.com/office/drawing/2014/main" id="{39E99DD7-E0A7-AE94-5C94-11C1A0E55A71}"/>
              </a:ext>
            </a:extLst>
          </xdr:cNvPr>
          <xdr:cNvGrpSpPr/>
        </xdr:nvGrpSpPr>
        <xdr:grpSpPr>
          <a:xfrm>
            <a:off x="13372601" y="6239406"/>
            <a:ext cx="5383780" cy="4563401"/>
            <a:chOff x="13389166" y="6264070"/>
            <a:chExt cx="5785124" cy="4954563"/>
          </a:xfrm>
        </xdr:grpSpPr>
        <xdr:pic>
          <xdr:nvPicPr>
            <xdr:cNvPr id="41" name="Picture 40">
              <a:extLst>
                <a:ext uri="{FF2B5EF4-FFF2-40B4-BE49-F238E27FC236}">
                  <a16:creationId xmlns:a16="http://schemas.microsoft.com/office/drawing/2014/main" id="{B83A1417-FC4D-4361-C66A-5F779FD5B1CE}"/>
                </a:ext>
              </a:extLst>
            </xdr:cNvPr>
            <xdr:cNvPicPr>
              <a:picLocks noChangeAspect="1"/>
            </xdr:cNvPicPr>
          </xdr:nvPicPr>
          <xdr:blipFill rotWithShape="1">
            <a:blip xmlns:r="http://schemas.openxmlformats.org/officeDocument/2006/relationships" r:embed="rId13"/>
            <a:srcRect l="58432"/>
            <a:stretch>
              <a:fillRect/>
            </a:stretch>
          </xdr:blipFill>
          <xdr:spPr>
            <a:xfrm>
              <a:off x="15052851" y="6264070"/>
              <a:ext cx="4121439" cy="4954563"/>
            </a:xfrm>
            <a:prstGeom prst="rect">
              <a:avLst/>
            </a:prstGeom>
          </xdr:spPr>
        </xdr:pic>
        <xdr:pic>
          <xdr:nvPicPr>
            <xdr:cNvPr id="42" name="Picture 41">
              <a:extLst>
                <a:ext uri="{FF2B5EF4-FFF2-40B4-BE49-F238E27FC236}">
                  <a16:creationId xmlns:a16="http://schemas.microsoft.com/office/drawing/2014/main" id="{161A1B74-7825-4EA1-8D6F-1C7DDAC88E21}"/>
                </a:ext>
              </a:extLst>
            </xdr:cNvPr>
            <xdr:cNvPicPr>
              <a:picLocks noChangeAspect="1"/>
            </xdr:cNvPicPr>
          </xdr:nvPicPr>
          <xdr:blipFill rotWithShape="1">
            <a:blip xmlns:r="http://schemas.openxmlformats.org/officeDocument/2006/relationships" r:embed="rId13"/>
            <a:srcRect l="285" r="83181"/>
            <a:stretch>
              <a:fillRect/>
            </a:stretch>
          </xdr:blipFill>
          <xdr:spPr>
            <a:xfrm>
              <a:off x="13389166" y="6266398"/>
              <a:ext cx="1643703" cy="4948848"/>
            </a:xfrm>
            <a:prstGeom prst="rect">
              <a:avLst/>
            </a:prstGeom>
          </xdr:spPr>
        </xdr:pic>
      </xdr:grpSp>
      <xdr:pic>
        <xdr:nvPicPr>
          <xdr:cNvPr id="45" name="Picture 44">
            <a:extLst>
              <a:ext uri="{FF2B5EF4-FFF2-40B4-BE49-F238E27FC236}">
                <a16:creationId xmlns:a16="http://schemas.microsoft.com/office/drawing/2014/main" id="{E585945D-650A-03C2-E4BC-EF82F878A3FC}"/>
              </a:ext>
            </a:extLst>
          </xdr:cNvPr>
          <xdr:cNvPicPr>
            <a:picLocks noChangeAspect="1"/>
          </xdr:cNvPicPr>
        </xdr:nvPicPr>
        <xdr:blipFill>
          <a:blip xmlns:r="http://schemas.openxmlformats.org/officeDocument/2006/relationships" r:embed="rId14"/>
          <a:stretch>
            <a:fillRect/>
          </a:stretch>
        </xdr:blipFill>
        <xdr:spPr>
          <a:xfrm>
            <a:off x="13476866" y="2607160"/>
            <a:ext cx="5010848" cy="209960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65331</xdr:colOff>
      <xdr:row>3</xdr:row>
      <xdr:rowOff>153073</xdr:rowOff>
    </xdr:from>
    <xdr:to>
      <xdr:col>16</xdr:col>
      <xdr:colOff>403412</xdr:colOff>
      <xdr:row>18</xdr:row>
      <xdr:rowOff>11206</xdr:rowOff>
    </xdr:to>
    <xdr:graphicFrame macro="">
      <xdr:nvGraphicFramePr>
        <xdr:cNvPr id="12" name="Chart 11">
          <a:extLst>
            <a:ext uri="{FF2B5EF4-FFF2-40B4-BE49-F238E27FC236}">
              <a16:creationId xmlns:a16="http://schemas.microsoft.com/office/drawing/2014/main" id="{1855BBC3-9471-4FAC-B264-2303F0E38407}"/>
            </a:ext>
            <a:ext uri="{147F2762-F138-4A5C-976F-8EAC2B608ADB}">
              <a16:predDERef xmlns:a16="http://schemas.microsoft.com/office/drawing/2014/main" pre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56029</xdr:colOff>
      <xdr:row>3</xdr:row>
      <xdr:rowOff>162596</xdr:rowOff>
    </xdr:from>
    <xdr:to>
      <xdr:col>25</xdr:col>
      <xdr:colOff>418428</xdr:colOff>
      <xdr:row>18</xdr:row>
      <xdr:rowOff>18600</xdr:rowOff>
    </xdr:to>
    <xdr:graphicFrame macro="">
      <xdr:nvGraphicFramePr>
        <xdr:cNvPr id="11" name="Chart 10">
          <a:extLst>
            <a:ext uri="{FF2B5EF4-FFF2-40B4-BE49-F238E27FC236}">
              <a16:creationId xmlns:a16="http://schemas.microsoft.com/office/drawing/2014/main" id="{E0B6695D-B406-411C-80FD-D37FBD400135}"/>
            </a:ext>
            <a:ext uri="{147F2762-F138-4A5C-976F-8EAC2B608ADB}">
              <a16:predDERef xmlns:a16="http://schemas.microsoft.com/office/drawing/2014/main" pre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29</xdr:row>
      <xdr:rowOff>101084</xdr:rowOff>
    </xdr:from>
    <xdr:to>
      <xdr:col>7</xdr:col>
      <xdr:colOff>435430</xdr:colOff>
      <xdr:row>43</xdr:row>
      <xdr:rowOff>91559</xdr:rowOff>
    </xdr:to>
    <xdr:graphicFrame macro="">
      <xdr:nvGraphicFramePr>
        <xdr:cNvPr id="2" name="Chart 1">
          <a:extLst>
            <a:ext uri="{FF2B5EF4-FFF2-40B4-BE49-F238E27FC236}">
              <a16:creationId xmlns:a16="http://schemas.microsoft.com/office/drawing/2014/main" id="{5AB1EF02-B0BD-44DF-BF88-E7C79141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66524</xdr:colOff>
      <xdr:row>29</xdr:row>
      <xdr:rowOff>104465</xdr:rowOff>
    </xdr:from>
    <xdr:to>
      <xdr:col>16</xdr:col>
      <xdr:colOff>393095</xdr:colOff>
      <xdr:row>43</xdr:row>
      <xdr:rowOff>89655</xdr:rowOff>
    </xdr:to>
    <xdr:graphicFrame macro="">
      <xdr:nvGraphicFramePr>
        <xdr:cNvPr id="3" name="Chart 2">
          <a:extLst>
            <a:ext uri="{FF2B5EF4-FFF2-40B4-BE49-F238E27FC236}">
              <a16:creationId xmlns:a16="http://schemas.microsoft.com/office/drawing/2014/main" id="{E8EEA715-F804-4583-B6A1-233BF19C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53524</xdr:colOff>
      <xdr:row>17</xdr:row>
      <xdr:rowOff>108845</xdr:rowOff>
    </xdr:from>
    <xdr:to>
      <xdr:col>34</xdr:col>
      <xdr:colOff>464760</xdr:colOff>
      <xdr:row>30</xdr:row>
      <xdr:rowOff>0</xdr:rowOff>
    </xdr:to>
    <xdr:graphicFrame macro="">
      <xdr:nvGraphicFramePr>
        <xdr:cNvPr id="5" name="Chart 4">
          <a:extLst>
            <a:ext uri="{FF2B5EF4-FFF2-40B4-BE49-F238E27FC236}">
              <a16:creationId xmlns:a16="http://schemas.microsoft.com/office/drawing/2014/main" id="{BC18ACB7-DA54-48CD-9DC1-225DDB2A69BA}"/>
            </a:ext>
            <a:ext uri="{147F2762-F138-4A5C-976F-8EAC2B608ADB}">
              <a16:predDERef xmlns:a16="http://schemas.microsoft.com/office/drawing/2014/main" pre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57642</xdr:colOff>
      <xdr:row>30</xdr:row>
      <xdr:rowOff>76077</xdr:rowOff>
    </xdr:from>
    <xdr:to>
      <xdr:col>50</xdr:col>
      <xdr:colOff>762000</xdr:colOff>
      <xdr:row>43</xdr:row>
      <xdr:rowOff>96762</xdr:rowOff>
    </xdr:to>
    <xdr:graphicFrame macro="">
      <xdr:nvGraphicFramePr>
        <xdr:cNvPr id="6" name="Chart 5">
          <a:extLst>
            <a:ext uri="{FF2B5EF4-FFF2-40B4-BE49-F238E27FC236}">
              <a16:creationId xmlns:a16="http://schemas.microsoft.com/office/drawing/2014/main" id="{6A2EFCCF-5F07-400F-876B-2BF2E4246EC8}"/>
            </a:ext>
            <a:ext uri="{147F2762-F138-4A5C-976F-8EAC2B608ADB}">
              <a16:predDERef xmlns:a16="http://schemas.microsoft.com/office/drawing/2014/main" pred="{BC18ACB7-DA54-48CD-9DC1-225DDB2A6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54429</xdr:colOff>
      <xdr:row>30</xdr:row>
      <xdr:rowOff>55437</xdr:rowOff>
    </xdr:from>
    <xdr:to>
      <xdr:col>35</xdr:col>
      <xdr:colOff>666</xdr:colOff>
      <xdr:row>43</xdr:row>
      <xdr:rowOff>72079</xdr:rowOff>
    </xdr:to>
    <xdr:graphicFrame macro="">
      <xdr:nvGraphicFramePr>
        <xdr:cNvPr id="7" name="Chart 6">
          <a:extLst>
            <a:ext uri="{FF2B5EF4-FFF2-40B4-BE49-F238E27FC236}">
              <a16:creationId xmlns:a16="http://schemas.microsoft.com/office/drawing/2014/main" id="{7250DA2D-06CB-45CA-BF83-A0F6DA3A148E}"/>
            </a:ext>
            <a:ext uri="{147F2762-F138-4A5C-976F-8EAC2B608ADB}">
              <a16:predDERef xmlns:a16="http://schemas.microsoft.com/office/drawing/2014/main" pred="{6A2EFCCF-5F07-400F-876B-2BF2E424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29</xdr:row>
      <xdr:rowOff>91560</xdr:rowOff>
    </xdr:from>
    <xdr:to>
      <xdr:col>25</xdr:col>
      <xdr:colOff>411239</xdr:colOff>
      <xdr:row>43</xdr:row>
      <xdr:rowOff>82035</xdr:rowOff>
    </xdr:to>
    <xdr:graphicFrame macro="">
      <xdr:nvGraphicFramePr>
        <xdr:cNvPr id="8" name="Chart 7">
          <a:extLst>
            <a:ext uri="{FF2B5EF4-FFF2-40B4-BE49-F238E27FC236}">
              <a16:creationId xmlns:a16="http://schemas.microsoft.com/office/drawing/2014/main" id="{80951E7F-7E2E-4A78-A5B9-2B530B0D837C}"/>
            </a:ext>
            <a:ext uri="{147F2762-F138-4A5C-976F-8EAC2B608ADB}">
              <a16:predDERef xmlns:a16="http://schemas.microsoft.com/office/drawing/2014/main" pred="{7250DA2D-06CB-45CA-BF83-A0F6DA3A1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45</xdr:col>
      <xdr:colOff>57341</xdr:colOff>
      <xdr:row>14</xdr:row>
      <xdr:rowOff>101799</xdr:rowOff>
    </xdr:from>
    <xdr:to>
      <xdr:col>51</xdr:col>
      <xdr:colOff>0</xdr:colOff>
      <xdr:row>28</xdr:row>
      <xdr:rowOff>172065</xdr:rowOff>
    </xdr:to>
    <xdr:graphicFrame macro="">
      <xdr:nvGraphicFramePr>
        <xdr:cNvPr id="14" name="Chart 13">
          <a:extLst>
            <a:ext uri="{FF2B5EF4-FFF2-40B4-BE49-F238E27FC236}">
              <a16:creationId xmlns:a16="http://schemas.microsoft.com/office/drawing/2014/main" id="{A169F24A-9325-416A-83AE-FD2D7C8E2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56030</xdr:colOff>
      <xdr:row>0</xdr:row>
      <xdr:rowOff>0</xdr:rowOff>
    </xdr:from>
    <xdr:to>
      <xdr:col>51</xdr:col>
      <xdr:colOff>0</xdr:colOff>
      <xdr:row>14</xdr:row>
      <xdr:rowOff>39333</xdr:rowOff>
    </xdr:to>
    <xdr:graphicFrame macro="">
      <xdr:nvGraphicFramePr>
        <xdr:cNvPr id="10" name="Chart 9">
          <a:extLst>
            <a:ext uri="{FF2B5EF4-FFF2-40B4-BE49-F238E27FC236}">
              <a16:creationId xmlns:a16="http://schemas.microsoft.com/office/drawing/2014/main" id="{A6386E8B-A8FD-4574-9338-2EB0F856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53</xdr:col>
      <xdr:colOff>393093</xdr:colOff>
      <xdr:row>0</xdr:row>
      <xdr:rowOff>138545</xdr:rowOff>
    </xdr:from>
    <xdr:to>
      <xdr:col>67</xdr:col>
      <xdr:colOff>343442</xdr:colOff>
      <xdr:row>37</xdr:row>
      <xdr:rowOff>172408</xdr:rowOff>
    </xdr:to>
    <xdr:pic>
      <xdr:nvPicPr>
        <xdr:cNvPr id="12" name="Picture 11">
          <a:extLst>
            <a:ext uri="{FF2B5EF4-FFF2-40B4-BE49-F238E27FC236}">
              <a16:creationId xmlns:a16="http://schemas.microsoft.com/office/drawing/2014/main" id="{E1DD2AFD-33AD-4742-BB12-AB09A43CAC9D}"/>
            </a:ext>
          </a:extLst>
        </xdr:cNvPr>
        <xdr:cNvPicPr>
          <a:picLocks noChangeAspect="1"/>
        </xdr:cNvPicPr>
      </xdr:nvPicPr>
      <xdr:blipFill>
        <a:blip xmlns:r="http://schemas.openxmlformats.org/officeDocument/2006/relationships" r:embed="rId1"/>
        <a:stretch>
          <a:fillRect/>
        </a:stretch>
      </xdr:blipFill>
      <xdr:spPr>
        <a:xfrm>
          <a:off x="36813229" y="138545"/>
          <a:ext cx="8924978" cy="6670635"/>
        </a:xfrm>
        <a:prstGeom prst="rect">
          <a:avLst/>
        </a:prstGeom>
      </xdr:spPr>
    </xdr:pic>
    <xdr:clientData/>
  </xdr:twoCellAnchor>
  <xdr:twoCellAnchor editAs="oneCell">
    <xdr:from>
      <xdr:col>67</xdr:col>
      <xdr:colOff>439821</xdr:colOff>
      <xdr:row>0</xdr:row>
      <xdr:rowOff>138545</xdr:rowOff>
    </xdr:from>
    <xdr:to>
      <xdr:col>77</xdr:col>
      <xdr:colOff>180361</xdr:colOff>
      <xdr:row>27</xdr:row>
      <xdr:rowOff>153451</xdr:rowOff>
    </xdr:to>
    <xdr:pic>
      <xdr:nvPicPr>
        <xdr:cNvPr id="13" name="Picture 12">
          <a:extLst>
            <a:ext uri="{FF2B5EF4-FFF2-40B4-BE49-F238E27FC236}">
              <a16:creationId xmlns:a16="http://schemas.microsoft.com/office/drawing/2014/main" id="{FB00D648-0806-449D-9360-BB193138FBDE}"/>
            </a:ext>
          </a:extLst>
        </xdr:cNvPr>
        <xdr:cNvPicPr>
          <a:picLocks noChangeAspect="1"/>
        </xdr:cNvPicPr>
      </xdr:nvPicPr>
      <xdr:blipFill>
        <a:blip xmlns:r="http://schemas.openxmlformats.org/officeDocument/2006/relationships" r:embed="rId2"/>
        <a:stretch>
          <a:fillRect/>
        </a:stretch>
      </xdr:blipFill>
      <xdr:spPr>
        <a:xfrm>
          <a:off x="45830776" y="138545"/>
          <a:ext cx="6150172" cy="4912141"/>
        </a:xfrm>
        <a:prstGeom prst="rect">
          <a:avLst/>
        </a:prstGeom>
      </xdr:spPr>
    </xdr:pic>
    <xdr:clientData/>
  </xdr:twoCellAnchor>
  <xdr:twoCellAnchor>
    <xdr:from>
      <xdr:col>0</xdr:col>
      <xdr:colOff>0</xdr:colOff>
      <xdr:row>0</xdr:row>
      <xdr:rowOff>28876</xdr:rowOff>
    </xdr:from>
    <xdr:to>
      <xdr:col>4</xdr:col>
      <xdr:colOff>617326</xdr:colOff>
      <xdr:row>13</xdr:row>
      <xdr:rowOff>72258</xdr:rowOff>
    </xdr:to>
    <xdr:graphicFrame macro="">
      <xdr:nvGraphicFramePr>
        <xdr:cNvPr id="5" name="Chart 4">
          <a:extLst>
            <a:ext uri="{FF2B5EF4-FFF2-40B4-BE49-F238E27FC236}">
              <a16:creationId xmlns:a16="http://schemas.microsoft.com/office/drawing/2014/main" id="{D75FAD33-54BC-629E-19B2-266AF4FB2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695326</xdr:colOff>
      <xdr:row>0</xdr:row>
      <xdr:rowOff>0</xdr:rowOff>
    </xdr:from>
    <xdr:to>
      <xdr:col>22</xdr:col>
      <xdr:colOff>677119</xdr:colOff>
      <xdr:row>13</xdr:row>
      <xdr:rowOff>171450</xdr:rowOff>
    </xdr:to>
    <xdr:graphicFrame macro="">
      <xdr:nvGraphicFramePr>
        <xdr:cNvPr id="9" name="Chart 8">
          <a:extLst>
            <a:ext uri="{FF2B5EF4-FFF2-40B4-BE49-F238E27FC236}">
              <a16:creationId xmlns:a16="http://schemas.microsoft.com/office/drawing/2014/main" id="{0BED31A6-44D5-4D05-A16C-A4628E09A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457200</xdr:colOff>
      <xdr:row>0</xdr:row>
      <xdr:rowOff>0</xdr:rowOff>
    </xdr:from>
    <xdr:to>
      <xdr:col>18</xdr:col>
      <xdr:colOff>610515</xdr:colOff>
      <xdr:row>13</xdr:row>
      <xdr:rowOff>171450</xdr:rowOff>
    </xdr:to>
    <xdr:graphicFrame macro="">
      <xdr:nvGraphicFramePr>
        <xdr:cNvPr id="10" name="Chart 9">
          <a:extLst>
            <a:ext uri="{FF2B5EF4-FFF2-40B4-BE49-F238E27FC236}">
              <a16:creationId xmlns:a16="http://schemas.microsoft.com/office/drawing/2014/main" id="{2310E0EB-8EF9-42EA-B918-82701712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xdr:row>
      <xdr:rowOff>177026</xdr:rowOff>
    </xdr:from>
    <xdr:to>
      <xdr:col>4</xdr:col>
      <xdr:colOff>619414</xdr:colOff>
      <xdr:row>68</xdr:row>
      <xdr:rowOff>27336</xdr:rowOff>
    </xdr:to>
    <xdr:grpSp>
      <xdr:nvGrpSpPr>
        <xdr:cNvPr id="2" name="Group 1">
          <a:extLst>
            <a:ext uri="{FF2B5EF4-FFF2-40B4-BE49-F238E27FC236}">
              <a16:creationId xmlns:a16="http://schemas.microsoft.com/office/drawing/2014/main" id="{C467D65E-AC7C-0854-AA3E-CB591C1CE07D}"/>
            </a:ext>
          </a:extLst>
        </xdr:cNvPr>
        <xdr:cNvGrpSpPr/>
      </xdr:nvGrpSpPr>
      <xdr:grpSpPr>
        <a:xfrm>
          <a:off x="0" y="2852122"/>
          <a:ext cx="3189259" cy="9535807"/>
          <a:chOff x="0" y="2724964"/>
          <a:chExt cx="3191164" cy="9528187"/>
        </a:xfrm>
      </xdr:grpSpPr>
      <xdr:graphicFrame macro="">
        <xdr:nvGraphicFramePr>
          <xdr:cNvPr id="11" name="Chart 10">
            <a:extLst>
              <a:ext uri="{FF2B5EF4-FFF2-40B4-BE49-F238E27FC236}">
                <a16:creationId xmlns:a16="http://schemas.microsoft.com/office/drawing/2014/main" id="{F1B1ED3F-6E50-4C2D-8B93-042CCD17154A}"/>
              </a:ext>
            </a:extLst>
          </xdr:cNvPr>
          <xdr:cNvGraphicFramePr>
            <a:graphicFrameLocks/>
          </xdr:cNvGraphicFramePr>
        </xdr:nvGraphicFramePr>
        <xdr:xfrm>
          <a:off x="1" y="2724964"/>
          <a:ext cx="3191163" cy="234625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a:extLst>
              <a:ext uri="{FF2B5EF4-FFF2-40B4-BE49-F238E27FC236}">
                <a16:creationId xmlns:a16="http://schemas.microsoft.com/office/drawing/2014/main" id="{5C7519C2-AF56-4023-A84F-1846FA9A19AE}"/>
              </a:ext>
            </a:extLst>
          </xdr:cNvPr>
          <xdr:cNvGraphicFramePr>
            <a:graphicFrameLocks/>
          </xdr:cNvGraphicFramePr>
        </xdr:nvGraphicFramePr>
        <xdr:xfrm>
          <a:off x="0" y="7518054"/>
          <a:ext cx="3191163" cy="2338443"/>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8" name="Chart 17">
            <a:extLst>
              <a:ext uri="{FF2B5EF4-FFF2-40B4-BE49-F238E27FC236}">
                <a16:creationId xmlns:a16="http://schemas.microsoft.com/office/drawing/2014/main" id="{A4620672-06EC-46E5-9BAD-E8B3792479B2}"/>
              </a:ext>
            </a:extLst>
          </xdr:cNvPr>
          <xdr:cNvGraphicFramePr>
            <a:graphicFrameLocks/>
          </xdr:cNvGraphicFramePr>
        </xdr:nvGraphicFramePr>
        <xdr:xfrm>
          <a:off x="0" y="5117896"/>
          <a:ext cx="3191163" cy="234104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0" name="Chart 19">
            <a:extLst>
              <a:ext uri="{FF2B5EF4-FFF2-40B4-BE49-F238E27FC236}">
                <a16:creationId xmlns:a16="http://schemas.microsoft.com/office/drawing/2014/main" id="{D9BCEF9D-E4C0-4A04-84AC-4369202C8AC1}"/>
              </a:ext>
            </a:extLst>
          </xdr:cNvPr>
          <xdr:cNvGraphicFramePr>
            <a:graphicFrameLocks/>
          </xdr:cNvGraphicFramePr>
        </xdr:nvGraphicFramePr>
        <xdr:xfrm>
          <a:off x="0" y="9912599"/>
          <a:ext cx="3189258" cy="2340552"/>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23</xdr:col>
      <xdr:colOff>0</xdr:colOff>
      <xdr:row>0</xdr:row>
      <xdr:rowOff>0</xdr:rowOff>
    </xdr:from>
    <xdr:to>
      <xdr:col>32</xdr:col>
      <xdr:colOff>113360</xdr:colOff>
      <xdr:row>14</xdr:row>
      <xdr:rowOff>1681</xdr:rowOff>
    </xdr:to>
    <xdr:grpSp>
      <xdr:nvGrpSpPr>
        <xdr:cNvPr id="23" name="Group 22">
          <a:extLst>
            <a:ext uri="{FF2B5EF4-FFF2-40B4-BE49-F238E27FC236}">
              <a16:creationId xmlns:a16="http://schemas.microsoft.com/office/drawing/2014/main" id="{7044EDCE-6210-EF42-22E1-92AE3D8F818E}"/>
            </a:ext>
          </a:extLst>
        </xdr:cNvPr>
        <xdr:cNvGrpSpPr/>
      </xdr:nvGrpSpPr>
      <xdr:grpSpPr>
        <a:xfrm>
          <a:off x="17573625" y="0"/>
          <a:ext cx="7316641" cy="2680587"/>
          <a:chOff x="17483667" y="0"/>
          <a:chExt cx="7257110" cy="2700431"/>
        </a:xfrm>
      </xdr:grpSpPr>
      <xdr:graphicFrame macro="">
        <xdr:nvGraphicFramePr>
          <xdr:cNvPr id="19" name="Chart 18">
            <a:extLst>
              <a:ext uri="{FF2B5EF4-FFF2-40B4-BE49-F238E27FC236}">
                <a16:creationId xmlns:a16="http://schemas.microsoft.com/office/drawing/2014/main" id="{1A95885C-3209-4BEA-BC9A-4E04C13F7FC2}"/>
              </a:ext>
            </a:extLst>
          </xdr:cNvPr>
          <xdr:cNvGraphicFramePr>
            <a:graphicFrameLocks/>
          </xdr:cNvGraphicFramePr>
        </xdr:nvGraphicFramePr>
        <xdr:xfrm>
          <a:off x="17483667" y="0"/>
          <a:ext cx="3630837" cy="270043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2" name="Chart 21">
            <a:extLst>
              <a:ext uri="{FF2B5EF4-FFF2-40B4-BE49-F238E27FC236}">
                <a16:creationId xmlns:a16="http://schemas.microsoft.com/office/drawing/2014/main" id="{C8A8139B-036C-4E91-8DA7-F897F67EA22E}"/>
              </a:ext>
            </a:extLst>
          </xdr:cNvPr>
          <xdr:cNvGraphicFramePr>
            <a:graphicFrameLocks/>
          </xdr:cNvGraphicFramePr>
        </xdr:nvGraphicFramePr>
        <xdr:xfrm>
          <a:off x="21111845" y="0"/>
          <a:ext cx="3628932" cy="2698526"/>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84210-69F5-4990-A2A5-193DCD03ECF3}" name="Table1" displayName="Table1" ref="A2:BG11" totalsRowShown="0" headerRowDxfId="1" dataDxfId="64">
  <autoFilter ref="A2:BG11" xr:uid="{0F284210-69F5-4990-A2A5-193DCD03ECF3}"/>
  <tableColumns count="59">
    <tableColumn id="2" xr3:uid="{22354CD9-A599-4389-A481-60CBCEA51200}" name="Material" dataDxfId="63"/>
    <tableColumn id="3" xr3:uid="{4EE2AFE1-D26A-4182-ACD2-0E8FCC04D4E4}" name="Tc_DK (1/°C)" dataDxfId="62"/>
    <tableColumn id="4" xr3:uid="{A8A14456-3934-43CF-AE73-757A8E52309C}" name="Tc_DF (1/°C)" dataDxfId="61"/>
    <tableColumn id="5" xr3:uid="{9EBA9770-8D34-4C72-94B1-3F8FA0C2B78A}" name="α_M (1/°C)" dataDxfId="60"/>
    <tableColumn id="6" xr3:uid="{75CF7D50-F8FE-4786-956F-1552247B5B96}" name="σo (S/m)" dataDxfId="59"/>
    <tableColumn id="8" xr3:uid="{F5E90E42-97A9-4386-899A-D8C1823BC830}" name="Δ (µm)" dataDxfId="58"/>
    <tableColumn id="7" xr3:uid="{A6224F84-6793-4357-A26B-BB02B60025FA}" name="To (°C)" dataDxfId="57"/>
    <tableColumn id="9" xr3:uid="{110EB71F-B441-40DC-9FD2-EF9E87F2DA79}" name="t_D (µm)" dataDxfId="56"/>
    <tableColumn id="10" xr3:uid="{0A5CB8CD-EACF-4ADA-96C6-46D06F0849C8}" name="t_M (µm)" dataDxfId="55"/>
    <tableColumn id="11" xr3:uid="{E1E79A1B-771E-4E24-8390-03CD1A06DB95}" name="W (µm)" dataDxfId="54"/>
    <tableColumn id="12" xr3:uid="{F8A59D81-6FDA-4A76-AA94-C431984D0E71}" name="S (µm)" dataDxfId="53"/>
    <tableColumn id="13" xr3:uid="{235CBBB0-0030-4A7C-B379-16DF1761BA4D}" name="f1 (GHz)" dataDxfId="52"/>
    <tableColumn id="14" xr3:uid="{0AB313A9-4B77-441C-8047-5677C7E047EF}" name="f2 (GHz)" dataDxfId="51"/>
    <tableColumn id="15" xr3:uid="{D71408FB-D46D-4C19-8BE9-0B1E06B82617}" name="f3 (GHz)" dataDxfId="50"/>
    <tableColumn id="16" xr3:uid="{C8F5BCE5-3303-4932-9823-8B930528244E}" name="f4 (GHz)" dataDxfId="49"/>
    <tableColumn id="17" xr3:uid="{618D3C24-9FB5-4013-A3F4-7AB0E8542984}" name="f5 (GHz)" dataDxfId="48"/>
    <tableColumn id="18" xr3:uid="{54F33D0C-C7E5-4CB7-800B-9457FC6D9B76}" name="f6 (GHz)" dataDxfId="47"/>
    <tableColumn id="19" xr3:uid="{F8928CDC-3ED2-4A44-81C7-4ABA1B3D05A2}" name="t1 (µm)" dataDxfId="46"/>
    <tableColumn id="20" xr3:uid="{2C30865F-A33F-4614-A966-03E9598CD118}" name="t2 (µm)" dataDxfId="45"/>
    <tableColumn id="21" xr3:uid="{7B0C3E7D-08BF-4B81-9525-C9618116F763}" name="t3 (µm)" dataDxfId="44"/>
    <tableColumn id="22" xr3:uid="{FA5AAD20-F946-49F3-8ADD-E48CC613CA00}" name="RC1 (%)" dataDxfId="43"/>
    <tableColumn id="23" xr3:uid="{AB23DE0A-6B38-4750-82C8-9CD91F104D1D}" name="RC2 (%)" dataDxfId="42"/>
    <tableColumn id="24" xr3:uid="{0B9EC151-014E-4052-B14D-20C3D915CBCE}" name="RC3 (%)" dataDxfId="41"/>
    <tableColumn id="25" xr3:uid="{F60C46C7-3220-42FD-9D85-EFCCEC8AFFAD}" name="DK11" dataDxfId="40"/>
    <tableColumn id="26" xr3:uid="{CE35D3D1-1D50-4D31-A5BE-215036B16DE0}" name="DK12" dataDxfId="39"/>
    <tableColumn id="27" xr3:uid="{0D01176C-B1F9-4DE9-AE89-4EC16699026C}" name="DK13" dataDxfId="38"/>
    <tableColumn id="28" xr3:uid="{2E808140-F9B6-4BEE-9F5C-FA6D02E38E1A}" name="DK14" dataDxfId="37"/>
    <tableColumn id="29" xr3:uid="{DC4D4247-4E1A-4A5A-B22D-83CF96F4F81B}" name="DK15" dataDxfId="36"/>
    <tableColumn id="30" xr3:uid="{9E566D91-0CAF-4A4E-AFBF-0FA74925B7AE}" name="DK16" dataDxfId="35"/>
    <tableColumn id="31" xr3:uid="{A7BA5060-69D8-486B-97CA-1AFFA52AE876}" name="DK21" dataDxfId="34"/>
    <tableColumn id="32" xr3:uid="{A49FF30E-1288-4006-9FF7-09DF4B056723}" name="DK22" dataDxfId="33"/>
    <tableColumn id="33" xr3:uid="{1CB9667B-C52E-4C3F-BCC1-4D3D631960F9}" name="DK23" dataDxfId="32"/>
    <tableColumn id="34" xr3:uid="{5F388564-E8E5-4081-BDAF-CAD9DF28106E}" name="DK24" dataDxfId="31"/>
    <tableColumn id="35" xr3:uid="{8712DC67-275B-4C66-9612-6959BBC5E568}" name="DK25" dataDxfId="30"/>
    <tableColumn id="36" xr3:uid="{A5869C4A-E072-4DE3-B7A0-6B8D8D20902F}" name="DK26" dataDxfId="29"/>
    <tableColumn id="37" xr3:uid="{58BEF11D-AAA6-4FA6-BA0C-C9EF695131F5}" name="DK31" dataDxfId="28"/>
    <tableColumn id="38" xr3:uid="{D37AF768-A55E-46D5-9988-300A5319FF70}" name="DK32" dataDxfId="27"/>
    <tableColumn id="39" xr3:uid="{168CA9EB-01C7-4CB1-877B-C3234D10C43B}" name="DK33" dataDxfId="26"/>
    <tableColumn id="40" xr3:uid="{B0FAF506-A593-4359-8325-3364CB964AD3}" name="DK34" dataDxfId="25"/>
    <tableColumn id="41" xr3:uid="{8FF8A027-0972-4379-9277-2FC88F6DC7E5}" name="DK35" dataDxfId="24"/>
    <tableColumn id="42" xr3:uid="{C5D56B35-4081-41EA-B5FD-7C9A8531588B}" name="DK36" dataDxfId="23"/>
    <tableColumn id="43" xr3:uid="{94669113-9DEA-4444-8E28-0432E8BB0D2C}" name="DF11" dataDxfId="22"/>
    <tableColumn id="44" xr3:uid="{928897D2-8FB5-4DB8-B3F1-10066655F991}" name="DF12" dataDxfId="21"/>
    <tableColumn id="45" xr3:uid="{C209FCF8-5359-41C7-8860-29479C213003}" name="DF13" dataDxfId="20"/>
    <tableColumn id="46" xr3:uid="{10C9B386-CA09-4EA9-852B-ABCCEE4FA1BE}" name="DF14" dataDxfId="19"/>
    <tableColumn id="47" xr3:uid="{2655C2AA-22AA-43AB-ADC2-2C675209F645}" name="DF15" dataDxfId="18"/>
    <tableColumn id="48" xr3:uid="{73E3D265-2559-4928-8379-496E28782838}" name="DF16" dataDxfId="17"/>
    <tableColumn id="49" xr3:uid="{989424CF-5C94-4EF9-B215-2944532900F0}" name="DF21" dataDxfId="16"/>
    <tableColumn id="50" xr3:uid="{A361CFEC-AC79-4874-8E43-515836683428}" name="DF22" dataDxfId="15"/>
    <tableColumn id="51" xr3:uid="{88D8603B-43C8-4196-88C6-72DDBDEFDED9}" name="DF23" dataDxfId="14"/>
    <tableColumn id="52" xr3:uid="{5453D9BE-BCB9-4882-B2D4-F5DDFBE9B410}" name="DF24" dataDxfId="13"/>
    <tableColumn id="53" xr3:uid="{B7A580A1-EBA9-4C8B-A5B6-8B544991CC97}" name="DF25" dataDxfId="12"/>
    <tableColumn id="54" xr3:uid="{31CD4ACE-51F6-4C8B-9AF9-E85177EBDDB4}" name="DF26" dataDxfId="11"/>
    <tableColumn id="55" xr3:uid="{3A96F978-8B36-4A52-8468-05CF4C8E47AC}" name="DF31" dataDxfId="10"/>
    <tableColumn id="56" xr3:uid="{4F7A0AD0-6241-4450-8D13-87A9A2B2005E}" name="DF32" dataDxfId="9"/>
    <tableColumn id="57" xr3:uid="{36B5FB3C-A774-4546-BE0C-4F7DA51A71C6}" name="DF33" dataDxfId="8"/>
    <tableColumn id="58" xr3:uid="{8C2E1341-E486-4C00-AEC2-36C5E450CE5C}" name="DF34" dataDxfId="7"/>
    <tableColumn id="59" xr3:uid="{C52FC261-27CE-4A36-97E3-A72A58A65E90}" name="DF35" dataDxfId="6"/>
    <tableColumn id="60" xr3:uid="{4B023531-BE31-49DD-99F8-70F4BA703D2E}" name="DF36"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12EBB-40C8-4DC9-BC1F-CF0DFA703275}" name="Table2" displayName="Table2" ref="BI2:BJ11" totalsRowShown="0" headerRowDxfId="0" tableBorderDxfId="4">
  <autoFilter ref="BI2:BJ11" xr:uid="{11512EBB-40C8-4DC9-BC1F-CF0DFA703275}"/>
  <tableColumns count="2">
    <tableColumn id="1" xr3:uid="{4340093C-64CA-4075-AE45-01D3149344C5}" name="Copper Foil" dataDxfId="3"/>
    <tableColumn id="2" xr3:uid="{8D924397-5846-4DF8-A087-A9F1D690A7D0}" name="Δ (µm)"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2-06T10:10:08.81" personId="{685DAF9C-7E69-437C-B66A-60F972D4A0E6}" id="{DA3A8A89-34AB-4C90-8EF9-C1DB1D48FD32}">
    <text>TC_DK = [ (DK|T2 - DK|T1)/DK|25C ] / (T2-T1)</text>
  </threadedComment>
  <threadedComment ref="C2" dT="2024-12-06T10:10:38.31" personId="{685DAF9C-7E69-437C-B66A-60F972D4A0E6}" id="{8D22B870-DEEF-4577-8F62-C02DEDE49307}">
    <text>TC_DF = [ (DF|T2 - DF|T1)/DF|25C ] / (T2-T1)</text>
  </threadedComment>
  <threadedComment ref="D2" dT="2024-12-05T15:14:26.44" personId="{685DAF9C-7E69-437C-B66A-60F972D4A0E6}" id="{9BA8CB9F-027F-4019-870C-E19AB2615A09}">
    <text>Temperature coefficient of metal conductivity</text>
  </threadedComment>
  <threadedComment ref="E2" dT="2024-12-05T15:13:59.91" personId="{685DAF9C-7E69-437C-B66A-60F972D4A0E6}" id="{B9DA68C6-6F68-4427-A0DD-EC94F9ECA19D}">
    <text>Metal conductivity</text>
  </threadedComment>
  <threadedComment ref="F2" dT="2024-09-28T06:20:07.69" personId="{685DAF9C-7E69-437C-B66A-60F972D4A0E6}" id="{9D859DB6-2A73-437C-B08C-39F36360EBAF}">
    <text>Metal surface roughness
- Note: Multiply by 2 if both sides are treated
- Typical Manufacturer Data:
(STD)         5 &lt; Rz &lt; 7μm
(RTF)          3 &lt; Rz &lt; 5μm
(VLP)         2 &lt; Rz &lt; 3μm
(HVLP)      1 &lt; Rz &lt; 2μm
(HVLP2) 0.2 &lt; Rz &lt; 1μm 
- Roughness RMS = Rz *1.1/7.6</text>
  </threadedComment>
  <threadedComment ref="H2" dT="2024-12-05T15:13:02.78" personId="{685DAF9C-7E69-437C-B66A-60F972D4A0E6}" id="{AF6BB9F7-C89F-4C7E-BD6B-134C5FFAC4CC}">
    <text>Dielectric thickness between two layers. 
The total stripline thickness will be 2x Dielectric thickness + Metal thickness</text>
  </threadedComment>
  <threadedComment ref="I2" dT="2024-12-05T15:13:13.84" personId="{685DAF9C-7E69-437C-B66A-60F972D4A0E6}" id="{74C09A0D-20EC-45EA-859C-642CFD5C8385}">
    <text>Copper layer thickness</text>
  </threadedComment>
  <threadedComment ref="J2" dT="2024-12-05T15:13:31.26" personId="{685DAF9C-7E69-437C-B66A-60F972D4A0E6}" id="{B6F6F324-6FF3-452A-9D8D-0037EC90FC12}">
    <text>Stripline width</text>
  </threadedComment>
  <threadedComment ref="K2" dT="2024-12-05T15:13:42.82" personId="{685DAF9C-7E69-437C-B66A-60F972D4A0E6}" id="{96381BDA-6030-42D5-A33B-3467E9414F6A}">
    <text>Stripline spacing</text>
  </threadedComment>
  <threadedComment ref="BJ2" dT="2024-09-28T06:20:07.69" personId="{685DAF9C-7E69-437C-B66A-60F972D4A0E6}" id="{43FCD850-5AA7-4C28-850A-94AC8C23A507}">
    <text>Metal surface roughness
- Note: Multiply by 2 if both sides are treated
- Typical Manufacturer Data:
(STD)         5 &lt; Rz &lt; 7μm
(RTF)          3 &lt; Rz &lt; 5μm
(VLP)         2 &lt; Rz &lt; 3μm
(HVLP)      1 &lt; Rz &lt; 2μm
(HVLP2) 0.2 &lt; Rz &lt; 1μm 
- Roughness RMS = Rz *1.1/7.6</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2-05T15:13:02.78" personId="{685DAF9C-7E69-437C-B66A-60F972D4A0E6}" id="{E97AE688-3969-4F50-A487-14FACFE2A845}">
    <text>Dielectric thickness between two layers. 
The total stripline thickness will be 2x Dielectric thickness + Metal thickness</text>
  </threadedComment>
  <threadedComment ref="H1" dT="2024-12-05T15:13:59.91" personId="{685DAF9C-7E69-437C-B66A-60F972D4A0E6}" id="{CEBCA5BB-DA04-4CEF-8896-C9B55BB93219}">
    <text>Conductivity of Copper</text>
  </threadedComment>
  <threadedComment ref="M1" dT="2024-12-06T10:10:08.81" personId="{685DAF9C-7E69-437C-B66A-60F972D4A0E6}" id="{34B7EF02-D9A0-4C61-976B-2D605D567AA9}">
    <text>TC_DK = [ (DK|T2 - DK|T1)/DK|25C ] / (T2-T1)</text>
  </threadedComment>
  <threadedComment ref="C2" dT="2024-12-05T15:13:13.84" personId="{685DAF9C-7E69-437C-B66A-60F972D4A0E6}" id="{2DD58A31-3C5A-46E8-8683-54E646CEB351}">
    <text>Copper layer thickness</text>
  </threadedComment>
  <threadedComment ref="H2" dT="2024-12-05T15:14:39.76" personId="{685DAF9C-7E69-437C-B66A-60F972D4A0E6}" id="{C7B8FB46-955B-4EAA-AC94-EE48B10ADE49}">
    <text>Temperature</text>
  </threadedComment>
  <threadedComment ref="M2" dT="2024-12-06T10:10:38.31" personId="{685DAF9C-7E69-437C-B66A-60F972D4A0E6}" id="{279B2362-8AEC-4225-A348-43B8383E3CDC}">
    <text>TC_DF = [ (DF|T2 - DF|T1)/DF|25C ] / (T2-T1)</text>
  </threadedComment>
  <threadedComment ref="C3" dT="2024-12-05T15:13:31.26" personId="{685DAF9C-7E69-437C-B66A-60F972D4A0E6}" id="{00A80220-E9FD-4105-BA33-F474A3475211}">
    <text>Stripline width</text>
  </threadedComment>
  <threadedComment ref="H3" dT="2024-09-28T06:20:07.69" personId="{685DAF9C-7E69-437C-B66A-60F972D4A0E6}" id="{3DA56ABE-6FEF-4BF9-968C-02DB5C890AFE}">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1E493E4C-872F-4B42-8A9E-97358BD8C750}">
    <text>Temperature coefficient of metal conductivity</text>
  </threadedComment>
  <threadedComment ref="C4" dT="2024-12-05T15:13:42.82" personId="{685DAF9C-7E69-437C-B66A-60F972D4A0E6}" id="{52CE62EB-3E3C-4A84-8AEF-ACB354278495}">
    <text>Stripline spacing</text>
  </threadedComment>
  <threadedComment ref="AK5" dT="2024-10-03T21:19:16.88" personId="{685DAF9C-7E69-437C-B66A-60F972D4A0E6}" id="{48BE5FDE-F68A-49CD-80D0-197163CD3554}" done="1">
    <text>δs = sqrt(2/(σωµ))</text>
  </threadedComment>
  <threadedComment ref="AK6" dT="2024-10-03T21:19:31.59" personId="{685DAF9C-7E69-437C-B66A-60F972D4A0E6}" id="{8016D416-AA0D-479F-9E76-5229FEE740FF}" done="1">
    <text>R' = Rstrip + Rgnd = 1/(σ δs W) + 0.15/(σ δs W)</text>
  </threadedComment>
  <threadedComment ref="AK7" dT="2024-10-03T21:20:00.73" personId="{685DAF9C-7E69-437C-B66A-60F972D4A0E6}" id="{412F86C3-7516-4782-8066-3AF4F5B8D440}" done="1">
    <text>Zdiff=2*Zo*(1-.347*(EXP(-2.9*(S/H)))), where Zo=60/SQRT(Er)*LN(1.9*(2*H+T)/(0.8*W+T))</text>
  </threadedComment>
  <threadedComment ref="AK10" dT="2024-10-03T21:19:16.88" personId="{685DAF9C-7E69-437C-B66A-60F972D4A0E6}" id="{4D034C31-E8E2-47C9-A64B-5D536F7A5046}" done="1">
    <text>δs = sqrt(2/(σωµ))</text>
  </threadedComment>
  <threadedComment ref="AB11" dT="2024-10-03T21:19:16.88" personId="{685DAF9C-7E69-437C-B66A-60F972D4A0E6}" id="{505BE7C7-38A3-4EFD-8420-873135175151}" done="1">
    <text>δs = sqrt(2/(σωµ))</text>
  </threadedComment>
  <threadedComment ref="AK11" dT="2024-10-03T21:19:31.59" personId="{685DAF9C-7E69-437C-B66A-60F972D4A0E6}" id="{CF3C4527-BB21-41A6-A59A-EE46F4A9A486}" done="1">
    <text>R' = Rstrip + Rgnd = 1/(σ δs W) + 0.15/(σ δs W)</text>
  </threadedComment>
  <threadedComment ref="AB12" dT="2024-10-03T21:19:31.59" personId="{685DAF9C-7E69-437C-B66A-60F972D4A0E6}" id="{F034D817-1EC2-470C-98D9-0B3489AE4C85}" done="1">
    <text>R' = Rstrip + Rgnd = 1/(σ δs W) + 0.15/(σ δs W)1`</text>
  </threadedComment>
  <threadedComment ref="AK12" dT="2024-10-03T21:20:00.73" personId="{685DAF9C-7E69-437C-B66A-60F972D4A0E6}" id="{4DBFE2E7-77E8-4575-867C-A87F6987BFA4}" done="1">
    <text>Zdiff=2*Zo*(1-.347*(EXP(-2.9*(S/H)))), where Zo=60/SQRT(Er)*LN(1.9*(2*H+T)/(0.8*W+T))</text>
  </threadedComment>
  <threadedComment ref="AB13" dT="2024-10-03T21:20:00.73" personId="{685DAF9C-7E69-437C-B66A-60F972D4A0E6}" id="{33195EFF-F62B-4825-8D58-9832F1292A8C}" done="1">
    <text>Zdiff=2*Zo*(1-.347*(EXP(-2.9*(S/H)))), where Zo=60/SQRT(Er)*LN(1.9*(2*H+T)/(0.8*W+T))</text>
  </threadedComment>
  <threadedComment ref="AB14" dT="2024-10-03T21:14:12.65" personId="{685DAF9C-7E69-437C-B66A-60F972D4A0E6}" id="{D4093EF6-FA9A-4633-A1B4-754703A5FE08}" done="1">
    <text>α_Dielectric = 91.02 x sqrt(ɛr) x FGHz x DF</text>
  </threadedComment>
  <threadedComment ref="AB15" dT="2024-10-03T21:15:07.76" personId="{685DAF9C-7E69-437C-B66A-60F972D4A0E6}" id="{F678E52A-0452-4D97-A36F-6E533FDD2D29}" done="1">
    <text>α_SmoothCopper = 8.686 x R' / 2 Zo , where R' is TL resistance per unit length</text>
  </threadedComment>
  <threadedComment ref="AK15" dT="2024-10-03T21:19:16.88" personId="{685DAF9C-7E69-437C-B66A-60F972D4A0E6}" id="{E5573892-4454-44B8-9D55-F3B175BBE1B4}" done="1">
    <text>δs = sqrt(2/(σωµ))</text>
  </threadedComment>
  <threadedComment ref="AB16" dT="2024-10-03T21:15:26.41" personId="{685DAF9C-7E69-437C-B66A-60F972D4A0E6}" id="{737C9ECB-3F8B-44FC-8859-7983153941A3}" done="1">
    <text>α_RoughCopper = α_SmoothCopper * ( 1 + (2/π)* tan-1{1.4*(Δ/δs)^2}]</text>
  </threadedComment>
  <threadedComment ref="AK16" dT="2024-10-03T21:19:31.59" personId="{685DAF9C-7E69-437C-B66A-60F972D4A0E6}" id="{4DC5EA6A-5255-4BD6-A298-0FAE9172B0A3}" done="1">
    <text>R' = Rstrip + Rgnd = 1/(σ δs W) + 0.15/(σ δs W)</text>
  </threadedComment>
  <threadedComment ref="AB17" dT="2024-10-03T21:15:37.11" personId="{685DAF9C-7E69-437C-B66A-60F972D4A0E6}" id="{0352E7A0-5B3E-4D7B-8146-F2FEA717A90F}" done="1">
    <text>α_Total = α_Dielectric + α_RoughCopper</text>
  </threadedComment>
  <threadedComment ref="AK17" dT="2024-10-03T21:20:00.73" personId="{685DAF9C-7E69-437C-B66A-60F972D4A0E6}" id="{06BB6BC3-3D01-4E3C-9BFC-1404A62D247F}" done="1">
    <text>Zdiff=2*Zo*(1-.347*(EXP(-2.9*(S/H)))), where Zo=60/SQRT(Er)*LN(1.9*(2*H+T)/(0.8*W+T))</text>
  </threadedComment>
  <threadedComment ref="S20" dT="2025-08-03T22:09:57.04" personId="{685DAF9C-7E69-437C-B66A-60F972D4A0E6}" id="{7C03C94C-AC7E-435E-B504-80A9E86B7DFB}" done="1">
    <text>Non-physical values for calculations</text>
  </threadedComment>
  <threadedComment ref="AK20" dT="2024-10-03T21:19:16.88" personId="{685DAF9C-7E69-437C-B66A-60F972D4A0E6}" id="{5091EEAE-86CB-4E54-8EEE-E97C8E78C8BD}" done="1">
    <text>δs = sqrt(2/(σωµ))</text>
  </threadedComment>
  <threadedComment ref="S21" dT="2025-08-03T22:09:47.13" personId="{685DAF9C-7E69-437C-B66A-60F972D4A0E6}" id="{84FF5E3F-8692-48A8-85CB-1D86BBFD759D}" done="1">
    <text>Non-physical values for calculations</text>
  </threadedComment>
  <threadedComment ref="AK21" dT="2024-10-03T21:19:31.59" personId="{685DAF9C-7E69-437C-B66A-60F972D4A0E6}" id="{1B17BAF3-4CA2-4846-8C10-3A7A9F47307C}" done="1">
    <text>R' = Rstrip + Rgnd = 1/(σ δs W) + 0.15/(σ δs W)</text>
  </threadedComment>
  <threadedComment ref="AK22" dT="2024-10-03T21:20:00.73" personId="{685DAF9C-7E69-437C-B66A-60F972D4A0E6}" id="{7A12ABDE-7C38-484D-BE36-FAEB7C8EBB7A}" done="1">
    <text>Zdiff=2*Zo*(1-.347*(EXP(-2.9*(S/H)))), where Zo=60/SQRT(Er)*LN(1.9*(2*H+T)/(0.8*W+T))</text>
  </threadedComment>
</ThreadedComments>
</file>

<file path=xl/threadedComments/threadedComment3.xml><?xml version="1.0" encoding="utf-8"?>
<ThreadedComments xmlns="http://schemas.microsoft.com/office/spreadsheetml/2018/threadedcomments" xmlns:x="http://schemas.openxmlformats.org/spreadsheetml/2006/main">
  <threadedComment ref="I10" dT="2024-12-05T15:13:02.78" personId="{685DAF9C-7E69-437C-B66A-60F972D4A0E6}" id="{C8FE7440-0420-409F-9374-AD6A4D035A5B}">
    <text>Dielectric thickness between two layers. 
The total stripline thickness will be 2x Dielectric thickness + Metal thickness</text>
  </threadedComment>
  <threadedComment ref="I11" dT="2024-12-05T15:13:13.84" personId="{685DAF9C-7E69-437C-B66A-60F972D4A0E6}" id="{BDEFA282-4FC6-4C16-80DA-97FF687FE297}">
    <text>Copper layer thickness</text>
  </threadedComment>
  <threadedComment ref="I12" dT="2024-12-05T15:13:31.26" personId="{685DAF9C-7E69-437C-B66A-60F972D4A0E6}" id="{757D7229-ED0E-403C-9B91-EC8323DE9DF1}">
    <text>Stripline width</text>
  </threadedComment>
  <threadedComment ref="J12" dT="2025-08-05T13:53:05.35" personId="{685DAF9C-7E69-437C-B66A-60F972D4A0E6}" id="{9224D621-678C-4AEE-97EF-9F9D9FE9EBF0}">
    <text>Varying width against thickness results in highest w/b change (maximum impedance spread)</text>
  </threadedComment>
  <threadedComment ref="I13" dT="2024-12-05T15:13:42.82" personId="{685DAF9C-7E69-437C-B66A-60F972D4A0E6}" id="{59B884E1-980C-4BF0-8480-00E020DBB547}">
    <text>Stripline spacing</text>
  </threadedComment>
  <threadedComment ref="J13" dT="2025-08-05T13:52:19.68" personId="{685DAF9C-7E69-437C-B66A-60F972D4A0E6}" id="{42BFCF5A-A849-474F-9E69-D7E58858FB6E}">
    <text>Spacing varies opposite to the variation in width</text>
  </threadedComment>
  <threadedComment ref="G21" dT="2024-10-03T21:19:16.88" personId="{685DAF9C-7E69-437C-B66A-60F972D4A0E6}" id="{0D66DBD8-5FFD-46A3-AFFD-2363FA67FD74}" done="1">
    <text>Skin depth:
δs = sqrt(2/(σωµ))</text>
  </threadedComment>
  <threadedComment ref="Q21" dT="2024-10-03T21:19:16.88" personId="{685DAF9C-7E69-437C-B66A-60F972D4A0E6}" id="{F048686A-3552-4DBD-8CEE-923796B51BEA}" done="1">
    <text>Skin depth:
δs = sqrt(2/(σωµ))</text>
  </threadedComment>
  <threadedComment ref="AA21" dT="2024-10-03T21:19:16.88" personId="{685DAF9C-7E69-437C-B66A-60F972D4A0E6}" id="{48459580-64F6-48E9-ACDB-1F74D0F0C36E}" done="1">
    <text>Skin depth:
δs = sqrt(2/(σωµ))</text>
  </threadedComment>
  <threadedComment ref="AK21" dT="2024-10-03T21:19:16.88" personId="{685DAF9C-7E69-437C-B66A-60F972D4A0E6}" id="{9968988F-EAA6-4AC5-8560-C93E0DFB6B3E}" done="1">
    <text>Skin depth:
δs = sqrt(2/(σωµ))</text>
  </threadedComment>
  <threadedComment ref="AT21" dT="2024-10-03T21:19:16.88" personId="{685DAF9C-7E69-437C-B66A-60F972D4A0E6}" id="{00F413B5-2599-4780-9E1A-63DDBFCEA0D7}" done="1">
    <text>Skin depth:
δs = sqrt(2/(σωµ))</text>
  </threadedComment>
  <threadedComment ref="G22" dT="2024-10-03T21:19:31.59" personId="{685DAF9C-7E69-437C-B66A-60F972D4A0E6}" id="{8847C0B6-D618-463A-B9BB-8B6539361E1B}">
    <text>Smooth Modal Resistance
V. K. TRIPATHI, “Loss Calculations for Coupled Transmission-Line Structures”
When using a 2D Field Solver, Rsmooth can be calculated as follows:
Rsmooth = -α_SmoothMetal (Np/m) *(2*Zo)</text>
  </threadedComment>
  <threadedComment ref="Q22" dT="2024-10-03T21:19:31.59" personId="{685DAF9C-7E69-437C-B66A-60F972D4A0E6}" id="{554126D0-3C50-44E0-BFAC-43063A3CF2DC}">
    <text>Smooth Modal Resistance
V. K. TRIPATHI, “Loss Calculations for Coupled Transmission-Line Structures”
When using a 2D Field Solver, Rsmooth can be calculated as follows:
Rsmooth = -α_SmoothMetal (Np/m) *(2*Zo)</text>
  </threadedComment>
  <threadedComment ref="AA22" dT="2024-10-03T21:19:31.59" personId="{685DAF9C-7E69-437C-B66A-60F972D4A0E6}" id="{8AE41A95-7322-4F74-8020-CBE7DFF3938F}">
    <text>Smooth Modal Resistance
V. K. TRIPATHI, “Loss Calculations for Coupled Transmission-Line Structures”
When using a 2D Field Solver, Rsmooth can be calculated as follows:
Rsmooth = -α_SmoothMetal (Np/m) *(2*Zo)</text>
  </threadedComment>
  <threadedComment ref="AK22" dT="2024-10-03T21:19:31.59" personId="{685DAF9C-7E69-437C-B66A-60F972D4A0E6}" id="{FABA4C35-8EE2-4BCD-9425-8E0CA98AED06}">
    <text>Smooth Modal Resistance
V. K. TRIPATHI, “Loss Calculations for Coupled Transmission-Line Structures”
When using a 2D Field Solver, Rsmooth can be calculated as follows:
Rsmooth = -α_SmoothMetal (Np/m) *(2*Zo)</text>
  </threadedComment>
  <threadedComment ref="AT22" dT="2024-10-03T21:19:31.59" personId="{685DAF9C-7E69-437C-B66A-60F972D4A0E6}" id="{8873DCD8-07F7-46BA-A684-B0671D9DC4C1}">
    <text>Smooth Modal Resistance
V. K. TRIPATHI, “Loss Calculations for Coupled Transmission-Line Structures”
When using a 2D Field Solver, Rsmooth can be calculated as follows:
Rsmooth = -α_SmoothMetal (Np/m) *(2*Zo)</text>
  </threadedComment>
  <threadedComment ref="G23" dT="2024-10-03T21:19:31.59" personId="{685DAF9C-7E69-437C-B66A-60F972D4A0E6}" id="{6B99F527-006F-4B6E-ABBA-954D92B2EFFE}">
    <text xml:space="preserve">Smooth Modal Resistance
V. K. TRIPATHI, “Loss Calculations for Coupled Transmission-Line Structures”
When using a 2D Field Solver, Rsmooth can be calculated as follows:
Rsmooth = -α_SmoothMetal (Np/m) *(2*Zo)
</text>
  </threadedComment>
  <threadedComment ref="Q23" dT="2024-10-03T21:19:31.59" personId="{685DAF9C-7E69-437C-B66A-60F972D4A0E6}" id="{C339198E-8CEA-40B5-8D70-E31E03AE5A28}">
    <text xml:space="preserve">Smooth Modal Resistance
V. K. TRIPATHI, “Loss Calculations for Coupled Transmission-Line Structures”
When using a 2D Field Solver, Rsmooth can be calculated as follows:
Rsmooth = -α_SmoothMetal (Np/m) *(2*Zo)
</text>
  </threadedComment>
  <threadedComment ref="AA23" dT="2024-10-03T21:19:31.59" personId="{685DAF9C-7E69-437C-B66A-60F972D4A0E6}" id="{B36CD01E-5559-42FD-B777-6C8A50A56046}">
    <text xml:space="preserve">Smooth Modal Resistance
V. K. TRIPATHI, “Loss Calculations for Coupled Transmission-Line Structures”
When using a 2D Field Solver, Rsmooth can be calculated as follows:
Rsmooth = -α_SmoothMetal (Np/m) *(2*Zo)
</text>
  </threadedComment>
  <threadedComment ref="AK23" dT="2024-10-03T21:19:31.59" personId="{685DAF9C-7E69-437C-B66A-60F972D4A0E6}" id="{40BF8A96-EA06-4623-95C2-F1655F68CAB8}">
    <text xml:space="preserve">Smooth Modal Resistance
V. K. TRIPATHI, “Loss Calculations for Coupled Transmission-Line Structures”
When using a 2D Field Solver, Rsmooth can be calculated as follows:
Rsmooth = -α_SmoothMetal (Np/m) *(2*Zo)
</text>
  </threadedComment>
  <threadedComment ref="AT23" dT="2024-10-03T21:19:31.59" personId="{685DAF9C-7E69-437C-B66A-60F972D4A0E6}" id="{0213F5F4-5CB9-4696-981A-8BCD9A2CD407}">
    <text xml:space="preserve">Smooth Modal Resistance
V. K. TRIPATHI, “Loss Calculations for Coupled Transmission-Line Structures”
When using a 2D Field Solver, Rsmooth can be calculated as follows:
Rsmooth = -α_SmoothMetal (Np/m) *(2*Zo)
</text>
  </threadedComment>
  <threadedComment ref="G24" dT="2025-07-30T22:57:41.68" personId="{685DAF9C-7E69-437C-B66A-60F972D4A0E6}" id="{D8690BE7-EB61-42B6-B0FD-0154751C4168}">
    <text>S. B. COHN “Shielded Coupled Strip Transmission Line” formulae are the most accurate
Can be obtained directly from 2D Field Solvers</text>
  </threadedComment>
  <threadedComment ref="Q24" dT="2025-07-30T22:57:41.68" personId="{685DAF9C-7E69-437C-B66A-60F972D4A0E6}" id="{40FBB3EA-7E64-4A92-9C11-61A5BCC32D54}">
    <text>S. B. COHN “Shielded Coupled Strip Transmission Line” formulae are the most accurate
Can be obtained directly from 2D Field Solvers</text>
  </threadedComment>
  <threadedComment ref="AA24" dT="2025-07-30T22:57:41.68" personId="{685DAF9C-7E69-437C-B66A-60F972D4A0E6}" id="{94A40237-3424-4493-862A-FD3654843AB6}">
    <text>S. B. COHN “Shielded Coupled Strip Transmission Line” formulae are the most accurate
Can be obtained directly from 2D Field Solvers</text>
  </threadedComment>
  <threadedComment ref="AK24" dT="2025-07-30T22:57:41.68" personId="{685DAF9C-7E69-437C-B66A-60F972D4A0E6}" id="{3AC8A3A6-7F78-4EA8-AFA6-018837D176D9}">
    <text>S. B. COHN “Shielded Coupled Strip Transmission Line” formulae are the most accurate
Can be obtained directly from 2D Field Solvers</text>
  </threadedComment>
  <threadedComment ref="AT24" dT="2025-07-30T22:57:41.68" personId="{685DAF9C-7E69-437C-B66A-60F972D4A0E6}" id="{B93E279A-54A5-4501-8CEA-AF26D6AB5FC4}">
    <text>S. B. COHN “Shielded Coupled Strip Transmission Line” formulae are the most accurate
Can be obtained directly from 2D Field Solvers</text>
  </threadedComment>
  <threadedComment ref="G25" dT="2025-07-21T16:44:17.87" personId="{685DAF9C-7E69-437C-B66A-60F972D4A0E6}" id="{0F85E63F-9555-4BC5-A2A2-C172AADE47FC}">
    <text xml:space="preserve">S. B. COHN “Shielded Coupled Strip Transmission Line” formulae are the most accurate
Can be obtained directly from 2D Field Solvers
</text>
  </threadedComment>
  <threadedComment ref="Q25" dT="2025-07-21T16:44:17.87" personId="{685DAF9C-7E69-437C-B66A-60F972D4A0E6}" id="{2B997482-0A50-4D95-9A86-7DE8B1BD3B43}">
    <text xml:space="preserve">S. B. COHN “Shielded Coupled Strip Transmission Line” formulae are the most accurate
Can be obtained directly from 2D Field Solvers
</text>
  </threadedComment>
  <threadedComment ref="AA25" dT="2025-07-21T16:44:17.87" personId="{685DAF9C-7E69-437C-B66A-60F972D4A0E6}" id="{0FF218BF-7213-4CD8-9214-FE8495101345}">
    <text xml:space="preserve">S. B. COHN “Shielded Coupled Strip Transmission Line” formulae are the most accurate
Can be obtained directly from 2D Field Solvers
</text>
  </threadedComment>
  <threadedComment ref="AK25" dT="2025-07-21T16:44:17.87" personId="{685DAF9C-7E69-437C-B66A-60F972D4A0E6}" id="{4F4FEF6C-47E8-4FA0-A45D-C7D50C8CCE9C}">
    <text xml:space="preserve">S. B. COHN “Shielded Coupled Strip Transmission Line” formulae are the most accurate
Can be obtained directly from 2D Field Solvers
</text>
  </threadedComment>
  <threadedComment ref="AT25" dT="2025-07-21T16:44:17.87" personId="{685DAF9C-7E69-437C-B66A-60F972D4A0E6}" id="{38F41EA5-49BF-4277-A474-D1155689B7E1}">
    <text xml:space="preserve">S. B. COHN “Shielded Coupled Strip Transmission Line” formulae are the most accurate
Can be obtained directly from 2D Field Solvers
</text>
  </threadedComment>
  <threadedComment ref="G26" dT="2025-07-09T16:25:04.12" personId="{685DAF9C-7E69-437C-B66A-60F972D4A0E6}" id="{E26D55FB-8EDC-4BB9-89FB-CC7D287318E3}" done="1">
    <text>Differential Mode Impedance
Zdd = 2 * Zo_odd</text>
  </threadedComment>
  <threadedComment ref="Q26" dT="2025-07-09T16:25:04.12" personId="{685DAF9C-7E69-437C-B66A-60F972D4A0E6}" id="{AEAE8AB1-7F6E-4C90-AAB8-609060597342}" done="1">
    <text>Differential Mode Impedance
Zdd = 2 * Zo_odd</text>
  </threadedComment>
  <threadedComment ref="AA26" dT="2025-07-09T16:25:04.12" personId="{685DAF9C-7E69-437C-B66A-60F972D4A0E6}" id="{48A9307A-8502-4A32-829A-57FF999043FB}" done="1">
    <text>Differential Mode Impedance
Zdd = 2 * Zo_odd</text>
  </threadedComment>
  <threadedComment ref="AK26" dT="2025-07-09T16:25:04.12" personId="{685DAF9C-7E69-437C-B66A-60F972D4A0E6}" id="{DFE9F9DF-CD8F-4AC3-8724-1DFDADEE50D4}" done="1">
    <text>Differential Mode Impedance
Zdd = 2 * Zo_odd</text>
  </threadedComment>
  <threadedComment ref="AT26" dT="2025-07-09T16:25:04.12" personId="{685DAF9C-7E69-437C-B66A-60F972D4A0E6}" id="{9B902C00-06DA-4801-B185-044AC8920497}" done="1">
    <text>Differential Mode Impedance
Zdd = 2 * Zo_odd</text>
  </threadedComment>
  <threadedComment ref="G27" dT="2025-07-09T16:24:54.06" personId="{685DAF9C-7E69-437C-B66A-60F972D4A0E6}" id="{F4203015-7272-4D16-8417-724546D1909E}" done="1">
    <text>Common Mode Impedance
Zcc = Zo_even / 2</text>
  </threadedComment>
  <threadedComment ref="Q27" dT="2025-07-09T16:24:54.06" personId="{685DAF9C-7E69-437C-B66A-60F972D4A0E6}" id="{3C8B2DE5-1F43-4ECC-A697-35504898CE63}" done="1">
    <text>Common Mode Impedance
Zcc = Zo_even / 2</text>
  </threadedComment>
  <threadedComment ref="AA27" dT="2025-07-09T16:24:54.06" personId="{685DAF9C-7E69-437C-B66A-60F972D4A0E6}" id="{FE34E6EC-3ADF-4CA7-8FA1-49C0538021D1}" done="1">
    <text>Common Mode Impedance
Zcc = Zo_even / 2</text>
  </threadedComment>
  <threadedComment ref="AK27" dT="2025-07-09T16:24:54.06" personId="{685DAF9C-7E69-437C-B66A-60F972D4A0E6}" id="{BB1A52BC-B465-465C-808E-0DC0C00E84AF}" done="1">
    <text>Common Mode Impedance
Zcc = Zo_even / 2</text>
  </threadedComment>
  <threadedComment ref="AT27" dT="2025-07-09T16:24:54.06" personId="{685DAF9C-7E69-437C-B66A-60F972D4A0E6}" id="{29975825-FF7F-4608-92FF-E928D376A01B}" done="1">
    <text>Common Mode Impedance
Zcc = Zo_even / 2</text>
  </threadedComment>
  <threadedComment ref="G28" dT="2025-07-09T16:24:33.16" personId="{685DAF9C-7E69-437C-B66A-60F972D4A0E6}" id="{2F14EF28-41DD-4F4C-9F6E-369E8928C1BB}" done="1">
    <text>Single-ended impedance
Zs = (Zo_even + Zo_odd) / 2</text>
  </threadedComment>
  <threadedComment ref="Q28" dT="2025-07-09T16:24:33.16" personId="{685DAF9C-7E69-437C-B66A-60F972D4A0E6}" id="{2F20AEBF-2E46-4FB4-926A-1C5E6CBEF904}" done="1">
    <text>Single-ended impedance
Zs = (Zo_even + Zo_odd) / 2</text>
  </threadedComment>
  <threadedComment ref="AA28" dT="2025-07-09T16:24:33.16" personId="{685DAF9C-7E69-437C-B66A-60F972D4A0E6}" id="{DF2CE172-4BDF-47D4-B3E2-0CB30C9DEB4C}" done="1">
    <text>Single-ended impedance
Zs = (Zo_even + Zo_odd) / 2</text>
  </threadedComment>
  <threadedComment ref="AK28" dT="2025-07-09T16:24:33.16" personId="{685DAF9C-7E69-437C-B66A-60F972D4A0E6}" id="{176092A6-651B-47F7-BB47-05567A8B2D63}" done="1">
    <text>Single-ended impedance
Zs = (Zo_even + Zo_odd) / 2</text>
  </threadedComment>
  <threadedComment ref="AT28" dT="2025-07-09T16:24:33.16" personId="{685DAF9C-7E69-437C-B66A-60F972D4A0E6}" id="{626E5AF6-8AE9-4955-8932-B7A226381AE9}" done="1">
    <text>Single-ended impedance
Zs = (Zo_even + Zo_odd) / 2</text>
  </threadedComment>
  <threadedComment ref="G29" dT="2025-07-09T16:24:18.68" personId="{685DAF9C-7E69-437C-B66A-60F972D4A0E6}" id="{3CBA6190-B7EB-407D-A1DE-10293955C36A}" done="1">
    <text xml:space="preserve">Mutual Impedance
Zm = (Zo_even - Zo_odd) / 2
</text>
  </threadedComment>
  <threadedComment ref="Q29" dT="2025-07-09T16:24:18.68" personId="{685DAF9C-7E69-437C-B66A-60F972D4A0E6}" id="{464AE493-47FC-4463-8AB1-95EAA83E06B3}" done="1">
    <text xml:space="preserve">Mutual Impedance
Zm = (Zo_even - Zo_odd) / 2
</text>
  </threadedComment>
  <threadedComment ref="AA29" dT="2025-07-09T16:24:18.68" personId="{685DAF9C-7E69-437C-B66A-60F972D4A0E6}" id="{79CBC396-7E68-421D-912C-056D068D7A75}" done="1">
    <text xml:space="preserve">Mutual Impedance
Zm = (Zo_even - Zo_odd) / 2
</text>
  </threadedComment>
  <threadedComment ref="AK29" dT="2025-07-09T16:24:18.68" personId="{685DAF9C-7E69-437C-B66A-60F972D4A0E6}" id="{0C4AEFAA-FA28-4893-9B67-2CEEC3C4E937}" done="1">
    <text xml:space="preserve">Mutual Impedance
Zm = (Zo_even - Zo_odd) / 2
</text>
  </threadedComment>
  <threadedComment ref="AT29" dT="2025-07-09T16:24:18.68" personId="{685DAF9C-7E69-437C-B66A-60F972D4A0E6}" id="{B78D0F44-245F-44F4-9F06-64397D8C26A4}" done="1">
    <text xml:space="preserve">Mutual Impedance
Zm = (Zo_even - Zo_odd) / 2
</text>
  </threadedComment>
  <threadedComment ref="G30" dT="2025-07-09T16:23:58.74" personId="{685DAF9C-7E69-437C-B66A-60F972D4A0E6}" id="{A0B8D971-433E-4E6C-82AA-9D49C132BA45}" done="1">
    <text>Coupling coefficient
K = Zm / Zs</text>
  </threadedComment>
  <threadedComment ref="Q30" dT="2025-07-09T16:23:58.74" personId="{685DAF9C-7E69-437C-B66A-60F972D4A0E6}" id="{6AFDC6DB-623B-4AB4-A499-0D96371253C9}" done="1">
    <text>Coupling coefficient
K = Zm / Zs</text>
  </threadedComment>
  <threadedComment ref="AA30" dT="2025-07-09T16:23:58.74" personId="{685DAF9C-7E69-437C-B66A-60F972D4A0E6}" id="{E8F0D38F-164E-4E10-9777-27FD52570812}" done="1">
    <text>Coupling coefficient
K = Zm / Zs</text>
  </threadedComment>
  <threadedComment ref="AK30" dT="2025-07-09T16:23:58.74" personId="{685DAF9C-7E69-437C-B66A-60F972D4A0E6}" id="{BCB203CA-73FA-400D-86C4-C2EF47DCB398}" done="1">
    <text>Coupling coefficient
K = Zm / Zs</text>
  </threadedComment>
  <threadedComment ref="AT30" dT="2025-07-09T16:23:58.74" personId="{685DAF9C-7E69-437C-B66A-60F972D4A0E6}" id="{DF8D244B-DD61-4378-BB82-372C7117A0F8}" done="1">
    <text>Coupling coefficient
K = Zm / Zs</text>
  </threadedComment>
  <threadedComment ref="G31" dT="2025-07-09T17:00:49.73" personId="{685DAF9C-7E69-437C-B66A-60F972D4A0E6}" id="{2AE73630-B459-49BB-AF50-3EE2CAC0AA13}" done="1">
    <text>Near end xtalk
NEXT = =(Zo_even - Zo_odd) / (2 * (Zo_even + Zo_odd))</text>
  </threadedComment>
  <threadedComment ref="Q31" dT="2025-07-09T17:00:49.73" personId="{685DAF9C-7E69-437C-B66A-60F972D4A0E6}" id="{A2AFAEB3-2DC8-47C8-8832-2556491B34BE}" done="1">
    <text>Near end xtalk
NEXT = =(Zo_even - Zo_odd) / (2 * (Zo_even + Zo_odd))</text>
  </threadedComment>
  <threadedComment ref="AA31" dT="2025-07-09T17:00:49.73" personId="{685DAF9C-7E69-437C-B66A-60F972D4A0E6}" id="{0002AC27-DBF8-454D-B07E-F963FE2CCCC8}" done="1">
    <text>Near end xtalk
NEXT = =(Zo_even - Zo_odd) / (2 * (Zo_even + Zo_odd))</text>
  </threadedComment>
  <threadedComment ref="AK31" dT="2025-07-09T17:00:49.73" personId="{685DAF9C-7E69-437C-B66A-60F972D4A0E6}" id="{F4853D75-1C56-48C1-8234-F2FAE59FB0BF}" done="1">
    <text>Near end xtalk
NEXT = =(Zo_even - Zo_odd) / (2 * (Zo_even + Zo_odd))</text>
  </threadedComment>
  <threadedComment ref="AT31" dT="2025-07-09T17:00:49.73" personId="{685DAF9C-7E69-437C-B66A-60F972D4A0E6}" id="{468CB707-FD57-4DAF-BD0A-D13BF1D275C7}" done="1">
    <text>Near end xtalk
NEXT = =(Zo_even - Zo_odd) / (2 * (Zo_even + Zo_odd))</text>
  </threadedComment>
  <threadedComment ref="G32" dT="2025-07-21T23:19:42.04" personId="{685DAF9C-7E69-437C-B66A-60F972D4A0E6}" id="{E8262ECB-A2A2-471C-AE26-1E58990591BA}" done="1">
    <text>Vp = 1 / sqrt (Dk_avg)</text>
  </threadedComment>
  <threadedComment ref="Q32" dT="2025-07-21T23:19:42.04" personId="{685DAF9C-7E69-437C-B66A-60F972D4A0E6}" id="{1DA27AFB-89CA-4AFB-841F-465314394044}" done="1">
    <text>Vp = 1 / sqrt (Dk_avg)</text>
  </threadedComment>
  <threadedComment ref="AA32" dT="2025-07-21T23:19:42.04" personId="{685DAF9C-7E69-437C-B66A-60F972D4A0E6}" id="{EF92BE7B-0DD2-485F-B83D-23547C5CFE28}" done="1">
    <text>Vp = 1 / sqrt (Dk_avg)</text>
  </threadedComment>
  <threadedComment ref="AK32" dT="2025-07-21T23:19:42.04" personId="{685DAF9C-7E69-437C-B66A-60F972D4A0E6}" id="{1DBF8A4D-B3EE-4A8A-B37A-559660079114}" done="1">
    <text>Vp = 1 / sqrt (Dk_avg)</text>
  </threadedComment>
  <threadedComment ref="AT32" dT="2025-07-21T23:19:42.04" personId="{685DAF9C-7E69-437C-B66A-60F972D4A0E6}" id="{91E08C86-2A90-44C3-8D33-870127EC988F}" done="1">
    <text>Vp = 1 / sqrt (Dk_avg)</text>
  </threadedComment>
  <threadedComment ref="G34" dT="2024-10-03T21:14:12.65" personId="{685DAF9C-7E69-437C-B66A-60F972D4A0E6}" id="{7C89AF06-A7B1-4E39-ACDF-4DBF2E5A3F3A}" done="1">
    <text>α_Dielectric = 91.02 x sqrt(ɛr) x FGHz x DF</text>
  </threadedComment>
  <threadedComment ref="Q34" dT="2024-10-03T21:14:12.65" personId="{685DAF9C-7E69-437C-B66A-60F972D4A0E6}" id="{CE451F0C-7631-4D5D-9607-18FD13C2EED6}" done="1">
    <text>α_Dielectric = 91.02 x sqrt(ɛr) x FGHz x DF</text>
  </threadedComment>
  <threadedComment ref="AA34" dT="2024-10-03T21:14:12.65" personId="{685DAF9C-7E69-437C-B66A-60F972D4A0E6}" id="{FDC31151-7DE0-48AD-BDBF-4F4FE9B6C7D8}" done="1">
    <text>α_Dielectric = 91.02 x sqrt(ɛr) x FGHz x DF</text>
  </threadedComment>
  <threadedComment ref="AK34" dT="2024-10-03T21:14:12.65" personId="{685DAF9C-7E69-437C-B66A-60F972D4A0E6}" id="{3B37DB34-4AB3-491E-9F29-8AACC0DBCFDD}" done="1">
    <text>α_Dielectric = 91.02 x sqrt(ɛr) x FGHz x DF</text>
  </threadedComment>
  <threadedComment ref="AT34" dT="2024-10-03T21:14:12.65" personId="{685DAF9C-7E69-437C-B66A-60F972D4A0E6}" id="{326ACA88-6FB8-4379-B61E-3081A68E7E04}" done="1">
    <text>α_Dielectric = 91.02 x sqrt(ɛr) x FGHz x DF</text>
  </threadedComment>
  <threadedComment ref="G35" dT="2024-10-03T21:15:07.76" personId="{685DAF9C-7E69-437C-B66A-60F972D4A0E6}" id="{5C310CF5-5A72-4D0F-8B67-1687BA8F5205}" done="1">
    <text>α_SmoothCopper = 8.686 x R' / 2 Zo , where R' is TL resistance per unit length</text>
  </threadedComment>
  <threadedComment ref="Q35" dT="2024-10-03T21:15:07.76" personId="{685DAF9C-7E69-437C-B66A-60F972D4A0E6}" id="{C84A9F51-778B-49ED-BD5A-93B5385E46CF}" done="1">
    <text>α_SmoothCopper = 8.686 x R' / 2 Zo , where R' is TL resistance per unit length</text>
  </threadedComment>
  <threadedComment ref="AA35" dT="2024-10-03T21:15:07.76" personId="{685DAF9C-7E69-437C-B66A-60F972D4A0E6}" id="{91A6A19B-3EF5-44A3-AB4C-2AEC168ED026}" done="1">
    <text>α_SmoothCopper = 8.686 x R' / 2 Zo , where R' is TL resistance per unit length</text>
  </threadedComment>
  <threadedComment ref="AK35" dT="2024-10-03T21:15:07.76" personId="{685DAF9C-7E69-437C-B66A-60F972D4A0E6}" id="{BA46BAF0-6D63-42E4-B64F-195EB7C51928}" done="1">
    <text>α_SmoothCopper = 8.686 x R' / 2 Zo , where R' is TL resistance per unit length</text>
  </threadedComment>
  <threadedComment ref="AT35" dT="2024-10-03T21:15:07.76" personId="{685DAF9C-7E69-437C-B66A-60F972D4A0E6}" id="{3727A097-024F-4764-B025-AA48237D25CA}" done="1">
    <text>α_SmoothCopper = 8.686 x R' / 2 Zo , where R' is TL resistance per unit length</text>
  </threadedComment>
  <threadedComment ref="G36" dT="2024-10-03T21:15:07.76" personId="{685DAF9C-7E69-437C-B66A-60F972D4A0E6}" id="{A73BB402-7BC6-431A-B42B-E3AD8751124A}" done="1">
    <text>α_SmoothCopper = 8.686 x R' / 2 Zo , where R' is TL resistance per unit length</text>
  </threadedComment>
  <threadedComment ref="Q36" dT="2024-10-03T21:15:07.76" personId="{685DAF9C-7E69-437C-B66A-60F972D4A0E6}" id="{C780A178-2B93-4ED4-8205-74C8B29F6F9F}" done="1">
    <text>α_SmoothCopper = 8.686 x R' / 2 Zo , where R' is TL resistance per unit length</text>
  </threadedComment>
  <threadedComment ref="AA36" dT="2024-10-03T21:15:07.76" personId="{685DAF9C-7E69-437C-B66A-60F972D4A0E6}" id="{E28FF6D4-5161-4D05-B2A5-BA4801D69742}" done="1">
    <text>α_SmoothCopper = 8.686 x R' / 2 Zo , where R' is TL resistance per unit length</text>
  </threadedComment>
  <threadedComment ref="AK36" dT="2024-10-03T21:15:07.76" personId="{685DAF9C-7E69-437C-B66A-60F972D4A0E6}" id="{4EB7CBC7-514A-484F-9DBD-736E9F5ED607}" done="1">
    <text>α_SmoothCopper = 8.686 x R' / 2 Zo , where R' is TL resistance per unit length</text>
  </threadedComment>
  <threadedComment ref="AT36" dT="2024-10-03T21:15:07.76" personId="{685DAF9C-7E69-437C-B66A-60F972D4A0E6}" id="{E9240158-8E81-4E65-8DCB-DDBB39B87A64}" done="1">
    <text>α_SmoothCopper = 8.686 x R' / 2 Zo , where R' is TL resistance per unit length</text>
  </threadedComment>
  <threadedComment ref="G37" dT="2024-10-03T21:15:26.41" personId="{685DAF9C-7E69-437C-B66A-60F972D4A0E6}" id="{36A087D8-24F4-48BC-B043-0949104B9CA9}" done="1">
    <text>α_RoughCopper = α_SmoothCopper * ( 1 + (2/π)* tan-1{1.4*(Δ/δs)^2}]</text>
  </threadedComment>
  <threadedComment ref="Q37" dT="2024-10-03T21:15:26.41" personId="{685DAF9C-7E69-437C-B66A-60F972D4A0E6}" id="{120CF7F6-287B-40CD-B3EA-43EEF290AAC0}" done="1">
    <text>α_RoughCopper = α_SmoothCopper * ( 1 + (2/π)* tan-1{1.4*(Δ/δs)^2}]</text>
  </threadedComment>
  <threadedComment ref="AA37" dT="2024-10-03T21:15:26.41" personId="{685DAF9C-7E69-437C-B66A-60F972D4A0E6}" id="{952DFFD5-1BFF-4B7C-ABCE-ECF1A356D982}" done="1">
    <text>α_RoughCopper = α_SmoothCopper * ( 1 + (2/π)* tan-1{1.4*(Δ/δs)^2}]</text>
  </threadedComment>
  <threadedComment ref="AK37" dT="2024-10-03T21:15:26.41" personId="{685DAF9C-7E69-437C-B66A-60F972D4A0E6}" id="{FDA96B15-6C91-4FB7-9BAE-72E0C11DD66D}" done="1">
    <text>α_RoughCopper = α_SmoothCopper * ( 1 + (2/π)* tan-1{1.4*(Δ/δs)^2}]</text>
  </threadedComment>
  <threadedComment ref="AT37" dT="2024-10-03T21:15:26.41" personId="{685DAF9C-7E69-437C-B66A-60F972D4A0E6}" id="{65DFD6BC-3E24-4850-A8A3-BD74BD9C1A00}" done="1">
    <text>α_RoughCopper = α_SmoothCopper * ( 1 + (2/π)* tan-1{1.4*(Δ/δs)^2}]</text>
  </threadedComment>
  <threadedComment ref="G38" dT="2024-10-03T21:15:26.41" personId="{685DAF9C-7E69-437C-B66A-60F972D4A0E6}" id="{1BFA3AB4-CC3C-4184-A1F3-B68A5CF4B03C}" done="1">
    <text>α_RoughCopper = α_SmoothCopper * ( 1 + (2/π)* tan-1{1.4*(Δ/δs)^2}]</text>
  </threadedComment>
  <threadedComment ref="Q38" dT="2024-10-03T21:15:26.41" personId="{685DAF9C-7E69-437C-B66A-60F972D4A0E6}" id="{6325841D-8858-45C4-A322-F22B3C4207A9}" done="1">
    <text>α_RoughCopper = α_SmoothCopper * ( 1 + (2/π)* tan-1{1.4*(Δ/δs)^2}]</text>
  </threadedComment>
  <threadedComment ref="AA38" dT="2024-10-03T21:15:26.41" personId="{685DAF9C-7E69-437C-B66A-60F972D4A0E6}" id="{FCDA78A3-D3B2-4295-92DE-E52687E8673C}" done="1">
    <text>α_RoughCopper = α_SmoothCopper * ( 1 + (2/π)* tan-1{1.4*(Δ/δs)^2}]</text>
  </threadedComment>
  <threadedComment ref="AK38" dT="2024-10-03T21:15:26.41" personId="{685DAF9C-7E69-437C-B66A-60F972D4A0E6}" id="{4305407D-02CB-4157-9F98-C8C30E7CCFB1}" done="1">
    <text>α_RoughCopper = α_SmoothCopper * ( 1 + (2/π)* tan-1{1.4*(Δ/δs)^2}]</text>
  </threadedComment>
  <threadedComment ref="AT38" dT="2024-10-03T21:15:26.41" personId="{685DAF9C-7E69-437C-B66A-60F972D4A0E6}" id="{988A90FF-959B-4DED-BA90-BB0BA399FC5D}" done="1">
    <text>α_RoughCopper = α_SmoothCopper * ( 1 + (2/π)* tan-1{1.4*(Δ/δs)^2}]</text>
  </threadedComment>
  <threadedComment ref="G39" dT="2024-10-03T21:15:37.11" personId="{685DAF9C-7E69-437C-B66A-60F972D4A0E6}" id="{4EC33614-5A5D-4C2A-B75E-3632354F74AA}" done="1">
    <text>α_Total = α_Dielectric + α_RoughCopper</text>
  </threadedComment>
  <threadedComment ref="Q39" dT="2024-10-03T21:15:37.11" personId="{685DAF9C-7E69-437C-B66A-60F972D4A0E6}" id="{4F852D08-6F22-498B-8C0E-6D001D8859A6}" done="1">
    <text>α_Total = α_Dielectric + α_RoughCopper</text>
  </threadedComment>
  <threadedComment ref="AA39" dT="2024-10-03T21:15:37.11" personId="{685DAF9C-7E69-437C-B66A-60F972D4A0E6}" id="{EF39C9A8-D6CF-4870-B826-9551F5D535D0}" done="1">
    <text>α_Total = α_Dielectric + α_RoughCopper</text>
  </threadedComment>
  <threadedComment ref="AK39" dT="2024-10-03T21:15:37.11" personId="{685DAF9C-7E69-437C-B66A-60F972D4A0E6}" id="{16833830-06DD-4D7D-A031-F5893C9A7C7D}" done="1">
    <text>α_Total = α_Dielectric + α_RoughCopper</text>
  </threadedComment>
  <threadedComment ref="AT39" dT="2024-10-03T21:15:37.11" personId="{685DAF9C-7E69-437C-B66A-60F972D4A0E6}" id="{71880B28-0674-4A0C-83D3-73FC94FCBB3E}" done="1">
    <text>α_Total = α_Dielectric + α_RoughCopper</text>
  </threadedComment>
  <threadedComment ref="G40" dT="2024-10-03T21:15:37.11" personId="{685DAF9C-7E69-437C-B66A-60F972D4A0E6}" id="{B46B3D10-1B45-4DB5-B69C-34432F6335C0}" done="1">
    <text>α_Total = α_Dielectric + α_RoughCopper</text>
  </threadedComment>
  <threadedComment ref="Q40" dT="2024-10-03T21:15:37.11" personId="{685DAF9C-7E69-437C-B66A-60F972D4A0E6}" id="{7BCF1874-8B8A-48D2-AF92-B44612EE362D}" done="1">
    <text>α_Total = α_Dielectric + α_RoughCopper</text>
  </threadedComment>
  <threadedComment ref="AA40" dT="2024-10-03T21:15:37.11" personId="{685DAF9C-7E69-437C-B66A-60F972D4A0E6}" id="{E87AEB0E-E331-43F0-88BD-4DB3C79D9338}" done="1">
    <text>α_Total = α_Dielectric + α_RoughCopper</text>
  </threadedComment>
  <threadedComment ref="AK40" dT="2024-10-03T21:15:37.11" personId="{685DAF9C-7E69-437C-B66A-60F972D4A0E6}" id="{266C48C0-EFF2-4483-A370-B416CE39D99C}" done="1">
    <text>α_Total = α_Dielectric + α_RoughCopper</text>
  </threadedComment>
  <threadedComment ref="AT40" dT="2024-10-03T21:15:37.11" personId="{685DAF9C-7E69-437C-B66A-60F972D4A0E6}" id="{2FE623BB-4691-44DF-991D-0CA83CCAD223}" done="1">
    <text>α_Total = α_Dielectric + α_RoughCopper</text>
  </threadedComment>
  <threadedComment ref="G41" dT="2025-07-17T15:30:07.39" personId="{685DAF9C-7E69-437C-B66A-60F972D4A0E6}" id="{5B79CA8A-BABA-4E29-9AE7-7533A546A9AF}" done="1">
    <text>β_even/odd = ω / (Vp)</text>
  </threadedComment>
  <threadedComment ref="Q41" dT="2025-07-17T15:30:07.39" personId="{685DAF9C-7E69-437C-B66A-60F972D4A0E6}" id="{AF6EE1F3-3011-492C-9298-E7F3CD415AED}" done="1">
    <text>β_even/odd = ω / (Vp)</text>
  </threadedComment>
  <threadedComment ref="AA41" dT="2025-07-17T15:30:07.39" personId="{685DAF9C-7E69-437C-B66A-60F972D4A0E6}" id="{CA076A4F-A555-4C9B-8F10-00C267F0B134}" done="1">
    <text>β_even/odd = ω / (Vp)</text>
  </threadedComment>
  <threadedComment ref="AK41" dT="2025-07-17T15:30:07.39" personId="{685DAF9C-7E69-437C-B66A-60F972D4A0E6}" id="{FECE98CD-411A-41D0-96F8-F2C026DC45C3}" done="1">
    <text>β_even/odd = ω / (Vp)</text>
  </threadedComment>
  <threadedComment ref="AT41" dT="2025-07-17T15:30:07.39" personId="{685DAF9C-7E69-437C-B66A-60F972D4A0E6}" id="{3BFBEEA0-D72C-4E78-AF27-0BB9740237C3}" done="1">
    <text>β_even/odd = ω / (Vp)</text>
  </threadedComment>
  <threadedComment ref="G42" dT="2025-08-02T23:35:27.77" personId="{685DAF9C-7E69-437C-B66A-60F972D4A0E6}" id="{1E470473-20E2-4583-A0E4-B6557E078161}" done="1">
    <text>Even mode propagation constant:
γ_even + α_Total_even + j β</text>
  </threadedComment>
  <threadedComment ref="Q42" dT="2025-08-02T23:35:27.77" personId="{685DAF9C-7E69-437C-B66A-60F972D4A0E6}" id="{0EB280C8-258F-4B10-9B64-A0DFE0980463}" done="1">
    <text>Even mode propagation constant:
γ_even + α_Total_even + j β</text>
  </threadedComment>
  <threadedComment ref="AA42" dT="2025-08-02T23:35:27.77" personId="{685DAF9C-7E69-437C-B66A-60F972D4A0E6}" id="{A8DF8764-27B5-46C3-8B43-3BF1AAE40FEB}" done="1">
    <text>Even mode propagation constant:
γ_even + α_Total_even + j β</text>
  </threadedComment>
  <threadedComment ref="AK42" dT="2025-08-02T23:35:27.77" personId="{685DAF9C-7E69-437C-B66A-60F972D4A0E6}" id="{62C5F55C-D897-4CA8-BCC7-14A2AD6CC56C}" done="1">
    <text>Even mode propagation constant:
γ_even + α_Total_even + j β</text>
  </threadedComment>
  <threadedComment ref="AT42" dT="2025-08-02T23:35:27.77" personId="{685DAF9C-7E69-437C-B66A-60F972D4A0E6}" id="{AD5C7DB1-53C5-4060-BACA-6E66EA0B7409}" done="1">
    <text>Even mode propagation constant:
γ_even + α_Total_even + j β</text>
  </threadedComment>
  <threadedComment ref="G43" dT="2025-08-02T23:35:53.98" personId="{685DAF9C-7E69-437C-B66A-60F972D4A0E6}" id="{F4894BB2-A01B-448C-B0AD-0B61E2E169CE}" done="1">
    <text xml:space="preserve">Odd  mode propagation constant:
γ_odd + α_Total_odd + j β
</text>
  </threadedComment>
  <threadedComment ref="Q43" dT="2025-08-02T23:35:53.98" personId="{685DAF9C-7E69-437C-B66A-60F972D4A0E6}" id="{710FED22-A9B6-4312-92A1-1BC2F2884858}" done="1">
    <text xml:space="preserve">Odd  mode propagation constant:
γ_odd + α_Total_odd + j β
</text>
  </threadedComment>
  <threadedComment ref="AA43" dT="2025-08-02T23:35:53.98" personId="{685DAF9C-7E69-437C-B66A-60F972D4A0E6}" id="{672C5396-E669-4757-8C4F-B894C936C1EE}" done="1">
    <text xml:space="preserve">Odd  mode propagation constant:
γ_odd + α_Total_odd + j β
</text>
  </threadedComment>
  <threadedComment ref="AK43" dT="2025-08-02T23:35:53.98" personId="{685DAF9C-7E69-437C-B66A-60F972D4A0E6}" id="{3F30F503-B842-4E19-A9A5-F709A5DAF013}" done="1">
    <text xml:space="preserve">Odd  mode propagation constant:
γ_odd + α_Total_odd + j β
</text>
  </threadedComment>
  <threadedComment ref="AT43" dT="2025-08-02T23:35:53.98" personId="{685DAF9C-7E69-437C-B66A-60F972D4A0E6}" id="{8C55A61E-F3AE-4FAE-8BAA-DF0147B561CD}" done="1">
    <text xml:space="preserve">Odd  mode propagation constant:
γ_odd + α_Total_odd + j β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sheetPr codeName="Sheet1"/>
  <dimension ref="A1:L36"/>
  <sheetViews>
    <sheetView tabSelected="1" zoomScaleNormal="100" workbookViewId="0">
      <selection activeCell="B34" sqref="B34"/>
    </sheetView>
  </sheetViews>
  <sheetFormatPr defaultColWidth="8.83984375" defaultRowHeight="14.4" x14ac:dyDescent="0.55000000000000004"/>
  <cols>
    <col min="1" max="1" width="15.578125" style="217" customWidth="1"/>
    <col min="2" max="2" width="10.41796875" style="217" customWidth="1"/>
    <col min="3" max="11" width="8.83984375" style="217"/>
    <col min="12" max="12" width="17.83984375" style="217" bestFit="1" customWidth="1"/>
    <col min="13" max="16384" width="8.83984375" style="217"/>
  </cols>
  <sheetData>
    <row r="1" spans="1:12" x14ac:dyDescent="0.55000000000000004">
      <c r="A1" s="214" t="s">
        <v>0</v>
      </c>
      <c r="B1" s="215"/>
      <c r="C1" s="215"/>
      <c r="D1" s="215"/>
      <c r="E1" s="215"/>
      <c r="F1" s="215"/>
      <c r="G1" s="215"/>
      <c r="H1" s="215"/>
      <c r="I1" s="215"/>
      <c r="J1" s="215"/>
      <c r="K1" s="215"/>
      <c r="L1" s="216"/>
    </row>
    <row r="2" spans="1:12" x14ac:dyDescent="0.55000000000000004">
      <c r="A2" s="218"/>
      <c r="B2" s="219"/>
      <c r="C2" s="219"/>
      <c r="D2" s="219"/>
      <c r="E2" s="219"/>
      <c r="F2" s="219"/>
      <c r="G2" s="219"/>
      <c r="H2" s="219"/>
      <c r="I2" s="219"/>
      <c r="J2" s="219"/>
      <c r="K2" s="219"/>
      <c r="L2" s="220"/>
    </row>
    <row r="3" spans="1:12" x14ac:dyDescent="0.55000000000000004">
      <c r="A3" s="218"/>
      <c r="B3" s="219"/>
      <c r="C3" s="219"/>
      <c r="D3" s="219"/>
      <c r="E3" s="219"/>
      <c r="F3" s="219"/>
      <c r="G3" s="219"/>
      <c r="H3" s="219"/>
      <c r="I3" s="219"/>
      <c r="J3" s="219"/>
      <c r="K3" s="219"/>
      <c r="L3" s="220"/>
    </row>
    <row r="4" spans="1:12" x14ac:dyDescent="0.55000000000000004">
      <c r="A4" s="221"/>
      <c r="B4" s="222"/>
      <c r="C4" s="222"/>
      <c r="D4" s="222"/>
      <c r="E4" s="222"/>
      <c r="F4" s="222"/>
      <c r="G4" s="222"/>
      <c r="H4" s="222"/>
      <c r="I4" s="222"/>
      <c r="J4" s="222"/>
      <c r="K4" s="222"/>
      <c r="L4" s="223"/>
    </row>
    <row r="5" spans="1:12" ht="17.7" x14ac:dyDescent="0.6">
      <c r="A5" s="224" t="s">
        <v>1</v>
      </c>
      <c r="B5" s="224"/>
      <c r="C5" s="224"/>
      <c r="D5" s="224"/>
      <c r="E5" s="224"/>
      <c r="F5" s="224"/>
      <c r="G5" s="224"/>
      <c r="H5" s="224"/>
      <c r="I5" s="224"/>
      <c r="J5" s="224"/>
      <c r="K5" s="224"/>
      <c r="L5" s="225"/>
    </row>
    <row r="6" spans="1:12" ht="17.7" x14ac:dyDescent="0.6">
      <c r="A6" s="224" t="s">
        <v>2</v>
      </c>
      <c r="B6" s="224"/>
      <c r="C6" s="226" t="str">
        <f>A30</f>
        <v>1.2.0</v>
      </c>
      <c r="D6" s="227"/>
      <c r="E6" s="227"/>
      <c r="F6" s="227"/>
      <c r="G6" s="227"/>
      <c r="H6" s="227"/>
      <c r="I6" s="227"/>
      <c r="J6" s="227"/>
      <c r="K6" s="228"/>
      <c r="L6" s="229"/>
    </row>
    <row r="7" spans="1:12" ht="17.7" x14ac:dyDescent="0.6">
      <c r="A7" s="224" t="s">
        <v>3</v>
      </c>
      <c r="B7" s="224"/>
      <c r="C7" s="226" t="s">
        <v>4</v>
      </c>
      <c r="D7" s="227"/>
      <c r="E7" s="227"/>
      <c r="F7" s="227"/>
      <c r="G7" s="227"/>
      <c r="H7" s="227"/>
      <c r="I7" s="227"/>
      <c r="J7" s="230"/>
      <c r="K7" s="230"/>
      <c r="L7" s="229"/>
    </row>
    <row r="8" spans="1:12" x14ac:dyDescent="0.55000000000000004">
      <c r="A8" s="231"/>
      <c r="B8" s="232"/>
      <c r="C8" s="232"/>
      <c r="D8" s="232"/>
      <c r="E8" s="232"/>
      <c r="F8" s="232"/>
      <c r="G8" s="232"/>
      <c r="H8" s="232"/>
      <c r="I8" s="232"/>
      <c r="J8" s="232"/>
      <c r="K8" s="232"/>
      <c r="L8" s="233"/>
    </row>
    <row r="9" spans="1:12" ht="20.399999999999999" x14ac:dyDescent="0.75">
      <c r="A9" s="234" t="s">
        <v>5</v>
      </c>
      <c r="B9" s="235"/>
      <c r="C9" s="235"/>
      <c r="D9" s="235"/>
      <c r="E9" s="235"/>
      <c r="F9" s="235"/>
      <c r="G9" s="235"/>
      <c r="H9" s="235"/>
      <c r="I9" s="235"/>
      <c r="J9" s="235"/>
      <c r="K9" s="235"/>
      <c r="L9" s="236"/>
    </row>
    <row r="10" spans="1:12" x14ac:dyDescent="0.55000000000000004">
      <c r="A10" s="231" t="s">
        <v>6</v>
      </c>
      <c r="B10" s="232"/>
      <c r="C10" s="232"/>
      <c r="D10" s="232"/>
      <c r="E10" s="232"/>
      <c r="F10" s="232"/>
      <c r="G10" s="232"/>
      <c r="H10" s="232"/>
      <c r="I10" s="232"/>
      <c r="J10" s="232"/>
      <c r="K10" s="232"/>
      <c r="L10" s="233"/>
    </row>
    <row r="11" spans="1:12" x14ac:dyDescent="0.55000000000000004">
      <c r="A11" s="231"/>
      <c r="B11" s="232"/>
      <c r="C11" s="232"/>
      <c r="D11" s="232"/>
      <c r="E11" s="232"/>
      <c r="F11" s="232"/>
      <c r="G11" s="232"/>
      <c r="H11" s="232"/>
      <c r="I11" s="232"/>
      <c r="J11" s="232"/>
      <c r="K11" s="232"/>
      <c r="L11" s="233"/>
    </row>
    <row r="12" spans="1:12" x14ac:dyDescent="0.55000000000000004">
      <c r="A12" s="237" t="s">
        <v>7</v>
      </c>
      <c r="B12" s="238"/>
      <c r="C12" s="238"/>
      <c r="D12" s="238"/>
      <c r="E12" s="238"/>
      <c r="F12" s="238"/>
      <c r="G12" s="238"/>
      <c r="H12" s="238"/>
      <c r="I12" s="238"/>
      <c r="J12" s="238"/>
      <c r="K12" s="238"/>
      <c r="L12" s="239"/>
    </row>
    <row r="13" spans="1:12" x14ac:dyDescent="0.55000000000000004">
      <c r="A13" s="237"/>
      <c r="B13" s="238"/>
      <c r="C13" s="238"/>
      <c r="D13" s="238"/>
      <c r="E13" s="238"/>
      <c r="F13" s="238"/>
      <c r="G13" s="238"/>
      <c r="H13" s="238"/>
      <c r="I13" s="238"/>
      <c r="J13" s="238"/>
      <c r="K13" s="238"/>
      <c r="L13" s="239"/>
    </row>
    <row r="14" spans="1:12" x14ac:dyDescent="0.55000000000000004">
      <c r="A14" s="237"/>
      <c r="B14" s="238"/>
      <c r="C14" s="238"/>
      <c r="D14" s="238"/>
      <c r="E14" s="238"/>
      <c r="F14" s="238"/>
      <c r="G14" s="238"/>
      <c r="H14" s="238"/>
      <c r="I14" s="238"/>
      <c r="J14" s="238"/>
      <c r="K14" s="238"/>
      <c r="L14" s="239"/>
    </row>
    <row r="15" spans="1:12" x14ac:dyDescent="0.55000000000000004">
      <c r="A15" s="237"/>
      <c r="B15" s="238"/>
      <c r="C15" s="238"/>
      <c r="D15" s="238"/>
      <c r="E15" s="238"/>
      <c r="F15" s="238"/>
      <c r="G15" s="238"/>
      <c r="H15" s="238"/>
      <c r="I15" s="238"/>
      <c r="J15" s="238"/>
      <c r="K15" s="238"/>
      <c r="L15" s="239"/>
    </row>
    <row r="16" spans="1:12" x14ac:dyDescent="0.55000000000000004">
      <c r="A16" s="237"/>
      <c r="B16" s="238"/>
      <c r="C16" s="238"/>
      <c r="D16" s="238"/>
      <c r="E16" s="238"/>
      <c r="F16" s="238"/>
      <c r="G16" s="238"/>
      <c r="H16" s="238"/>
      <c r="I16" s="238"/>
      <c r="J16" s="238"/>
      <c r="K16" s="238"/>
      <c r="L16" s="239"/>
    </row>
    <row r="17" spans="1:12" x14ac:dyDescent="0.55000000000000004">
      <c r="A17" s="237"/>
      <c r="B17" s="238"/>
      <c r="C17" s="238"/>
      <c r="D17" s="238"/>
      <c r="E17" s="238"/>
      <c r="F17" s="238"/>
      <c r="G17" s="238"/>
      <c r="H17" s="238"/>
      <c r="I17" s="238"/>
      <c r="J17" s="238"/>
      <c r="K17" s="238"/>
      <c r="L17" s="239"/>
    </row>
    <row r="18" spans="1:12" ht="20.399999999999999" x14ac:dyDescent="0.75">
      <c r="A18" s="234" t="s">
        <v>8</v>
      </c>
      <c r="B18" s="235"/>
      <c r="C18" s="235"/>
      <c r="D18" s="235"/>
      <c r="E18" s="235"/>
      <c r="F18" s="235"/>
      <c r="G18" s="235"/>
      <c r="H18" s="235"/>
      <c r="I18" s="235"/>
      <c r="J18" s="235"/>
      <c r="K18" s="235"/>
      <c r="L18" s="236"/>
    </row>
    <row r="19" spans="1:12" x14ac:dyDescent="0.55000000000000004">
      <c r="A19" s="240" t="s">
        <v>9</v>
      </c>
      <c r="B19" s="241"/>
      <c r="C19" s="241"/>
      <c r="D19" s="241"/>
      <c r="E19" s="241"/>
      <c r="F19" s="241"/>
      <c r="G19" s="241"/>
      <c r="H19" s="241"/>
      <c r="I19" s="241"/>
      <c r="J19" s="241"/>
      <c r="K19" s="241"/>
      <c r="L19" s="242"/>
    </row>
    <row r="20" spans="1:12" x14ac:dyDescent="0.55000000000000004">
      <c r="A20" s="240" t="s">
        <v>10</v>
      </c>
      <c r="B20" s="241"/>
      <c r="C20" s="241"/>
      <c r="D20" s="241"/>
      <c r="E20" s="241"/>
      <c r="F20" s="241"/>
      <c r="G20" s="241"/>
      <c r="H20" s="241"/>
      <c r="I20" s="241"/>
      <c r="J20" s="241"/>
      <c r="K20" s="241"/>
      <c r="L20" s="242"/>
    </row>
    <row r="21" spans="1:12" x14ac:dyDescent="0.55000000000000004">
      <c r="A21" s="231"/>
      <c r="B21" s="232"/>
      <c r="C21" s="232"/>
      <c r="D21" s="232"/>
      <c r="E21" s="232"/>
      <c r="F21" s="232"/>
      <c r="G21" s="232"/>
      <c r="H21" s="232"/>
      <c r="I21" s="232"/>
      <c r="J21" s="232"/>
      <c r="K21" s="232"/>
      <c r="L21" s="233"/>
    </row>
    <row r="22" spans="1:12" ht="20.399999999999999" x14ac:dyDescent="0.75">
      <c r="A22" s="234" t="s">
        <v>11</v>
      </c>
      <c r="B22" s="235"/>
      <c r="C22" s="235"/>
      <c r="D22" s="235"/>
      <c r="E22" s="235"/>
      <c r="F22" s="235"/>
      <c r="G22" s="235"/>
      <c r="H22" s="235"/>
      <c r="I22" s="235"/>
      <c r="J22" s="235"/>
      <c r="K22" s="235"/>
      <c r="L22" s="236"/>
    </row>
    <row r="23" spans="1:12" x14ac:dyDescent="0.55000000000000004">
      <c r="A23" s="237" t="s">
        <v>12</v>
      </c>
      <c r="B23" s="238"/>
      <c r="C23" s="238"/>
      <c r="D23" s="238"/>
      <c r="E23" s="238"/>
      <c r="F23" s="238"/>
      <c r="G23" s="238"/>
      <c r="H23" s="238"/>
      <c r="I23" s="238"/>
      <c r="J23" s="238"/>
      <c r="K23" s="238"/>
      <c r="L23" s="239"/>
    </row>
    <row r="24" spans="1:12" x14ac:dyDescent="0.55000000000000004">
      <c r="A24" s="237"/>
      <c r="B24" s="238"/>
      <c r="C24" s="238"/>
      <c r="D24" s="238"/>
      <c r="E24" s="238"/>
      <c r="F24" s="238"/>
      <c r="G24" s="238"/>
      <c r="H24" s="238"/>
      <c r="I24" s="238"/>
      <c r="J24" s="238"/>
      <c r="K24" s="238"/>
      <c r="L24" s="239"/>
    </row>
    <row r="25" spans="1:12" x14ac:dyDescent="0.55000000000000004">
      <c r="A25" s="237"/>
      <c r="B25" s="238"/>
      <c r="C25" s="238"/>
      <c r="D25" s="238"/>
      <c r="E25" s="238"/>
      <c r="F25" s="238"/>
      <c r="G25" s="238"/>
      <c r="H25" s="238"/>
      <c r="I25" s="238"/>
      <c r="J25" s="238"/>
      <c r="K25" s="238"/>
      <c r="L25" s="239"/>
    </row>
    <row r="26" spans="1:12" x14ac:dyDescent="0.55000000000000004">
      <c r="A26" s="237"/>
      <c r="B26" s="238"/>
      <c r="C26" s="238"/>
      <c r="D26" s="238"/>
      <c r="E26" s="238"/>
      <c r="F26" s="238"/>
      <c r="G26" s="238"/>
      <c r="H26" s="238"/>
      <c r="I26" s="238"/>
      <c r="J26" s="238"/>
      <c r="K26" s="238"/>
      <c r="L26" s="239"/>
    </row>
    <row r="27" spans="1:12" x14ac:dyDescent="0.55000000000000004">
      <c r="A27" s="243"/>
      <c r="B27" s="244"/>
      <c r="C27" s="245"/>
      <c r="D27" s="245"/>
      <c r="E27" s="245"/>
      <c r="F27" s="245"/>
      <c r="G27" s="245"/>
      <c r="H27" s="245"/>
      <c r="I27" s="245"/>
      <c r="J27" s="245"/>
      <c r="K27" s="245"/>
      <c r="L27" s="246"/>
    </row>
    <row r="28" spans="1:12" x14ac:dyDescent="0.55000000000000004">
      <c r="A28" s="247" t="s">
        <v>13</v>
      </c>
      <c r="B28" s="248"/>
      <c r="C28" s="245"/>
      <c r="D28" s="245"/>
      <c r="E28" s="245"/>
      <c r="F28" s="245"/>
      <c r="G28" s="245"/>
      <c r="H28" s="245"/>
      <c r="I28" s="245"/>
      <c r="J28" s="245"/>
      <c r="K28" s="245"/>
      <c r="L28" s="249"/>
    </row>
    <row r="29" spans="1:12" x14ac:dyDescent="0.55000000000000004">
      <c r="A29" s="250" t="s">
        <v>14</v>
      </c>
      <c r="B29" s="251" t="s">
        <v>15</v>
      </c>
      <c r="C29" s="251"/>
      <c r="D29" s="251"/>
      <c r="E29" s="251"/>
      <c r="F29" s="251"/>
      <c r="G29" s="251"/>
      <c r="H29" s="251"/>
      <c r="I29" s="251"/>
      <c r="J29" s="251"/>
      <c r="K29" s="251"/>
      <c r="L29" s="252"/>
    </row>
    <row r="30" spans="1:12" x14ac:dyDescent="0.55000000000000004">
      <c r="A30" s="247" t="s">
        <v>16</v>
      </c>
      <c r="B30" s="244" t="s">
        <v>219</v>
      </c>
      <c r="C30" s="244"/>
      <c r="D30" s="244"/>
      <c r="E30" s="244"/>
      <c r="F30" s="244"/>
      <c r="G30" s="244"/>
      <c r="H30" s="244"/>
      <c r="I30" s="244"/>
      <c r="J30" s="244"/>
      <c r="K30" s="244"/>
      <c r="L30" s="249"/>
    </row>
    <row r="31" spans="1:12" x14ac:dyDescent="0.55000000000000004">
      <c r="A31" s="247" t="s">
        <v>17</v>
      </c>
      <c r="B31" s="244" t="s">
        <v>18</v>
      </c>
      <c r="C31" s="244"/>
      <c r="D31" s="244"/>
      <c r="E31" s="244"/>
      <c r="F31" s="244"/>
      <c r="G31" s="244"/>
      <c r="H31" s="244"/>
      <c r="I31" s="244"/>
      <c r="J31" s="244"/>
      <c r="K31" s="244"/>
      <c r="L31" s="249"/>
    </row>
    <row r="32" spans="1:12" x14ac:dyDescent="0.55000000000000004">
      <c r="A32" s="247" t="s">
        <v>19</v>
      </c>
      <c r="B32" s="244" t="s">
        <v>20</v>
      </c>
      <c r="C32" s="244"/>
      <c r="D32" s="244"/>
      <c r="E32" s="244"/>
      <c r="F32" s="244"/>
      <c r="G32" s="244"/>
      <c r="H32" s="244"/>
      <c r="I32" s="244"/>
      <c r="J32" s="244"/>
      <c r="K32" s="244"/>
      <c r="L32" s="249"/>
    </row>
    <row r="33" spans="1:12" x14ac:dyDescent="0.55000000000000004">
      <c r="A33" s="247" t="s">
        <v>21</v>
      </c>
      <c r="B33" s="244" t="s">
        <v>22</v>
      </c>
      <c r="C33" s="244"/>
      <c r="D33" s="245"/>
      <c r="E33" s="245"/>
      <c r="F33" s="245"/>
      <c r="G33" s="245"/>
      <c r="H33" s="245"/>
      <c r="I33" s="245"/>
      <c r="J33" s="245"/>
      <c r="K33" s="245"/>
      <c r="L33" s="249"/>
    </row>
    <row r="34" spans="1:12" x14ac:dyDescent="0.55000000000000004">
      <c r="A34" s="247" t="s">
        <v>23</v>
      </c>
      <c r="B34" s="244" t="s">
        <v>24</v>
      </c>
      <c r="C34" s="244"/>
      <c r="D34" s="245"/>
      <c r="E34" s="245"/>
      <c r="F34" s="245"/>
      <c r="G34" s="245"/>
      <c r="H34" s="245"/>
      <c r="I34" s="245"/>
      <c r="J34" s="245"/>
      <c r="K34" s="245"/>
      <c r="L34" s="249"/>
    </row>
    <row r="35" spans="1:12" x14ac:dyDescent="0.55000000000000004">
      <c r="A35" s="247" t="s">
        <v>25</v>
      </c>
      <c r="B35" s="244" t="s">
        <v>26</v>
      </c>
      <c r="C35" s="244"/>
      <c r="D35" s="245"/>
      <c r="E35" s="245"/>
      <c r="F35" s="245"/>
      <c r="G35" s="245"/>
      <c r="H35" s="245"/>
      <c r="I35" s="245"/>
      <c r="J35" s="245"/>
      <c r="K35" s="245"/>
      <c r="L35" s="249"/>
    </row>
    <row r="36" spans="1:12" ht="14.7" thickBot="1" x14ac:dyDescent="0.6">
      <c r="A36" s="253"/>
      <c r="B36" s="254"/>
      <c r="C36" s="255"/>
      <c r="D36" s="255"/>
      <c r="E36" s="255"/>
      <c r="F36" s="255"/>
      <c r="G36" s="255"/>
      <c r="H36" s="255"/>
      <c r="I36" s="255"/>
      <c r="J36" s="255"/>
      <c r="K36" s="255"/>
      <c r="L36" s="256"/>
    </row>
  </sheetData>
  <sheetProtection algorithmName="SHA-512" hashValue="lGzW6uiWvfIfChF9FPqtWR9FZCf2qKX1+k8psV6C4UVwyPGYQAQ0VO/fdXmnOQ8tm2SbvF04kOFLic9iOtw/iA==" saltValue="gRbF0ajn1oZ+z01r44lDHg==" spinCount="100000" sheet="1" objects="1" scenarios="1"/>
  <mergeCells count="13">
    <mergeCell ref="B29:K29"/>
    <mergeCell ref="A12:L17"/>
    <mergeCell ref="A18:L18"/>
    <mergeCell ref="A19:L19"/>
    <mergeCell ref="A20:L20"/>
    <mergeCell ref="A22:L22"/>
    <mergeCell ref="A23:L26"/>
    <mergeCell ref="A9:L9"/>
    <mergeCell ref="A1:L3"/>
    <mergeCell ref="A4:L4"/>
    <mergeCell ref="A5:L5"/>
    <mergeCell ref="A6:B6"/>
    <mergeCell ref="A7:B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sheetPr codeName="Sheet2"/>
  <dimension ref="A1:AD62"/>
  <sheetViews>
    <sheetView zoomScale="85" zoomScaleNormal="85" workbookViewId="0">
      <selection activeCell="T25" sqref="T25"/>
    </sheetView>
  </sheetViews>
  <sheetFormatPr defaultColWidth="8.83984375" defaultRowHeight="14.4" x14ac:dyDescent="0.55000000000000004"/>
  <cols>
    <col min="1" max="1" width="2.3671875" style="217" customWidth="1"/>
    <col min="2" max="7" width="9.578125" style="217" customWidth="1"/>
    <col min="8" max="8" width="7" style="217" customWidth="1"/>
    <col min="9" max="16" width="9.578125" style="217" customWidth="1"/>
    <col min="17" max="17" width="3.83984375" style="217" customWidth="1"/>
    <col min="18" max="22" width="9.578125" style="217" customWidth="1"/>
    <col min="23" max="23" width="3.15625" style="217" customWidth="1"/>
    <col min="24" max="29" width="9.578125" style="217" customWidth="1"/>
    <col min="30" max="30" width="3.7890625" style="217" customWidth="1"/>
    <col min="31" max="16384" width="8.83984375" style="217"/>
  </cols>
  <sheetData>
    <row r="1" spans="1:30" x14ac:dyDescent="0.55000000000000004">
      <c r="A1" s="257"/>
      <c r="B1" s="258" t="s">
        <v>0</v>
      </c>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6"/>
    </row>
    <row r="2" spans="1:30" x14ac:dyDescent="0.55000000000000004">
      <c r="A2" s="259"/>
      <c r="B2" s="260"/>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20"/>
    </row>
    <row r="3" spans="1:30" x14ac:dyDescent="0.55000000000000004">
      <c r="A3" s="259"/>
      <c r="B3" s="260"/>
      <c r="C3" s="219"/>
      <c r="D3" s="219"/>
      <c r="E3" s="219"/>
      <c r="F3" s="219"/>
      <c r="G3" s="219"/>
      <c r="H3" s="219"/>
      <c r="I3" s="219"/>
      <c r="J3" s="219"/>
      <c r="K3" s="219"/>
      <c r="L3" s="219"/>
      <c r="M3" s="219"/>
      <c r="N3" s="219"/>
      <c r="O3" s="219"/>
      <c r="P3" s="219"/>
      <c r="Q3" s="219"/>
      <c r="R3" s="219"/>
      <c r="S3" s="219"/>
      <c r="T3" s="219"/>
      <c r="U3" s="219"/>
      <c r="V3" s="219"/>
      <c r="W3" s="219"/>
      <c r="X3" s="219"/>
      <c r="Y3" s="219"/>
      <c r="Z3" s="219"/>
      <c r="AA3" s="219"/>
      <c r="AB3" s="219"/>
      <c r="AC3" s="219"/>
      <c r="AD3" s="220"/>
    </row>
    <row r="4" spans="1:30" x14ac:dyDescent="0.55000000000000004">
      <c r="A4" s="261"/>
      <c r="B4" s="222"/>
      <c r="C4" s="222"/>
      <c r="D4" s="222"/>
      <c r="E4" s="222"/>
      <c r="F4" s="222"/>
      <c r="G4" s="222"/>
      <c r="H4" s="222"/>
      <c r="I4" s="222"/>
      <c r="J4" s="222"/>
      <c r="K4" s="222"/>
      <c r="L4" s="222"/>
      <c r="M4" s="222"/>
      <c r="N4" s="222"/>
      <c r="O4" s="222"/>
      <c r="P4" s="222"/>
      <c r="Q4" s="222"/>
      <c r="R4" s="222"/>
      <c r="S4" s="222"/>
      <c r="T4" s="222"/>
      <c r="U4" s="222"/>
      <c r="V4" s="222"/>
      <c r="W4" s="222"/>
      <c r="X4" s="222"/>
      <c r="Y4" s="222"/>
      <c r="Z4" s="222"/>
      <c r="AA4" s="222"/>
      <c r="AB4" s="222"/>
      <c r="AC4" s="222"/>
      <c r="AD4" s="223"/>
    </row>
    <row r="5" spans="1:30" ht="17.7" x14ac:dyDescent="0.6">
      <c r="A5" s="259"/>
      <c r="B5" s="262" t="s">
        <v>27</v>
      </c>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5"/>
    </row>
    <row r="6" spans="1:30" ht="17.7" x14ac:dyDescent="0.6">
      <c r="A6" s="259"/>
      <c r="B6" s="262"/>
      <c r="C6" s="224"/>
      <c r="D6" s="226"/>
      <c r="E6" s="227"/>
      <c r="F6" s="227"/>
      <c r="G6" s="227"/>
      <c r="H6" s="227"/>
      <c r="I6" s="227"/>
      <c r="J6" s="227"/>
      <c r="K6" s="227"/>
      <c r="L6" s="228"/>
      <c r="M6" s="228"/>
      <c r="N6" s="228"/>
      <c r="O6" s="228"/>
      <c r="P6" s="228"/>
      <c r="Q6" s="228"/>
      <c r="R6" s="228"/>
      <c r="S6" s="228"/>
      <c r="T6" s="228"/>
      <c r="U6" s="228"/>
      <c r="V6" s="228"/>
      <c r="W6" s="228"/>
      <c r="X6" s="228"/>
      <c r="Y6" s="228"/>
      <c r="Z6" s="228"/>
      <c r="AA6" s="228"/>
      <c r="AB6" s="228"/>
      <c r="AC6" s="228"/>
      <c r="AD6" s="229"/>
    </row>
    <row r="7" spans="1:30" x14ac:dyDescent="0.55000000000000004">
      <c r="A7" s="259"/>
      <c r="B7" s="263" t="s">
        <v>28</v>
      </c>
      <c r="C7" s="264" t="s">
        <v>29</v>
      </c>
      <c r="D7" s="264"/>
      <c r="E7" s="264"/>
      <c r="F7" s="264"/>
      <c r="G7" s="264"/>
      <c r="H7" s="264"/>
      <c r="I7" s="265"/>
      <c r="J7" s="266"/>
      <c r="K7" s="266"/>
      <c r="L7" s="266"/>
      <c r="M7" s="266"/>
      <c r="N7" s="266"/>
      <c r="O7" s="266"/>
      <c r="P7" s="266"/>
      <c r="Q7" s="266"/>
      <c r="R7" s="266"/>
      <c r="S7" s="266"/>
      <c r="T7" s="266"/>
      <c r="U7" s="266"/>
      <c r="V7" s="266"/>
      <c r="W7" s="266"/>
      <c r="X7" s="266"/>
      <c r="Y7" s="266"/>
      <c r="Z7" s="266"/>
      <c r="AA7" s="266"/>
      <c r="AB7" s="266"/>
      <c r="AC7" s="266"/>
      <c r="AD7" s="229"/>
    </row>
    <row r="8" spans="1:30" ht="17.7" x14ac:dyDescent="0.6">
      <c r="A8" s="259"/>
      <c r="B8" s="267"/>
      <c r="C8" s="268"/>
      <c r="D8" s="226"/>
      <c r="E8" s="227"/>
      <c r="F8" s="227"/>
      <c r="G8" s="227"/>
      <c r="H8" s="269"/>
      <c r="I8" s="227"/>
      <c r="J8" s="227"/>
      <c r="K8" s="227"/>
      <c r="L8" s="228"/>
      <c r="M8" s="228"/>
      <c r="N8" s="228"/>
      <c r="O8" s="228"/>
      <c r="P8" s="228"/>
      <c r="Q8" s="228"/>
      <c r="R8" s="228"/>
      <c r="S8" s="228"/>
      <c r="T8" s="228"/>
      <c r="U8" s="228"/>
      <c r="V8" s="228"/>
      <c r="W8" s="228"/>
      <c r="X8" s="228"/>
      <c r="Y8" s="228"/>
      <c r="Z8" s="228"/>
      <c r="AA8" s="228"/>
      <c r="AB8" s="228"/>
      <c r="AC8" s="228"/>
      <c r="AD8" s="229"/>
    </row>
    <row r="9" spans="1:30" ht="31.5" customHeight="1" x14ac:dyDescent="0.55000000000000004">
      <c r="A9" s="259"/>
      <c r="B9" s="270" t="s">
        <v>30</v>
      </c>
      <c r="C9" s="271"/>
      <c r="D9" s="271"/>
      <c r="E9" s="271"/>
      <c r="F9" s="271"/>
      <c r="G9" s="271"/>
      <c r="H9" s="271"/>
      <c r="I9" s="271"/>
      <c r="J9" s="271"/>
      <c r="K9" s="271"/>
      <c r="L9" s="271"/>
      <c r="M9" s="271"/>
      <c r="N9" s="271"/>
      <c r="O9" s="271"/>
      <c r="P9" s="271"/>
      <c r="R9" s="272"/>
      <c r="S9" s="272"/>
      <c r="T9" s="272"/>
      <c r="U9" s="272"/>
      <c r="V9" s="271" t="s">
        <v>225</v>
      </c>
      <c r="W9" s="271"/>
      <c r="X9" s="271"/>
      <c r="Y9" s="271"/>
      <c r="Z9" s="271"/>
      <c r="AA9" s="271"/>
      <c r="AB9" s="271"/>
      <c r="AC9" s="271"/>
      <c r="AD9" s="273"/>
    </row>
    <row r="10" spans="1:30" x14ac:dyDescent="0.55000000000000004">
      <c r="A10" s="259"/>
      <c r="B10" s="274" t="s">
        <v>31</v>
      </c>
      <c r="C10" s="275"/>
      <c r="D10" s="275"/>
      <c r="E10" s="275" t="s">
        <v>32</v>
      </c>
      <c r="F10" s="275"/>
      <c r="G10" s="275"/>
      <c r="H10" s="275" t="s">
        <v>33</v>
      </c>
      <c r="I10" s="275"/>
      <c r="J10" s="275"/>
      <c r="K10" s="275"/>
      <c r="L10" s="276"/>
      <c r="M10" s="276"/>
      <c r="N10" s="275" t="s">
        <v>34</v>
      </c>
      <c r="O10" s="275"/>
      <c r="P10" s="275"/>
      <c r="Q10" s="275"/>
      <c r="R10" s="275" t="s">
        <v>35</v>
      </c>
      <c r="S10" s="275"/>
      <c r="T10" s="275"/>
      <c r="U10" s="275"/>
      <c r="V10" s="271"/>
      <c r="W10" s="271"/>
      <c r="X10" s="271"/>
      <c r="Y10" s="271"/>
      <c r="Z10" s="271"/>
      <c r="AA10" s="271"/>
      <c r="AB10" s="271"/>
      <c r="AC10" s="271"/>
      <c r="AD10" s="273"/>
    </row>
    <row r="11" spans="1:30" x14ac:dyDescent="0.55000000000000004">
      <c r="A11" s="259"/>
      <c r="B11" s="277"/>
      <c r="C11" s="276"/>
      <c r="D11" s="276"/>
      <c r="E11" s="276"/>
      <c r="J11" s="278"/>
      <c r="K11" s="278"/>
      <c r="L11" s="278"/>
      <c r="M11" s="278"/>
      <c r="N11" s="276"/>
      <c r="O11" s="276"/>
      <c r="P11" s="276"/>
      <c r="Q11" s="272"/>
      <c r="R11" s="272"/>
      <c r="S11" s="272"/>
      <c r="T11" s="272"/>
      <c r="U11" s="272"/>
      <c r="V11" s="271"/>
      <c r="W11" s="271"/>
      <c r="X11" s="271"/>
      <c r="Y11" s="271"/>
      <c r="Z11" s="271"/>
      <c r="AA11" s="271"/>
      <c r="AB11" s="271"/>
      <c r="AC11" s="271"/>
      <c r="AD11" s="273"/>
    </row>
    <row r="12" spans="1:30" x14ac:dyDescent="0.55000000000000004">
      <c r="A12" s="259"/>
      <c r="B12" s="279"/>
      <c r="C12" s="278"/>
      <c r="D12" s="278"/>
      <c r="E12" s="278"/>
      <c r="J12" s="278"/>
      <c r="K12" s="278"/>
      <c r="L12" s="278"/>
      <c r="M12" s="278"/>
      <c r="N12" s="276"/>
      <c r="O12" s="276"/>
      <c r="P12" s="276"/>
      <c r="Q12" s="272"/>
      <c r="R12" s="272"/>
      <c r="S12" s="272"/>
      <c r="T12" s="272"/>
      <c r="U12" s="272"/>
      <c r="V12" s="271"/>
      <c r="W12" s="271"/>
      <c r="X12" s="271"/>
      <c r="Y12" s="271"/>
      <c r="Z12" s="271"/>
      <c r="AA12" s="271"/>
      <c r="AB12" s="271"/>
      <c r="AC12" s="271"/>
      <c r="AD12" s="280"/>
    </row>
    <row r="13" spans="1:30" ht="20.399999999999999" x14ac:dyDescent="0.75">
      <c r="A13" s="259"/>
      <c r="B13" s="281"/>
      <c r="C13" s="232"/>
      <c r="D13" s="232"/>
      <c r="E13" s="232"/>
      <c r="F13" s="232"/>
      <c r="G13" s="232"/>
      <c r="H13" s="232"/>
      <c r="I13" s="232"/>
      <c r="J13" s="232"/>
      <c r="K13" s="232"/>
      <c r="L13" s="232"/>
      <c r="M13" s="232"/>
      <c r="N13" s="232"/>
      <c r="O13" s="232"/>
      <c r="P13" s="232"/>
      <c r="Q13" s="232"/>
      <c r="R13" s="232"/>
      <c r="S13" s="232"/>
      <c r="T13" s="232"/>
      <c r="U13" s="232"/>
      <c r="W13" s="282"/>
      <c r="AD13" s="233"/>
    </row>
    <row r="14" spans="1:30" x14ac:dyDescent="0.55000000000000004">
      <c r="A14" s="259"/>
      <c r="B14" s="283"/>
      <c r="C14" s="284"/>
      <c r="D14" s="284"/>
      <c r="E14" s="284"/>
      <c r="F14" s="284"/>
      <c r="G14" s="284"/>
      <c r="H14" s="284"/>
      <c r="I14" s="284"/>
      <c r="J14" s="284"/>
      <c r="K14" s="284"/>
      <c r="L14" s="284"/>
      <c r="M14" s="284"/>
      <c r="N14" s="284"/>
      <c r="O14" s="284"/>
      <c r="P14" s="284"/>
      <c r="Q14" s="284"/>
      <c r="R14" s="284"/>
      <c r="S14" s="284"/>
      <c r="T14" s="284"/>
      <c r="U14" s="284"/>
      <c r="W14" s="232"/>
      <c r="AD14" s="285"/>
    </row>
    <row r="15" spans="1:30" x14ac:dyDescent="0.55000000000000004">
      <c r="A15" s="259"/>
      <c r="B15" s="283"/>
      <c r="C15" s="284"/>
      <c r="D15" s="284"/>
      <c r="E15" s="284"/>
      <c r="F15" s="284"/>
      <c r="G15" s="284"/>
      <c r="H15" s="284"/>
      <c r="I15" s="284"/>
      <c r="J15" s="284"/>
      <c r="K15" s="284"/>
      <c r="L15" s="284"/>
      <c r="M15" s="284"/>
      <c r="N15" s="284"/>
      <c r="O15" s="284"/>
      <c r="P15" s="284"/>
      <c r="Q15" s="284"/>
      <c r="R15" s="284"/>
      <c r="S15" s="284"/>
      <c r="T15" s="284"/>
      <c r="U15" s="284"/>
      <c r="W15" s="232"/>
      <c r="AD15" s="285"/>
    </row>
    <row r="16" spans="1:30" ht="14.4" customHeight="1" x14ac:dyDescent="0.55000000000000004">
      <c r="A16" s="259"/>
      <c r="C16" s="272"/>
      <c r="D16" s="272"/>
      <c r="E16" s="272"/>
      <c r="F16" s="272"/>
      <c r="G16" s="272"/>
      <c r="H16" s="272"/>
      <c r="K16" s="271" t="s">
        <v>223</v>
      </c>
      <c r="L16" s="271"/>
      <c r="M16" s="271"/>
      <c r="N16" s="271"/>
      <c r="O16" s="271"/>
      <c r="P16" s="271"/>
      <c r="Q16" s="271"/>
      <c r="R16" s="271"/>
      <c r="S16" s="271"/>
      <c r="T16" s="271"/>
      <c r="W16" s="232"/>
      <c r="AD16" s="273"/>
    </row>
    <row r="17" spans="1:30" ht="14.4" customHeight="1" x14ac:dyDescent="0.75">
      <c r="A17" s="259"/>
      <c r="B17" s="270" t="s">
        <v>36</v>
      </c>
      <c r="C17" s="271"/>
      <c r="D17" s="271"/>
      <c r="E17" s="271"/>
      <c r="F17" s="271"/>
      <c r="G17" s="271"/>
      <c r="H17" s="271"/>
      <c r="I17" s="271"/>
      <c r="K17" s="271"/>
      <c r="L17" s="271"/>
      <c r="M17" s="271"/>
      <c r="N17" s="271"/>
      <c r="O17" s="271"/>
      <c r="P17" s="271"/>
      <c r="Q17" s="271"/>
      <c r="R17" s="271"/>
      <c r="S17" s="271"/>
      <c r="T17" s="271"/>
      <c r="W17" s="282"/>
      <c r="AD17" s="273"/>
    </row>
    <row r="18" spans="1:30" x14ac:dyDescent="0.55000000000000004">
      <c r="A18" s="259"/>
      <c r="B18" s="270"/>
      <c r="C18" s="271"/>
      <c r="D18" s="271"/>
      <c r="E18" s="271"/>
      <c r="F18" s="271"/>
      <c r="G18" s="271"/>
      <c r="H18" s="271"/>
      <c r="I18" s="271"/>
      <c r="K18" s="272"/>
      <c r="L18" s="272"/>
      <c r="M18" s="272"/>
      <c r="N18" s="272"/>
      <c r="O18" s="272"/>
      <c r="P18" s="272"/>
      <c r="Q18" s="272"/>
      <c r="R18" s="272"/>
      <c r="W18" s="284"/>
      <c r="AD18" s="273"/>
    </row>
    <row r="19" spans="1:30" x14ac:dyDescent="0.55000000000000004">
      <c r="A19" s="259"/>
      <c r="B19" s="270"/>
      <c r="C19" s="271"/>
      <c r="D19" s="271"/>
      <c r="E19" s="271"/>
      <c r="F19" s="271"/>
      <c r="G19" s="271"/>
      <c r="H19" s="271"/>
      <c r="I19" s="271"/>
      <c r="K19" s="284"/>
      <c r="L19" s="284"/>
      <c r="M19" s="284"/>
      <c r="N19" s="284"/>
      <c r="O19" s="284"/>
      <c r="Q19" s="284"/>
      <c r="W19" s="284"/>
      <c r="AD19" s="285"/>
    </row>
    <row r="20" spans="1:30" ht="20.399999999999999" x14ac:dyDescent="0.75">
      <c r="A20" s="259"/>
      <c r="B20" s="270"/>
      <c r="C20" s="271"/>
      <c r="D20" s="271"/>
      <c r="E20" s="271"/>
      <c r="F20" s="271"/>
      <c r="G20" s="271"/>
      <c r="H20" s="271"/>
      <c r="I20" s="271"/>
      <c r="K20" s="282"/>
      <c r="L20" s="282"/>
      <c r="M20" s="282"/>
      <c r="N20" s="282"/>
      <c r="O20" s="282"/>
      <c r="Q20" s="282"/>
      <c r="W20" s="284"/>
      <c r="AD20" s="286"/>
    </row>
    <row r="21" spans="1:30" x14ac:dyDescent="0.55000000000000004">
      <c r="A21" s="259"/>
      <c r="B21" s="287"/>
      <c r="C21" s="272"/>
      <c r="D21" s="272"/>
      <c r="E21" s="272"/>
      <c r="F21" s="272"/>
      <c r="G21" s="272"/>
      <c r="H21" s="232"/>
      <c r="K21" s="232"/>
      <c r="L21" s="232"/>
      <c r="M21" s="232"/>
      <c r="N21" s="232"/>
      <c r="O21" s="232"/>
      <c r="Q21" s="232"/>
      <c r="W21" s="284"/>
      <c r="AD21" s="233"/>
    </row>
    <row r="22" spans="1:30" x14ac:dyDescent="0.55000000000000004">
      <c r="A22" s="259"/>
      <c r="B22" s="281"/>
      <c r="C22" s="232"/>
      <c r="D22" s="232"/>
      <c r="E22" s="232"/>
      <c r="F22" s="232"/>
      <c r="G22" s="232"/>
      <c r="H22" s="232"/>
      <c r="K22" s="232"/>
      <c r="L22" s="232"/>
      <c r="M22" s="232"/>
      <c r="N22" s="232"/>
      <c r="O22" s="232"/>
      <c r="Q22" s="232"/>
      <c r="W22" s="245"/>
      <c r="AD22" s="233"/>
    </row>
    <row r="23" spans="1:30" x14ac:dyDescent="0.55000000000000004">
      <c r="A23" s="259"/>
      <c r="B23" s="281"/>
      <c r="C23" s="232"/>
      <c r="D23" s="232"/>
      <c r="E23" s="232"/>
      <c r="F23" s="232"/>
      <c r="G23" s="232"/>
      <c r="H23" s="232"/>
      <c r="K23" s="232"/>
      <c r="L23" s="232"/>
      <c r="M23" s="232"/>
      <c r="N23" s="232"/>
      <c r="O23" s="232"/>
      <c r="Q23" s="232"/>
      <c r="W23" s="245"/>
      <c r="AD23" s="233"/>
    </row>
    <row r="24" spans="1:30" ht="20.399999999999999" x14ac:dyDescent="0.75">
      <c r="A24" s="259"/>
      <c r="B24" s="288"/>
      <c r="C24" s="282"/>
      <c r="D24" s="282"/>
      <c r="E24" s="282"/>
      <c r="F24" s="282"/>
      <c r="G24" s="282"/>
      <c r="H24" s="282"/>
      <c r="K24" s="282"/>
      <c r="L24" s="282"/>
      <c r="M24" s="282"/>
      <c r="N24" s="282"/>
      <c r="O24" s="282"/>
      <c r="Q24" s="282"/>
      <c r="W24" s="245"/>
      <c r="AD24" s="286"/>
    </row>
    <row r="25" spans="1:30" x14ac:dyDescent="0.55000000000000004">
      <c r="A25" s="259"/>
      <c r="B25" s="283"/>
      <c r="C25" s="284"/>
      <c r="D25" s="284"/>
      <c r="E25" s="284"/>
      <c r="F25" s="284"/>
      <c r="G25" s="284"/>
      <c r="H25" s="284"/>
      <c r="K25" s="284"/>
      <c r="L25" s="284"/>
      <c r="M25" s="284"/>
      <c r="N25" s="284"/>
      <c r="O25" s="284"/>
      <c r="Q25" s="284"/>
      <c r="W25" s="245"/>
      <c r="AD25" s="285"/>
    </row>
    <row r="26" spans="1:30" x14ac:dyDescent="0.55000000000000004">
      <c r="A26" s="259"/>
      <c r="B26" s="283"/>
      <c r="C26" s="284"/>
      <c r="D26" s="284"/>
      <c r="E26" s="284"/>
      <c r="F26" s="284"/>
      <c r="G26" s="284"/>
      <c r="H26" s="284"/>
      <c r="K26" s="284"/>
      <c r="L26" s="284"/>
      <c r="M26" s="284"/>
      <c r="N26" s="284"/>
      <c r="O26" s="284"/>
      <c r="Q26" s="284"/>
      <c r="W26" s="245"/>
      <c r="AD26" s="285"/>
    </row>
    <row r="27" spans="1:30" x14ac:dyDescent="0.55000000000000004">
      <c r="A27" s="259"/>
      <c r="B27" s="289"/>
      <c r="F27" s="284"/>
      <c r="G27" s="284"/>
      <c r="H27" s="284"/>
      <c r="K27" s="284"/>
      <c r="L27" s="284"/>
      <c r="M27" s="284"/>
      <c r="N27" s="284"/>
      <c r="O27" s="284"/>
      <c r="Q27" s="284"/>
      <c r="W27" s="245"/>
      <c r="AD27" s="285"/>
    </row>
    <row r="28" spans="1:30" x14ac:dyDescent="0.55000000000000004">
      <c r="A28" s="259"/>
      <c r="B28" s="277"/>
      <c r="C28" s="276"/>
      <c r="D28" s="276"/>
      <c r="E28" s="276"/>
      <c r="F28" s="284"/>
      <c r="G28" s="284"/>
      <c r="H28" s="284"/>
      <c r="K28" s="284"/>
      <c r="L28" s="284"/>
      <c r="M28" s="284"/>
      <c r="N28" s="284"/>
      <c r="O28" s="284"/>
      <c r="Q28" s="284"/>
      <c r="W28" s="245"/>
      <c r="AD28" s="285"/>
    </row>
    <row r="29" spans="1:30" x14ac:dyDescent="0.55000000000000004">
      <c r="A29" s="259"/>
      <c r="B29" s="277"/>
      <c r="C29" s="276"/>
      <c r="D29" s="276"/>
      <c r="E29" s="276"/>
      <c r="F29" s="245"/>
      <c r="G29" s="245"/>
      <c r="H29" s="245"/>
      <c r="K29" s="245"/>
      <c r="L29" s="245"/>
      <c r="M29" s="245"/>
      <c r="N29" s="245"/>
      <c r="O29" s="245"/>
      <c r="Q29" s="245"/>
      <c r="V29" s="245"/>
      <c r="W29" s="245"/>
      <c r="X29" s="245"/>
      <c r="Y29" s="245"/>
      <c r="Z29" s="245"/>
      <c r="AA29" s="245"/>
      <c r="AB29" s="245"/>
      <c r="AC29" s="245"/>
      <c r="AD29" s="246"/>
    </row>
    <row r="30" spans="1:30" ht="14.4" customHeight="1" x14ac:dyDescent="0.55000000000000004">
      <c r="A30" s="259"/>
      <c r="B30" s="279"/>
      <c r="C30" s="278"/>
      <c r="D30" s="278"/>
      <c r="E30" s="278"/>
      <c r="F30" s="245"/>
      <c r="G30" s="245"/>
      <c r="H30" s="245"/>
      <c r="K30" s="245"/>
      <c r="L30" s="245"/>
      <c r="M30" s="245"/>
      <c r="N30" s="245"/>
      <c r="O30" s="245"/>
      <c r="Q30" s="245"/>
      <c r="AD30" s="246"/>
    </row>
    <row r="31" spans="1:30" x14ac:dyDescent="0.55000000000000004">
      <c r="A31" s="259"/>
      <c r="B31" s="270" t="s">
        <v>222</v>
      </c>
      <c r="C31" s="271"/>
      <c r="D31" s="271"/>
      <c r="E31" s="271"/>
      <c r="F31" s="271"/>
      <c r="G31" s="271"/>
      <c r="H31" s="271"/>
      <c r="I31" s="271"/>
      <c r="K31" s="245"/>
      <c r="L31" s="245"/>
      <c r="M31" s="245"/>
      <c r="N31" s="245"/>
      <c r="O31" s="245"/>
      <c r="Q31" s="245"/>
      <c r="AD31" s="246"/>
    </row>
    <row r="32" spans="1:30" x14ac:dyDescent="0.55000000000000004">
      <c r="A32" s="259"/>
      <c r="B32" s="270"/>
      <c r="C32" s="271"/>
      <c r="D32" s="271"/>
      <c r="E32" s="271"/>
      <c r="F32" s="271"/>
      <c r="G32" s="271"/>
      <c r="H32" s="271"/>
      <c r="I32" s="271"/>
      <c r="K32" s="245"/>
      <c r="L32" s="245"/>
      <c r="M32" s="245"/>
      <c r="N32" s="245"/>
      <c r="O32" s="245"/>
      <c r="Q32" s="245"/>
      <c r="AD32" s="246"/>
    </row>
    <row r="33" spans="1:30" x14ac:dyDescent="0.55000000000000004">
      <c r="A33" s="259"/>
      <c r="B33" s="270"/>
      <c r="C33" s="271"/>
      <c r="D33" s="271"/>
      <c r="E33" s="271"/>
      <c r="F33" s="271"/>
      <c r="G33" s="271"/>
      <c r="H33" s="271"/>
      <c r="I33" s="271"/>
      <c r="K33" s="245"/>
      <c r="L33" s="245"/>
      <c r="M33" s="245"/>
      <c r="N33" s="245"/>
      <c r="O33" s="245"/>
      <c r="Q33" s="245"/>
      <c r="V33" s="245"/>
      <c r="W33" s="245"/>
      <c r="X33" s="245"/>
      <c r="Y33" s="245"/>
      <c r="Z33" s="245"/>
      <c r="AA33" s="245"/>
      <c r="AB33" s="245"/>
      <c r="AC33" s="245"/>
      <c r="AD33" s="246"/>
    </row>
    <row r="34" spans="1:30" x14ac:dyDescent="0.55000000000000004">
      <c r="A34" s="259"/>
      <c r="B34" s="270"/>
      <c r="C34" s="271"/>
      <c r="D34" s="271"/>
      <c r="E34" s="271"/>
      <c r="F34" s="271"/>
      <c r="G34" s="271"/>
      <c r="H34" s="271"/>
      <c r="I34" s="271"/>
      <c r="K34" s="245"/>
      <c r="L34" s="245"/>
      <c r="M34" s="245"/>
      <c r="N34" s="245"/>
      <c r="O34" s="245"/>
      <c r="Q34" s="245"/>
      <c r="V34" s="245"/>
      <c r="W34" s="245"/>
      <c r="X34" s="245"/>
      <c r="Y34" s="245"/>
      <c r="Z34" s="245"/>
      <c r="AA34" s="245"/>
      <c r="AB34" s="245"/>
      <c r="AC34" s="245"/>
      <c r="AD34" s="246"/>
    </row>
    <row r="35" spans="1:30" ht="14.4" customHeight="1" x14ac:dyDescent="0.55000000000000004">
      <c r="A35" s="259"/>
      <c r="B35" s="270"/>
      <c r="C35" s="271"/>
      <c r="D35" s="271"/>
      <c r="E35" s="271"/>
      <c r="F35" s="271"/>
      <c r="G35" s="271"/>
      <c r="H35" s="271"/>
      <c r="I35" s="271"/>
      <c r="K35" s="271" t="s">
        <v>224</v>
      </c>
      <c r="L35" s="271"/>
      <c r="M35" s="271"/>
      <c r="N35" s="271"/>
      <c r="O35" s="271"/>
      <c r="P35" s="271"/>
      <c r="Q35" s="271"/>
      <c r="R35" s="271"/>
      <c r="S35" s="271"/>
      <c r="T35" s="271"/>
      <c r="V35" s="245"/>
      <c r="W35" s="245"/>
      <c r="X35" s="245"/>
      <c r="Y35" s="245"/>
      <c r="Z35" s="245"/>
      <c r="AA35" s="245"/>
      <c r="AB35" s="245"/>
      <c r="AC35" s="245"/>
      <c r="AD35" s="246"/>
    </row>
    <row r="36" spans="1:30" x14ac:dyDescent="0.55000000000000004">
      <c r="A36" s="259"/>
      <c r="B36" s="281"/>
      <c r="C36" s="232"/>
      <c r="D36" s="232"/>
      <c r="E36" s="232"/>
      <c r="F36" s="232"/>
      <c r="G36" s="232"/>
      <c r="H36" s="232"/>
      <c r="I36" s="232"/>
      <c r="K36" s="271"/>
      <c r="L36" s="271"/>
      <c r="M36" s="271"/>
      <c r="N36" s="271"/>
      <c r="O36" s="271"/>
      <c r="P36" s="271"/>
      <c r="Q36" s="271"/>
      <c r="R36" s="271"/>
      <c r="S36" s="271"/>
      <c r="T36" s="271"/>
      <c r="U36" s="245"/>
      <c r="V36" s="245"/>
      <c r="W36" s="245"/>
      <c r="X36" s="245"/>
      <c r="Y36" s="245"/>
      <c r="Z36" s="245"/>
      <c r="AA36" s="245"/>
      <c r="AB36" s="245"/>
      <c r="AC36" s="245"/>
      <c r="AD36" s="246"/>
    </row>
    <row r="37" spans="1:30" x14ac:dyDescent="0.55000000000000004">
      <c r="A37" s="259"/>
      <c r="B37" s="281"/>
      <c r="C37" s="232"/>
      <c r="D37" s="232"/>
      <c r="E37" s="232"/>
      <c r="F37" s="232"/>
      <c r="G37" s="232"/>
      <c r="H37" s="232"/>
      <c r="I37" s="232"/>
      <c r="K37" s="271"/>
      <c r="L37" s="271"/>
      <c r="M37" s="271"/>
      <c r="N37" s="271"/>
      <c r="O37" s="271"/>
      <c r="P37" s="271"/>
      <c r="Q37" s="271"/>
      <c r="R37" s="271"/>
      <c r="S37" s="271"/>
      <c r="T37" s="271"/>
      <c r="V37" s="245"/>
      <c r="W37" s="245"/>
      <c r="X37" s="245"/>
      <c r="Y37" s="245"/>
      <c r="Z37" s="245"/>
      <c r="AA37" s="245"/>
      <c r="AB37" s="245"/>
      <c r="AC37" s="245"/>
      <c r="AD37" s="246"/>
    </row>
    <row r="38" spans="1:30" x14ac:dyDescent="0.55000000000000004">
      <c r="A38" s="259"/>
      <c r="B38" s="281"/>
      <c r="C38" s="232"/>
      <c r="D38" s="232"/>
      <c r="E38" s="232"/>
      <c r="F38" s="232"/>
      <c r="G38" s="232"/>
      <c r="H38" s="232"/>
      <c r="I38" s="232"/>
      <c r="T38" s="245"/>
      <c r="AB38" s="245"/>
      <c r="AC38" s="245"/>
      <c r="AD38" s="246"/>
    </row>
    <row r="39" spans="1:30" ht="20.399999999999999" x14ac:dyDescent="0.75">
      <c r="A39" s="259"/>
      <c r="B39" s="288"/>
      <c r="C39" s="282"/>
      <c r="D39" s="282"/>
      <c r="E39" s="282"/>
      <c r="F39" s="282"/>
      <c r="G39" s="282"/>
      <c r="H39" s="282"/>
      <c r="I39" s="282"/>
      <c r="T39" s="245"/>
      <c r="AB39" s="245"/>
      <c r="AC39" s="245"/>
      <c r="AD39" s="246"/>
    </row>
    <row r="40" spans="1:30" x14ac:dyDescent="0.55000000000000004">
      <c r="A40" s="259"/>
      <c r="B40" s="283"/>
      <c r="C40" s="284"/>
      <c r="D40" s="284"/>
      <c r="E40" s="284"/>
      <c r="F40" s="284"/>
      <c r="G40" s="284"/>
      <c r="H40" s="284"/>
      <c r="I40" s="284"/>
      <c r="K40" s="284"/>
      <c r="L40" s="284"/>
      <c r="M40" s="284"/>
      <c r="N40" s="284"/>
      <c r="O40" s="284"/>
      <c r="P40" s="284"/>
      <c r="Q40" s="284"/>
      <c r="R40" s="284"/>
      <c r="S40" s="284"/>
      <c r="T40" s="245"/>
      <c r="U40" s="245"/>
      <c r="AB40" s="245"/>
      <c r="AC40" s="245"/>
      <c r="AD40" s="246"/>
    </row>
    <row r="41" spans="1:30" ht="20.399999999999999" x14ac:dyDescent="0.75">
      <c r="A41" s="259"/>
      <c r="B41" s="283"/>
      <c r="C41" s="284"/>
      <c r="D41" s="284"/>
      <c r="E41" s="284"/>
      <c r="F41" s="284"/>
      <c r="G41" s="284"/>
      <c r="H41" s="284"/>
      <c r="I41" s="284"/>
      <c r="K41" s="282"/>
      <c r="L41" s="282"/>
      <c r="M41" s="282"/>
      <c r="N41" s="282"/>
      <c r="O41" s="282"/>
      <c r="P41" s="282"/>
      <c r="Q41" s="282"/>
      <c r="R41" s="282"/>
      <c r="S41" s="282"/>
      <c r="T41" s="245"/>
      <c r="U41" s="245"/>
      <c r="AB41" s="245"/>
      <c r="AC41" s="245"/>
      <c r="AD41" s="246"/>
    </row>
    <row r="42" spans="1:30" x14ac:dyDescent="0.55000000000000004">
      <c r="A42" s="259"/>
      <c r="B42" s="283"/>
      <c r="C42" s="284"/>
      <c r="D42" s="284"/>
      <c r="E42" s="284"/>
      <c r="F42" s="284"/>
      <c r="G42" s="284"/>
      <c r="H42" s="284"/>
      <c r="I42" s="284"/>
      <c r="K42" s="232"/>
      <c r="L42" s="232"/>
      <c r="M42" s="232"/>
      <c r="N42" s="232"/>
      <c r="O42" s="232"/>
      <c r="P42" s="232"/>
      <c r="Q42" s="232"/>
      <c r="R42" s="232"/>
      <c r="S42" s="232"/>
      <c r="T42" s="245"/>
      <c r="U42" s="245"/>
      <c r="AB42" s="245"/>
      <c r="AC42" s="245"/>
      <c r="AD42" s="246"/>
    </row>
    <row r="43" spans="1:30" x14ac:dyDescent="0.55000000000000004">
      <c r="A43" s="259"/>
      <c r="B43" s="283"/>
      <c r="C43" s="284"/>
      <c r="D43" s="284"/>
      <c r="E43" s="284"/>
      <c r="F43" s="284"/>
      <c r="G43" s="284"/>
      <c r="H43" s="284"/>
      <c r="I43" s="284"/>
      <c r="J43" s="245"/>
      <c r="K43" s="232"/>
      <c r="L43" s="232"/>
      <c r="M43" s="232"/>
      <c r="N43" s="232"/>
      <c r="O43" s="232"/>
      <c r="P43" s="232"/>
      <c r="Q43" s="232"/>
      <c r="R43" s="232"/>
      <c r="S43" s="232"/>
      <c r="T43" s="245"/>
      <c r="U43" s="245"/>
      <c r="AB43" s="245"/>
      <c r="AC43" s="245"/>
      <c r="AD43" s="246"/>
    </row>
    <row r="44" spans="1:30" x14ac:dyDescent="0.55000000000000004">
      <c r="A44" s="259"/>
      <c r="B44" s="290"/>
      <c r="C44" s="245"/>
      <c r="D44" s="245"/>
      <c r="E44" s="245"/>
      <c r="F44" s="245"/>
      <c r="G44" s="245"/>
      <c r="H44" s="245"/>
      <c r="I44" s="245"/>
      <c r="J44" s="245"/>
      <c r="K44" s="232"/>
      <c r="L44" s="232"/>
      <c r="M44" s="232"/>
      <c r="N44" s="232"/>
      <c r="O44" s="232"/>
      <c r="P44" s="232"/>
      <c r="Q44" s="232"/>
      <c r="R44" s="232"/>
      <c r="S44" s="232"/>
      <c r="T44" s="245"/>
      <c r="U44" s="245"/>
      <c r="AB44" s="245"/>
      <c r="AC44" s="245"/>
      <c r="AD44" s="246"/>
    </row>
    <row r="45" spans="1:30" ht="20.399999999999999" x14ac:dyDescent="0.75">
      <c r="A45" s="259"/>
      <c r="B45" s="279"/>
      <c r="C45" s="278"/>
      <c r="D45" s="278"/>
      <c r="E45" s="278"/>
      <c r="F45" s="245"/>
      <c r="G45" s="245"/>
      <c r="H45" s="245"/>
      <c r="K45" s="282"/>
      <c r="L45" s="282"/>
      <c r="M45" s="282"/>
      <c r="N45" s="282"/>
      <c r="O45" s="282"/>
      <c r="P45" s="282"/>
      <c r="Q45" s="282"/>
      <c r="R45" s="282"/>
      <c r="S45" s="282"/>
      <c r="AB45" s="245"/>
      <c r="AC45" s="245"/>
      <c r="AD45" s="246"/>
    </row>
    <row r="46" spans="1:30" x14ac:dyDescent="0.55000000000000004">
      <c r="A46" s="259"/>
      <c r="B46" s="291" t="s">
        <v>221</v>
      </c>
      <c r="C46" s="292"/>
      <c r="D46" s="292"/>
      <c r="E46" s="292"/>
      <c r="F46" s="292"/>
      <c r="G46" s="292"/>
      <c r="H46" s="292"/>
      <c r="I46" s="292"/>
      <c r="K46" s="284"/>
      <c r="L46" s="284"/>
      <c r="M46" s="284"/>
      <c r="N46" s="284"/>
      <c r="O46" s="284"/>
      <c r="P46" s="284"/>
      <c r="Q46" s="284"/>
      <c r="R46" s="284"/>
      <c r="S46" s="284"/>
      <c r="AB46" s="245"/>
      <c r="AC46" s="245"/>
      <c r="AD46" s="246"/>
    </row>
    <row r="47" spans="1:30" x14ac:dyDescent="0.55000000000000004">
      <c r="A47" s="259"/>
      <c r="B47" s="291"/>
      <c r="C47" s="292"/>
      <c r="D47" s="292"/>
      <c r="E47" s="292"/>
      <c r="F47" s="292"/>
      <c r="G47" s="292"/>
      <c r="H47" s="292"/>
      <c r="I47" s="292"/>
      <c r="K47" s="284"/>
      <c r="L47" s="284"/>
      <c r="M47" s="284"/>
      <c r="N47" s="284"/>
      <c r="O47" s="284"/>
      <c r="P47" s="284"/>
      <c r="Q47" s="284"/>
      <c r="R47" s="284"/>
      <c r="S47" s="284"/>
      <c r="AB47" s="245"/>
      <c r="AC47" s="245"/>
      <c r="AD47" s="246"/>
    </row>
    <row r="48" spans="1:30" x14ac:dyDescent="0.55000000000000004">
      <c r="A48" s="259"/>
      <c r="B48" s="290"/>
      <c r="C48" s="245"/>
      <c r="D48" s="245"/>
      <c r="E48" s="245"/>
      <c r="F48" s="245"/>
      <c r="G48" s="245"/>
      <c r="H48" s="245"/>
      <c r="I48" s="245"/>
      <c r="K48" s="284"/>
      <c r="L48" s="284"/>
      <c r="M48" s="284"/>
      <c r="N48" s="284"/>
      <c r="O48" s="284"/>
      <c r="P48" s="284"/>
      <c r="Q48" s="284"/>
      <c r="R48" s="284"/>
      <c r="S48" s="284"/>
      <c r="AB48" s="245"/>
      <c r="AC48" s="245"/>
      <c r="AD48" s="246"/>
    </row>
    <row r="49" spans="1:30" x14ac:dyDescent="0.55000000000000004">
      <c r="A49" s="259"/>
      <c r="B49" s="290"/>
      <c r="C49" s="245"/>
      <c r="D49" s="245"/>
      <c r="E49" s="245"/>
      <c r="F49" s="245"/>
      <c r="G49" s="245"/>
      <c r="H49" s="245"/>
      <c r="I49" s="245"/>
      <c r="K49" s="284"/>
      <c r="L49" s="284"/>
      <c r="M49" s="284"/>
      <c r="N49" s="284"/>
      <c r="O49" s="284"/>
      <c r="P49" s="284"/>
      <c r="Q49" s="284"/>
      <c r="R49" s="284"/>
      <c r="S49" s="284"/>
      <c r="AB49" s="245"/>
      <c r="AC49" s="245"/>
      <c r="AD49" s="246"/>
    </row>
    <row r="50" spans="1:30" x14ac:dyDescent="0.55000000000000004">
      <c r="A50" s="259"/>
      <c r="B50" s="290"/>
      <c r="C50" s="245"/>
      <c r="D50" s="245"/>
      <c r="E50" s="245"/>
      <c r="F50" s="245"/>
      <c r="G50" s="245"/>
      <c r="H50" s="245"/>
      <c r="I50" s="245"/>
      <c r="K50" s="245"/>
      <c r="L50" s="245"/>
      <c r="M50" s="245"/>
      <c r="N50" s="245"/>
      <c r="O50" s="245"/>
      <c r="P50" s="245"/>
      <c r="Q50" s="245"/>
      <c r="R50" s="245"/>
      <c r="S50" s="245"/>
      <c r="AD50" s="246"/>
    </row>
    <row r="51" spans="1:30" x14ac:dyDescent="0.55000000000000004">
      <c r="A51" s="259"/>
      <c r="B51" s="290"/>
      <c r="C51" s="245"/>
      <c r="D51" s="245"/>
      <c r="E51" s="245"/>
      <c r="F51" s="245"/>
      <c r="G51" s="245"/>
      <c r="H51" s="245"/>
      <c r="I51" s="245"/>
      <c r="K51" s="245"/>
      <c r="L51" s="245"/>
      <c r="M51" s="245"/>
      <c r="N51" s="245"/>
      <c r="O51" s="245"/>
      <c r="P51" s="245"/>
      <c r="Q51" s="245"/>
      <c r="R51" s="245"/>
      <c r="S51" s="245"/>
      <c r="AD51" s="246"/>
    </row>
    <row r="52" spans="1:30" x14ac:dyDescent="0.55000000000000004">
      <c r="A52" s="259"/>
      <c r="B52" s="290"/>
      <c r="C52" s="245"/>
      <c r="D52" s="245"/>
      <c r="E52" s="245"/>
      <c r="F52" s="245"/>
      <c r="G52" s="245"/>
      <c r="H52" s="245"/>
      <c r="I52" s="245"/>
      <c r="K52" s="245"/>
      <c r="L52" s="245"/>
      <c r="M52" s="245"/>
      <c r="N52" s="245"/>
      <c r="O52" s="245"/>
      <c r="P52" s="245"/>
      <c r="Q52" s="245"/>
      <c r="R52" s="245"/>
      <c r="S52" s="245"/>
      <c r="AD52" s="246"/>
    </row>
    <row r="53" spans="1:30" x14ac:dyDescent="0.55000000000000004">
      <c r="A53" s="259"/>
      <c r="B53" s="290"/>
      <c r="C53" s="245"/>
      <c r="D53" s="245"/>
      <c r="E53" s="245"/>
      <c r="F53" s="245"/>
      <c r="G53" s="245"/>
      <c r="H53" s="245"/>
      <c r="I53" s="245"/>
      <c r="K53" s="245"/>
      <c r="L53" s="245"/>
      <c r="M53" s="245"/>
      <c r="N53" s="245"/>
      <c r="O53" s="245"/>
      <c r="P53" s="245"/>
      <c r="Q53" s="245"/>
      <c r="R53" s="245"/>
      <c r="S53" s="245"/>
      <c r="AD53" s="246"/>
    </row>
    <row r="54" spans="1:30" x14ac:dyDescent="0.55000000000000004">
      <c r="A54" s="259"/>
      <c r="B54" s="290"/>
      <c r="C54" s="245"/>
      <c r="D54" s="245"/>
      <c r="E54" s="245"/>
      <c r="F54" s="245"/>
      <c r="G54" s="245"/>
      <c r="H54" s="245"/>
      <c r="I54" s="245"/>
      <c r="K54" s="245"/>
      <c r="L54" s="245"/>
      <c r="M54" s="245"/>
      <c r="N54" s="245"/>
      <c r="O54" s="245"/>
      <c r="P54" s="245"/>
      <c r="Q54" s="245"/>
      <c r="R54" s="245"/>
      <c r="S54" s="245"/>
      <c r="AD54" s="246"/>
    </row>
    <row r="55" spans="1:30" x14ac:dyDescent="0.55000000000000004">
      <c r="A55" s="259"/>
      <c r="B55" s="290"/>
      <c r="C55" s="245"/>
      <c r="D55" s="245"/>
      <c r="E55" s="245"/>
      <c r="F55" s="245"/>
      <c r="G55" s="245"/>
      <c r="H55" s="245"/>
      <c r="I55" s="245"/>
      <c r="K55" s="245"/>
      <c r="L55" s="245"/>
      <c r="M55" s="245"/>
      <c r="N55" s="245"/>
      <c r="O55" s="245"/>
      <c r="P55" s="245"/>
      <c r="Q55" s="245"/>
      <c r="R55" s="245"/>
      <c r="S55" s="245"/>
      <c r="AD55" s="246"/>
    </row>
    <row r="56" spans="1:30" x14ac:dyDescent="0.55000000000000004">
      <c r="A56" s="259"/>
      <c r="B56" s="290"/>
      <c r="C56" s="245"/>
      <c r="D56" s="245"/>
      <c r="E56" s="245"/>
      <c r="F56" s="245"/>
      <c r="G56" s="245"/>
      <c r="H56" s="245"/>
      <c r="I56" s="245"/>
      <c r="K56" s="245"/>
      <c r="L56" s="245"/>
      <c r="M56" s="245"/>
      <c r="N56" s="245"/>
      <c r="O56" s="245"/>
      <c r="P56" s="245"/>
      <c r="Q56" s="245"/>
      <c r="R56" s="245"/>
      <c r="S56" s="245"/>
      <c r="AD56" s="246"/>
    </row>
    <row r="57" spans="1:30" x14ac:dyDescent="0.55000000000000004">
      <c r="A57" s="259"/>
      <c r="B57" s="290"/>
      <c r="C57" s="245"/>
      <c r="D57" s="245"/>
      <c r="E57" s="245"/>
      <c r="F57" s="245"/>
      <c r="G57" s="245"/>
      <c r="H57" s="245"/>
      <c r="I57" s="245"/>
      <c r="J57" s="245"/>
      <c r="K57" s="245"/>
      <c r="L57" s="245"/>
      <c r="M57" s="245"/>
      <c r="N57" s="245"/>
      <c r="O57" s="245"/>
      <c r="P57" s="245"/>
      <c r="Q57" s="245"/>
      <c r="R57" s="245"/>
      <c r="S57" s="245"/>
      <c r="T57" s="245"/>
      <c r="U57" s="245"/>
      <c r="V57" s="245"/>
      <c r="W57" s="245"/>
      <c r="X57" s="245"/>
      <c r="Y57" s="245"/>
      <c r="Z57" s="245"/>
      <c r="AA57" s="245"/>
      <c r="AB57" s="245"/>
      <c r="AC57" s="245"/>
      <c r="AD57" s="246"/>
    </row>
    <row r="58" spans="1:30" ht="14.7" thickBot="1" x14ac:dyDescent="0.6">
      <c r="A58" s="293"/>
      <c r="B58" s="294"/>
      <c r="C58" s="295"/>
      <c r="D58" s="295"/>
      <c r="E58" s="295"/>
      <c r="F58" s="255"/>
      <c r="G58" s="255"/>
      <c r="H58" s="255"/>
      <c r="I58" s="255"/>
      <c r="J58" s="255"/>
      <c r="K58" s="255"/>
      <c r="L58" s="255"/>
      <c r="M58" s="255"/>
      <c r="N58" s="255"/>
      <c r="O58" s="255"/>
      <c r="P58" s="255"/>
      <c r="Q58" s="255"/>
      <c r="R58" s="255"/>
      <c r="S58" s="255"/>
      <c r="T58" s="255"/>
      <c r="U58" s="255"/>
      <c r="V58" s="255"/>
      <c r="W58" s="255"/>
      <c r="X58" s="255"/>
      <c r="Y58" s="255"/>
      <c r="Z58" s="255"/>
      <c r="AA58" s="255"/>
      <c r="AB58" s="255"/>
      <c r="AC58" s="255"/>
      <c r="AD58" s="296"/>
    </row>
    <row r="59" spans="1:30" x14ac:dyDescent="0.55000000000000004">
      <c r="B59" s="279"/>
      <c r="C59" s="278"/>
      <c r="D59" s="278"/>
      <c r="E59" s="278"/>
      <c r="F59" s="245"/>
      <c r="G59" s="245"/>
      <c r="H59" s="245"/>
      <c r="I59" s="245"/>
      <c r="J59" s="245"/>
      <c r="K59" s="245"/>
      <c r="L59" s="245"/>
      <c r="M59" s="245"/>
      <c r="N59" s="245"/>
      <c r="O59" s="245"/>
      <c r="P59" s="245"/>
      <c r="Q59" s="245"/>
      <c r="R59" s="245"/>
      <c r="S59" s="245"/>
      <c r="T59" s="245"/>
      <c r="U59" s="245"/>
      <c r="V59" s="245"/>
      <c r="W59" s="245"/>
      <c r="X59" s="245"/>
      <c r="Y59" s="245"/>
      <c r="Z59" s="245"/>
      <c r="AA59" s="245"/>
      <c r="AB59" s="245"/>
      <c r="AC59" s="245"/>
      <c r="AD59" s="297"/>
    </row>
    <row r="60" spans="1:30" x14ac:dyDescent="0.55000000000000004">
      <c r="B60" s="279"/>
      <c r="C60" s="278"/>
      <c r="D60" s="278"/>
      <c r="E60" s="278"/>
      <c r="F60" s="245"/>
      <c r="G60" s="245"/>
      <c r="H60" s="245"/>
      <c r="I60" s="245"/>
      <c r="J60" s="245"/>
      <c r="K60" s="245"/>
      <c r="L60" s="245"/>
      <c r="M60" s="245"/>
      <c r="N60" s="245"/>
      <c r="O60" s="245"/>
      <c r="P60" s="245"/>
      <c r="Q60" s="245"/>
      <c r="R60" s="245"/>
      <c r="S60" s="245"/>
      <c r="T60" s="245"/>
      <c r="U60" s="245"/>
      <c r="V60" s="245"/>
      <c r="W60" s="245"/>
      <c r="X60" s="245"/>
      <c r="Y60" s="245"/>
      <c r="Z60" s="245"/>
      <c r="AA60" s="245"/>
      <c r="AB60" s="245"/>
      <c r="AC60" s="245"/>
      <c r="AD60" s="297"/>
    </row>
    <row r="61" spans="1:30" x14ac:dyDescent="0.55000000000000004">
      <c r="B61" s="279"/>
      <c r="C61" s="278"/>
      <c r="D61" s="278"/>
      <c r="E61" s="278"/>
      <c r="F61" s="245"/>
      <c r="G61" s="245"/>
      <c r="H61" s="245"/>
      <c r="I61" s="245"/>
      <c r="J61" s="245"/>
      <c r="K61" s="245"/>
      <c r="L61" s="245"/>
      <c r="M61" s="245"/>
      <c r="N61" s="245"/>
      <c r="O61" s="245"/>
      <c r="P61" s="245"/>
      <c r="Q61" s="245"/>
      <c r="R61" s="245"/>
      <c r="S61" s="245"/>
      <c r="T61" s="245"/>
      <c r="U61" s="245"/>
      <c r="V61" s="245"/>
      <c r="W61" s="245"/>
      <c r="X61" s="245"/>
      <c r="Y61" s="245"/>
      <c r="Z61" s="245"/>
      <c r="AA61" s="245"/>
      <c r="AB61" s="245"/>
      <c r="AC61" s="245"/>
      <c r="AD61" s="297"/>
    </row>
    <row r="62" spans="1:30" ht="14.7" thickBot="1" x14ac:dyDescent="0.6">
      <c r="B62" s="298"/>
      <c r="C62" s="299"/>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0"/>
      <c r="AC62" s="300"/>
      <c r="AD62" s="301"/>
    </row>
  </sheetData>
  <sheetProtection algorithmName="SHA-512" hashValue="zH/IHtryxsuLdlmePxZt0gTxz2XswhPWVnekeaG0B31b/SmWU2izZD/SgSxfrmAKvA+YP3J3R8r1sT3SYvTk6w==" saltValue="0bYZCxwZj4qWUCx9GnRjOA==" spinCount="100000" sheet="1" objects="1" scenarios="1" formatColumns="0" formatRows="0" autoFilter="0"/>
  <mergeCells count="17">
    <mergeCell ref="B1:AD3"/>
    <mergeCell ref="B5:AD5"/>
    <mergeCell ref="B6:C6"/>
    <mergeCell ref="C7:H7"/>
    <mergeCell ref="B10:D10"/>
    <mergeCell ref="E10:G10"/>
    <mergeCell ref="H10:K10"/>
    <mergeCell ref="B9:P9"/>
    <mergeCell ref="N10:Q10"/>
    <mergeCell ref="R10:U10"/>
    <mergeCell ref="V9:AC12"/>
    <mergeCell ref="B46:I47"/>
    <mergeCell ref="A4:AD4"/>
    <mergeCell ref="B17:I20"/>
    <mergeCell ref="K35:T37"/>
    <mergeCell ref="K16:T17"/>
    <mergeCell ref="B31:I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2D72-E805-4F17-97F3-D604517C9D5F}">
  <sheetPr codeName="Sheet4">
    <tabColor theme="0" tint="-4.9989318521683403E-2"/>
  </sheetPr>
  <dimension ref="A1:BJ314"/>
  <sheetViews>
    <sheetView zoomScale="90" zoomScaleNormal="90" workbookViewId="0">
      <selection activeCell="A3" sqref="A3"/>
    </sheetView>
  </sheetViews>
  <sheetFormatPr defaultColWidth="8.83984375" defaultRowHeight="14.4" x14ac:dyDescent="0.55000000000000004"/>
  <cols>
    <col min="1" max="1" width="27.41796875" style="17" customWidth="1"/>
    <col min="2" max="2" width="14.578125" style="17" customWidth="1"/>
    <col min="3" max="3" width="14.41796875" style="17" bestFit="1" customWidth="1"/>
    <col min="4" max="4" width="13.41796875" style="17" bestFit="1" customWidth="1"/>
    <col min="5" max="5" width="12.15625" style="17" bestFit="1" customWidth="1"/>
    <col min="6" max="6" width="8.83984375" style="196"/>
    <col min="7" max="7" width="12.41796875" style="17" customWidth="1"/>
    <col min="8" max="8" width="11.41796875" style="17" bestFit="1" customWidth="1"/>
    <col min="9" max="9" width="11.83984375" style="17" bestFit="1" customWidth="1"/>
    <col min="10" max="10" width="10.15625" style="17" bestFit="1" customWidth="1"/>
    <col min="11" max="11" width="9.15625" style="17" bestFit="1" customWidth="1"/>
    <col min="12" max="17" width="10.578125" style="17" bestFit="1" customWidth="1"/>
    <col min="18" max="20" width="10" style="17" bestFit="1" customWidth="1"/>
    <col min="21" max="23" width="10.26171875" style="17" bestFit="1" customWidth="1"/>
    <col min="24" max="29" width="8.15625" style="17" bestFit="1" customWidth="1"/>
    <col min="30" max="34" width="8.83984375" style="17"/>
    <col min="35" max="59" width="8.578125" style="17" customWidth="1"/>
    <col min="60" max="60" width="8.83984375" style="17"/>
    <col min="61" max="61" width="17.578125" style="17" bestFit="1" customWidth="1"/>
    <col min="62" max="62" width="12.578125" style="17" bestFit="1" customWidth="1"/>
    <col min="63" max="16384" width="8.83984375" style="17"/>
  </cols>
  <sheetData>
    <row r="1" spans="1:62" s="156" customFormat="1" ht="28.8" x14ac:dyDescent="0.55000000000000004">
      <c r="A1" s="198"/>
      <c r="B1" s="199" t="s">
        <v>37</v>
      </c>
      <c r="C1" s="199"/>
      <c r="D1" s="199"/>
      <c r="E1" s="199"/>
      <c r="F1" s="199"/>
      <c r="G1" s="200" t="s">
        <v>38</v>
      </c>
      <c r="H1" s="199" t="s">
        <v>39</v>
      </c>
      <c r="I1" s="199"/>
      <c r="J1" s="199"/>
      <c r="K1" s="199"/>
      <c r="L1" s="199" t="s">
        <v>40</v>
      </c>
      <c r="M1" s="199"/>
      <c r="N1" s="199"/>
      <c r="O1" s="199"/>
      <c r="P1" s="199"/>
      <c r="Q1" s="199"/>
      <c r="R1" s="199" t="s">
        <v>41</v>
      </c>
      <c r="S1" s="199"/>
      <c r="T1" s="199"/>
      <c r="U1" s="199" t="s">
        <v>42</v>
      </c>
      <c r="V1" s="199"/>
      <c r="W1" s="199"/>
      <c r="X1" s="199" t="s">
        <v>43</v>
      </c>
      <c r="Y1" s="199"/>
      <c r="Z1" s="199"/>
      <c r="AA1" s="199"/>
      <c r="AB1" s="199"/>
      <c r="AC1" s="199"/>
      <c r="AD1" s="199" t="s">
        <v>44</v>
      </c>
      <c r="AE1" s="199"/>
      <c r="AF1" s="199"/>
      <c r="AG1" s="199"/>
      <c r="AH1" s="199"/>
      <c r="AI1" s="199"/>
      <c r="AJ1" s="199" t="s">
        <v>45</v>
      </c>
      <c r="AK1" s="199"/>
      <c r="AL1" s="199"/>
      <c r="AM1" s="199"/>
      <c r="AN1" s="199"/>
      <c r="AO1" s="199"/>
      <c r="AP1" s="199" t="s">
        <v>46</v>
      </c>
      <c r="AQ1" s="199"/>
      <c r="AR1" s="199"/>
      <c r="AS1" s="199"/>
      <c r="AT1" s="199"/>
      <c r="AU1" s="199"/>
      <c r="AV1" s="199" t="s">
        <v>47</v>
      </c>
      <c r="AW1" s="199"/>
      <c r="AX1" s="199"/>
      <c r="AY1" s="199"/>
      <c r="AZ1" s="199"/>
      <c r="BA1" s="199"/>
      <c r="BB1" s="199" t="s">
        <v>48</v>
      </c>
      <c r="BC1" s="199"/>
      <c r="BD1" s="199"/>
      <c r="BE1" s="199"/>
      <c r="BF1" s="199"/>
      <c r="BG1" s="199"/>
      <c r="BI1" s="199" t="s">
        <v>49</v>
      </c>
      <c r="BJ1" s="199"/>
    </row>
    <row r="2" spans="1:62" s="156" customFormat="1" ht="14.5" customHeight="1" x14ac:dyDescent="0.55000000000000004">
      <c r="A2" s="156" t="s">
        <v>50</v>
      </c>
      <c r="B2" s="201" t="s">
        <v>51</v>
      </c>
      <c r="C2" s="202" t="s">
        <v>52</v>
      </c>
      <c r="D2" s="203" t="s">
        <v>53</v>
      </c>
      <c r="E2" s="203" t="s">
        <v>54</v>
      </c>
      <c r="F2" s="121" t="s">
        <v>55</v>
      </c>
      <c r="G2" s="121" t="s">
        <v>56</v>
      </c>
      <c r="H2" s="204" t="s">
        <v>57</v>
      </c>
      <c r="I2" s="204" t="s">
        <v>58</v>
      </c>
      <c r="J2" s="204" t="s">
        <v>59</v>
      </c>
      <c r="K2" s="204" t="s">
        <v>60</v>
      </c>
      <c r="L2" s="121" t="s">
        <v>61</v>
      </c>
      <c r="M2" s="121" t="s">
        <v>62</v>
      </c>
      <c r="N2" s="121" t="s">
        <v>63</v>
      </c>
      <c r="O2" s="121" t="s">
        <v>64</v>
      </c>
      <c r="P2" s="121" t="s">
        <v>65</v>
      </c>
      <c r="Q2" s="121" t="s">
        <v>66</v>
      </c>
      <c r="R2" s="156" t="s">
        <v>67</v>
      </c>
      <c r="S2" s="156" t="s">
        <v>68</v>
      </c>
      <c r="T2" s="156" t="s">
        <v>69</v>
      </c>
      <c r="U2" s="156" t="s">
        <v>70</v>
      </c>
      <c r="V2" s="156" t="s">
        <v>71</v>
      </c>
      <c r="W2" s="156" t="s">
        <v>72</v>
      </c>
      <c r="X2" s="156" t="s">
        <v>73</v>
      </c>
      <c r="Y2" s="156" t="s">
        <v>74</v>
      </c>
      <c r="Z2" s="156" t="s">
        <v>75</v>
      </c>
      <c r="AA2" s="156" t="s">
        <v>76</v>
      </c>
      <c r="AB2" s="156" t="s">
        <v>77</v>
      </c>
      <c r="AC2" s="156" t="s">
        <v>78</v>
      </c>
      <c r="AD2" s="156" t="s">
        <v>79</v>
      </c>
      <c r="AE2" s="156" t="s">
        <v>80</v>
      </c>
      <c r="AF2" s="156" t="s">
        <v>81</v>
      </c>
      <c r="AG2" s="156" t="s">
        <v>82</v>
      </c>
      <c r="AH2" s="156" t="s">
        <v>83</v>
      </c>
      <c r="AI2" s="156" t="s">
        <v>84</v>
      </c>
      <c r="AJ2" s="156" t="s">
        <v>85</v>
      </c>
      <c r="AK2" s="156" t="s">
        <v>86</v>
      </c>
      <c r="AL2" s="156" t="s">
        <v>87</v>
      </c>
      <c r="AM2" s="156" t="s">
        <v>88</v>
      </c>
      <c r="AN2" s="156" t="s">
        <v>89</v>
      </c>
      <c r="AO2" s="156" t="s">
        <v>90</v>
      </c>
      <c r="AP2" s="156" t="s">
        <v>91</v>
      </c>
      <c r="AQ2" s="156" t="s">
        <v>92</v>
      </c>
      <c r="AR2" s="156" t="s">
        <v>93</v>
      </c>
      <c r="AS2" s="156" t="s">
        <v>94</v>
      </c>
      <c r="AT2" s="156" t="s">
        <v>95</v>
      </c>
      <c r="AU2" s="156" t="s">
        <v>96</v>
      </c>
      <c r="AV2" s="156" t="s">
        <v>97</v>
      </c>
      <c r="AW2" s="156" t="s">
        <v>98</v>
      </c>
      <c r="AX2" s="156" t="s">
        <v>99</v>
      </c>
      <c r="AY2" s="156" t="s">
        <v>100</v>
      </c>
      <c r="AZ2" s="156" t="s">
        <v>101</v>
      </c>
      <c r="BA2" s="156" t="s">
        <v>102</v>
      </c>
      <c r="BB2" s="156" t="s">
        <v>103</v>
      </c>
      <c r="BC2" s="156" t="s">
        <v>104</v>
      </c>
      <c r="BD2" s="156" t="s">
        <v>105</v>
      </c>
      <c r="BE2" s="156" t="s">
        <v>106</v>
      </c>
      <c r="BF2" s="156" t="s">
        <v>107</v>
      </c>
      <c r="BG2" s="156" t="s">
        <v>108</v>
      </c>
      <c r="BI2" s="156" t="s">
        <v>35</v>
      </c>
      <c r="BJ2" s="121" t="s">
        <v>55</v>
      </c>
    </row>
    <row r="3" spans="1:62" s="60" customFormat="1" x14ac:dyDescent="0.55000000000000004">
      <c r="A3" s="1" t="s">
        <v>111</v>
      </c>
      <c r="B3" s="2">
        <f>((3.733-3.8613)/3.74758)/(60-(-40))</f>
        <v>-3.4235426595296127E-4</v>
      </c>
      <c r="C3" s="2">
        <f>((0.02559-0.011038)/0.020222)/(60-(-40))</f>
        <v>7.1961230343190593E-3</v>
      </c>
      <c r="D3" s="3">
        <v>4.0400000000000002E-3</v>
      </c>
      <c r="E3" s="3">
        <v>59600000</v>
      </c>
      <c r="F3" s="12" t="s">
        <v>109</v>
      </c>
      <c r="G3" s="4">
        <v>25</v>
      </c>
      <c r="H3" s="4">
        <v>120</v>
      </c>
      <c r="I3" s="4">
        <v>17</v>
      </c>
      <c r="J3" s="4">
        <v>100</v>
      </c>
      <c r="K3" s="4">
        <v>120</v>
      </c>
      <c r="L3" s="5">
        <v>1</v>
      </c>
      <c r="M3" s="6">
        <v>3</v>
      </c>
      <c r="N3" s="5">
        <v>5</v>
      </c>
      <c r="O3" s="5">
        <v>10</v>
      </c>
      <c r="P3" s="5">
        <v>15</v>
      </c>
      <c r="Q3" s="5">
        <v>20</v>
      </c>
      <c r="R3" s="7">
        <v>122</v>
      </c>
      <c r="S3" s="7">
        <v>127</v>
      </c>
      <c r="T3" s="7">
        <v>140</v>
      </c>
      <c r="U3" s="8">
        <v>0.53</v>
      </c>
      <c r="V3" s="8">
        <v>0.55000000000000004</v>
      </c>
      <c r="W3" s="8">
        <v>0.57999999999999996</v>
      </c>
      <c r="X3" s="9">
        <v>4.05</v>
      </c>
      <c r="Y3" s="9">
        <v>4.04</v>
      </c>
      <c r="Z3" s="9">
        <v>4.01</v>
      </c>
      <c r="AA3" s="9">
        <v>3.96</v>
      </c>
      <c r="AB3" s="9">
        <v>3.93</v>
      </c>
      <c r="AC3" s="9">
        <v>3.9</v>
      </c>
      <c r="AD3" s="9">
        <v>3.98</v>
      </c>
      <c r="AE3" s="9">
        <v>3.97</v>
      </c>
      <c r="AF3" s="9">
        <v>3.94</v>
      </c>
      <c r="AG3" s="9">
        <v>3.9</v>
      </c>
      <c r="AH3" s="9">
        <v>3.87</v>
      </c>
      <c r="AI3" s="9">
        <v>3.84</v>
      </c>
      <c r="AJ3" s="9">
        <v>3.89</v>
      </c>
      <c r="AK3" s="9">
        <v>3.88</v>
      </c>
      <c r="AL3" s="9">
        <v>3.85</v>
      </c>
      <c r="AM3" s="9">
        <v>3.81</v>
      </c>
      <c r="AN3" s="9">
        <v>3.78</v>
      </c>
      <c r="AO3" s="9">
        <v>3.75</v>
      </c>
      <c r="AP3" s="10">
        <v>5.4000000000000003E-3</v>
      </c>
      <c r="AQ3" s="10">
        <v>5.5999999999999999E-3</v>
      </c>
      <c r="AR3" s="10">
        <v>6.1000000000000004E-3</v>
      </c>
      <c r="AS3" s="10">
        <v>6.8999999999999999E-3</v>
      </c>
      <c r="AT3" s="10">
        <v>7.4999999999999997E-3</v>
      </c>
      <c r="AU3" s="10">
        <v>8.0999999999999996E-3</v>
      </c>
      <c r="AV3" s="10">
        <v>5.4000000000000003E-3</v>
      </c>
      <c r="AW3" s="10">
        <v>5.5999999999999999E-3</v>
      </c>
      <c r="AX3" s="10">
        <v>6.1000000000000004E-3</v>
      </c>
      <c r="AY3" s="10">
        <v>6.8999999999999999E-3</v>
      </c>
      <c r="AZ3" s="10">
        <v>7.4999999999999997E-3</v>
      </c>
      <c r="BA3" s="10">
        <v>8.0999999999999996E-3</v>
      </c>
      <c r="BB3" s="10">
        <v>5.4000000000000003E-3</v>
      </c>
      <c r="BC3" s="10">
        <v>5.5999999999999999E-3</v>
      </c>
      <c r="BD3" s="10">
        <v>6.1000000000000004E-3</v>
      </c>
      <c r="BE3" s="10">
        <v>7.0000000000000001E-3</v>
      </c>
      <c r="BF3" s="10">
        <v>7.6E-3</v>
      </c>
      <c r="BG3" s="10">
        <v>8.0999999999999996E-3</v>
      </c>
      <c r="BI3" s="119" t="s">
        <v>110</v>
      </c>
      <c r="BJ3" s="4">
        <f>6*1.1/7.6</f>
        <v>0.86842105263157909</v>
      </c>
    </row>
    <row r="4" spans="1:62" s="60" customFormat="1" x14ac:dyDescent="0.55000000000000004">
      <c r="A4" s="1" t="s">
        <v>113</v>
      </c>
      <c r="B4" s="2">
        <f>((3.29-3.26)/3.276)/(80-(-40))</f>
        <v>7.6312576312576949E-5</v>
      </c>
      <c r="C4" s="2">
        <f>((0.004-0.0024)/0.0035)/(80-(-40))</f>
        <v>3.8095238095238104E-3</v>
      </c>
      <c r="D4" s="3">
        <v>4.0400000000000002E-3</v>
      </c>
      <c r="E4" s="3">
        <v>59600000</v>
      </c>
      <c r="F4" s="12" t="s">
        <v>109</v>
      </c>
      <c r="G4" s="4">
        <v>25</v>
      </c>
      <c r="H4" s="4">
        <v>152.4</v>
      </c>
      <c r="I4" s="4">
        <v>17</v>
      </c>
      <c r="J4" s="4">
        <v>120</v>
      </c>
      <c r="K4" s="4">
        <v>100</v>
      </c>
      <c r="L4" s="5">
        <v>1</v>
      </c>
      <c r="M4" s="6">
        <v>2</v>
      </c>
      <c r="N4" s="5">
        <v>5</v>
      </c>
      <c r="O4" s="5">
        <v>10</v>
      </c>
      <c r="P4" s="5">
        <v>15</v>
      </c>
      <c r="Q4" s="5">
        <v>20</v>
      </c>
      <c r="R4" s="7">
        <v>127</v>
      </c>
      <c r="S4" s="7">
        <v>139.69999999999999</v>
      </c>
      <c r="T4" s="7">
        <v>177.8</v>
      </c>
      <c r="U4" s="8">
        <v>0.6</v>
      </c>
      <c r="V4" s="8">
        <v>0.63</v>
      </c>
      <c r="W4" s="8">
        <v>0.70499999999999996</v>
      </c>
      <c r="X4" s="9">
        <v>3.19</v>
      </c>
      <c r="Y4" s="9">
        <v>3.19</v>
      </c>
      <c r="Z4" s="9">
        <v>3.19</v>
      </c>
      <c r="AA4" s="9">
        <v>3.19</v>
      </c>
      <c r="AB4" s="9">
        <v>3.19</v>
      </c>
      <c r="AC4" s="9">
        <v>3.19</v>
      </c>
      <c r="AD4" s="9">
        <v>3.15</v>
      </c>
      <c r="AE4" s="9">
        <v>3.15</v>
      </c>
      <c r="AF4" s="9">
        <v>3.15</v>
      </c>
      <c r="AG4" s="9">
        <v>3.15</v>
      </c>
      <c r="AH4" s="9">
        <v>3.15</v>
      </c>
      <c r="AI4" s="9">
        <v>3.15</v>
      </c>
      <c r="AJ4" s="9">
        <v>3.02</v>
      </c>
      <c r="AK4" s="9">
        <v>3.02</v>
      </c>
      <c r="AL4" s="9">
        <v>3.0209999999999999</v>
      </c>
      <c r="AM4" s="9">
        <v>3.0190000000000001</v>
      </c>
      <c r="AN4" s="9">
        <v>3.0169999999999999</v>
      </c>
      <c r="AO4" s="9">
        <v>3.0139999999999998</v>
      </c>
      <c r="AP4" s="10">
        <v>2.0999999999999999E-3</v>
      </c>
      <c r="AQ4" s="10">
        <v>2.0999999999999999E-3</v>
      </c>
      <c r="AR4" s="10">
        <v>2.0999999999999999E-3</v>
      </c>
      <c r="AS4" s="10">
        <v>2.0999999999999999E-3</v>
      </c>
      <c r="AT4" s="10">
        <v>2.0999999999999999E-3</v>
      </c>
      <c r="AU4" s="10">
        <v>2.0999999999999999E-3</v>
      </c>
      <c r="AV4" s="10">
        <v>1.9E-3</v>
      </c>
      <c r="AW4" s="10">
        <v>1.9E-3</v>
      </c>
      <c r="AX4" s="10">
        <v>1.9E-3</v>
      </c>
      <c r="AY4" s="10">
        <v>1.9E-3</v>
      </c>
      <c r="AZ4" s="10">
        <v>1.9E-3</v>
      </c>
      <c r="BA4" s="10">
        <v>1.9E-3</v>
      </c>
      <c r="BB4" s="10">
        <v>1.5E-3</v>
      </c>
      <c r="BC4" s="10">
        <v>1.5E-3</v>
      </c>
      <c r="BD4" s="10">
        <v>1.5E-3</v>
      </c>
      <c r="BE4" s="10">
        <v>1.5E-3</v>
      </c>
      <c r="BF4" s="10">
        <v>1.5E-3</v>
      </c>
      <c r="BG4" s="11">
        <v>1.5E-3</v>
      </c>
      <c r="BI4" s="119" t="s">
        <v>112</v>
      </c>
      <c r="BJ4" s="4">
        <f>4*1.1/7.6</f>
        <v>0.57894736842105265</v>
      </c>
    </row>
    <row r="5" spans="1:62" s="60" customFormat="1" x14ac:dyDescent="0.55000000000000004">
      <c r="A5" s="1" t="s">
        <v>115</v>
      </c>
      <c r="B5" s="2"/>
      <c r="C5" s="2"/>
      <c r="D5" s="3">
        <v>4.0400000000000002E-3</v>
      </c>
      <c r="E5" s="3">
        <v>59600000</v>
      </c>
      <c r="F5" s="12" t="s">
        <v>109</v>
      </c>
      <c r="G5" s="4">
        <v>25</v>
      </c>
      <c r="H5" s="4">
        <v>64</v>
      </c>
      <c r="I5" s="4">
        <v>17</v>
      </c>
      <c r="J5" s="4">
        <v>55</v>
      </c>
      <c r="K5" s="4">
        <v>110</v>
      </c>
      <c r="L5" s="5">
        <v>1</v>
      </c>
      <c r="M5" s="6">
        <v>3</v>
      </c>
      <c r="N5" s="5">
        <v>5</v>
      </c>
      <c r="O5" s="5">
        <v>10</v>
      </c>
      <c r="P5" s="5">
        <v>15</v>
      </c>
      <c r="Q5" s="5">
        <v>20</v>
      </c>
      <c r="R5" s="7">
        <v>51</v>
      </c>
      <c r="S5" s="7">
        <v>64</v>
      </c>
      <c r="T5" s="7">
        <v>76</v>
      </c>
      <c r="U5" s="8">
        <v>0.67</v>
      </c>
      <c r="V5" s="8">
        <v>0.72</v>
      </c>
      <c r="W5" s="8">
        <v>0.76</v>
      </c>
      <c r="X5" s="9">
        <v>3.14</v>
      </c>
      <c r="Y5" s="9">
        <v>3.14</v>
      </c>
      <c r="Z5" s="9">
        <v>3.13</v>
      </c>
      <c r="AA5" s="9">
        <v>3.12</v>
      </c>
      <c r="AB5" s="9">
        <v>3.11</v>
      </c>
      <c r="AC5" s="9">
        <v>3.1</v>
      </c>
      <c r="AD5" s="9">
        <v>3.07</v>
      </c>
      <c r="AE5" s="9">
        <v>3.07</v>
      </c>
      <c r="AF5" s="9">
        <v>3.06</v>
      </c>
      <c r="AG5" s="9">
        <v>3.05</v>
      </c>
      <c r="AH5" s="9">
        <v>3.04</v>
      </c>
      <c r="AI5" s="9">
        <v>3.03</v>
      </c>
      <c r="AJ5" s="9">
        <v>3.02</v>
      </c>
      <c r="AK5" s="9">
        <v>3.01</v>
      </c>
      <c r="AL5" s="9">
        <v>3.01</v>
      </c>
      <c r="AM5" s="9">
        <v>3</v>
      </c>
      <c r="AN5" s="9">
        <v>2.99</v>
      </c>
      <c r="AO5" s="9">
        <v>2.99</v>
      </c>
      <c r="AP5" s="10">
        <v>1.2999999999999999E-3</v>
      </c>
      <c r="AQ5" s="10">
        <v>1.6000000000000001E-3</v>
      </c>
      <c r="AR5" s="10">
        <v>1.9E-3</v>
      </c>
      <c r="AS5" s="10">
        <v>2E-3</v>
      </c>
      <c r="AT5" s="10">
        <v>2.2000000000000001E-3</v>
      </c>
      <c r="AU5" s="10">
        <v>2.3E-3</v>
      </c>
      <c r="AV5" s="10">
        <v>1.1999999999999999E-3</v>
      </c>
      <c r="AW5" s="10">
        <v>1.5E-3</v>
      </c>
      <c r="AX5" s="10">
        <v>1.8E-3</v>
      </c>
      <c r="AY5" s="10">
        <v>2E-3</v>
      </c>
      <c r="AZ5" s="10">
        <v>2.2000000000000001E-3</v>
      </c>
      <c r="BA5" s="10">
        <v>2.3E-3</v>
      </c>
      <c r="BB5" s="10">
        <v>1.1000000000000001E-3</v>
      </c>
      <c r="BC5" s="10">
        <v>1.4E-3</v>
      </c>
      <c r="BD5" s="10">
        <v>1.6999999999999999E-3</v>
      </c>
      <c r="BE5" s="10">
        <v>1.9E-3</v>
      </c>
      <c r="BF5" s="10">
        <v>2.0999999999999999E-3</v>
      </c>
      <c r="BG5" s="10">
        <v>2.2000000000000001E-3</v>
      </c>
      <c r="BI5" s="119" t="s">
        <v>114</v>
      </c>
      <c r="BJ5" s="4">
        <f>3*1.1/7.6</f>
        <v>0.43421052631578955</v>
      </c>
    </row>
    <row r="6" spans="1:62" s="60" customFormat="1" x14ac:dyDescent="0.55000000000000004">
      <c r="A6" s="1" t="s">
        <v>117</v>
      </c>
      <c r="B6" s="2"/>
      <c r="C6" s="2"/>
      <c r="D6" s="3">
        <v>4.0400000000000002E-3</v>
      </c>
      <c r="E6" s="3">
        <v>59600000</v>
      </c>
      <c r="F6" s="12" t="s">
        <v>109</v>
      </c>
      <c r="G6" s="4">
        <v>25</v>
      </c>
      <c r="H6" s="4">
        <v>104.14</v>
      </c>
      <c r="I6" s="4">
        <v>17</v>
      </c>
      <c r="J6" s="4">
        <v>85</v>
      </c>
      <c r="K6" s="4">
        <v>100</v>
      </c>
      <c r="L6" s="5">
        <v>1</v>
      </c>
      <c r="M6" s="6">
        <v>2</v>
      </c>
      <c r="N6" s="5">
        <v>5</v>
      </c>
      <c r="O6" s="5">
        <v>10</v>
      </c>
      <c r="P6" s="5">
        <v>15</v>
      </c>
      <c r="Q6" s="5">
        <v>20</v>
      </c>
      <c r="R6" s="7">
        <v>88.9</v>
      </c>
      <c r="S6" s="7">
        <v>104.14</v>
      </c>
      <c r="T6" s="7">
        <f>Table1[[#This Row],[t2 (µm)]]</f>
        <v>104.14</v>
      </c>
      <c r="U6" s="8">
        <v>0.68</v>
      </c>
      <c r="V6" s="8">
        <v>0.72</v>
      </c>
      <c r="W6" s="8">
        <f>Table1[[#This Row],[RC2 (%)]]</f>
        <v>0.72</v>
      </c>
      <c r="X6" s="9">
        <v>3.41</v>
      </c>
      <c r="Y6" s="9">
        <v>3.34</v>
      </c>
      <c r="Z6" s="9">
        <v>3.33</v>
      </c>
      <c r="AA6" s="9">
        <v>3.32</v>
      </c>
      <c r="AB6" s="9">
        <v>3.32</v>
      </c>
      <c r="AC6" s="9">
        <v>3.32</v>
      </c>
      <c r="AD6" s="9">
        <v>3.31</v>
      </c>
      <c r="AE6" s="9">
        <v>3.24</v>
      </c>
      <c r="AF6" s="9">
        <v>3.23</v>
      </c>
      <c r="AG6" s="9">
        <v>3.22</v>
      </c>
      <c r="AH6" s="9">
        <v>3.22</v>
      </c>
      <c r="AI6" s="9">
        <v>3.22</v>
      </c>
      <c r="AJ6" s="9">
        <f>Table1[[#This Row],[DK21]]</f>
        <v>3.31</v>
      </c>
      <c r="AK6" s="9">
        <f>Table1[[#This Row],[DK22]]</f>
        <v>3.24</v>
      </c>
      <c r="AL6" s="9">
        <f>Table1[[#This Row],[DK23]]</f>
        <v>3.23</v>
      </c>
      <c r="AM6" s="9">
        <f>Table1[[#This Row],[DK24]]</f>
        <v>3.22</v>
      </c>
      <c r="AN6" s="9">
        <f>Table1[[#This Row],[DK25]]</f>
        <v>3.22</v>
      </c>
      <c r="AO6" s="9">
        <f>Table1[[#This Row],[DK26]]</f>
        <v>3.22</v>
      </c>
      <c r="AP6" s="10">
        <v>2E-3</v>
      </c>
      <c r="AQ6" s="10">
        <v>2E-3</v>
      </c>
      <c r="AR6" s="10">
        <v>3.0000000000000001E-3</v>
      </c>
      <c r="AS6" s="10">
        <v>4.0000000000000001E-3</v>
      </c>
      <c r="AT6" s="10">
        <v>4.0000000000000001E-3</v>
      </c>
      <c r="AU6" s="10">
        <v>4.0000000000000001E-3</v>
      </c>
      <c r="AV6" s="10">
        <v>2E-3</v>
      </c>
      <c r="AW6" s="10">
        <v>2E-3</v>
      </c>
      <c r="AX6" s="10">
        <v>3.0000000000000001E-3</v>
      </c>
      <c r="AY6" s="10">
        <v>4.0000000000000001E-3</v>
      </c>
      <c r="AZ6" s="10">
        <v>4.0000000000000001E-3</v>
      </c>
      <c r="BA6" s="10">
        <v>4.0000000000000001E-3</v>
      </c>
      <c r="BB6" s="10">
        <f>Table1[[#This Row],[DF21]]</f>
        <v>2E-3</v>
      </c>
      <c r="BC6" s="10">
        <f>Table1[[#This Row],[DF22]]</f>
        <v>2E-3</v>
      </c>
      <c r="BD6" s="10">
        <f>Table1[[#This Row],[DF23]]</f>
        <v>3.0000000000000001E-3</v>
      </c>
      <c r="BE6" s="10">
        <f>Table1[[#This Row],[DF24]]</f>
        <v>4.0000000000000001E-3</v>
      </c>
      <c r="BF6" s="10">
        <f>Table1[[#This Row],[DF25]]</f>
        <v>4.0000000000000001E-3</v>
      </c>
      <c r="BG6" s="10">
        <f>Table1[[#This Row],[DF26]]</f>
        <v>4.0000000000000001E-3</v>
      </c>
      <c r="BI6" s="119" t="s">
        <v>116</v>
      </c>
      <c r="BJ6" s="4">
        <f>2.75*1.1/7.6</f>
        <v>0.39802631578947373</v>
      </c>
    </row>
    <row r="7" spans="1:62" s="60" customFormat="1" x14ac:dyDescent="0.55000000000000004">
      <c r="A7" s="1"/>
      <c r="B7" s="2"/>
      <c r="C7" s="2"/>
      <c r="D7" s="3"/>
      <c r="E7" s="3"/>
      <c r="F7" s="12"/>
      <c r="G7" s="4"/>
      <c r="H7" s="4"/>
      <c r="I7" s="4"/>
      <c r="J7" s="4"/>
      <c r="K7" s="4"/>
      <c r="L7" s="4"/>
      <c r="M7" s="4"/>
      <c r="N7" s="4"/>
      <c r="O7" s="4"/>
      <c r="P7" s="4"/>
      <c r="Q7" s="4"/>
      <c r="R7" s="7"/>
      <c r="S7" s="7"/>
      <c r="T7" s="7"/>
      <c r="U7" s="7"/>
      <c r="V7" s="7"/>
      <c r="W7" s="7"/>
      <c r="X7" s="7"/>
      <c r="Y7" s="7"/>
      <c r="Z7" s="9"/>
      <c r="AA7" s="9"/>
      <c r="AB7" s="9"/>
      <c r="AC7" s="9"/>
      <c r="AD7" s="9"/>
      <c r="AE7" s="9"/>
      <c r="AF7" s="9"/>
      <c r="AG7" s="9"/>
      <c r="AH7" s="9"/>
      <c r="AI7" s="9"/>
      <c r="AJ7" s="9"/>
      <c r="AK7" s="9"/>
      <c r="AL7" s="9"/>
      <c r="AM7" s="9"/>
      <c r="AN7" s="9"/>
      <c r="AO7" s="9"/>
      <c r="AP7" s="10"/>
      <c r="AQ7" s="10"/>
      <c r="AR7" s="10"/>
      <c r="AS7" s="10"/>
      <c r="AT7" s="10"/>
      <c r="AU7" s="10"/>
      <c r="AV7" s="10"/>
      <c r="AW7" s="10"/>
      <c r="AX7" s="10"/>
      <c r="AY7" s="10"/>
      <c r="AZ7" s="10"/>
      <c r="BA7" s="10"/>
      <c r="BB7" s="10"/>
      <c r="BC7" s="10"/>
      <c r="BD7" s="10"/>
      <c r="BE7" s="10"/>
      <c r="BF7" s="10"/>
      <c r="BG7" s="11"/>
      <c r="BI7" s="119" t="s">
        <v>118</v>
      </c>
      <c r="BJ7" s="4">
        <f>2.5*1.1/7.6</f>
        <v>0.36184210526315791</v>
      </c>
    </row>
    <row r="8" spans="1:62" x14ac:dyDescent="0.55000000000000004">
      <c r="A8" s="1"/>
      <c r="B8" s="2"/>
      <c r="C8" s="2"/>
      <c r="D8" s="2"/>
      <c r="E8" s="2"/>
      <c r="F8" s="68"/>
      <c r="G8" s="4"/>
      <c r="H8" s="4"/>
      <c r="I8" s="4"/>
      <c r="J8" s="4"/>
      <c r="K8" s="4"/>
      <c r="L8" s="4"/>
      <c r="M8" s="4"/>
      <c r="N8" s="4"/>
      <c r="O8" s="4"/>
      <c r="P8" s="4"/>
      <c r="Q8" s="4"/>
      <c r="R8" s="7"/>
      <c r="S8" s="7"/>
      <c r="T8" s="7"/>
      <c r="U8" s="7"/>
      <c r="V8" s="7"/>
      <c r="W8" s="7"/>
      <c r="X8" s="7"/>
      <c r="Y8" s="7"/>
      <c r="Z8" s="9"/>
      <c r="AA8" s="9"/>
      <c r="AB8" s="9"/>
      <c r="AC8" s="9"/>
      <c r="AD8" s="9"/>
      <c r="AE8" s="9"/>
      <c r="AF8" s="9"/>
      <c r="AG8" s="9"/>
      <c r="AH8" s="9"/>
      <c r="AI8" s="9"/>
      <c r="AJ8" s="9"/>
      <c r="AK8" s="9"/>
      <c r="AL8" s="9"/>
      <c r="AM8" s="9"/>
      <c r="AN8" s="9"/>
      <c r="AO8" s="9"/>
      <c r="AP8" s="10"/>
      <c r="AQ8" s="10"/>
      <c r="AR8" s="10"/>
      <c r="AS8" s="10"/>
      <c r="AT8" s="10"/>
      <c r="AU8" s="10"/>
      <c r="AV8" s="10"/>
      <c r="AW8" s="10"/>
      <c r="AX8" s="10"/>
      <c r="AY8" s="10"/>
      <c r="AZ8" s="10"/>
      <c r="BA8" s="10"/>
      <c r="BB8" s="10"/>
      <c r="BC8" s="10"/>
      <c r="BD8" s="10"/>
      <c r="BE8" s="10"/>
      <c r="BF8" s="10"/>
      <c r="BG8" s="11"/>
      <c r="BI8" s="119" t="s">
        <v>119</v>
      </c>
      <c r="BJ8" s="4">
        <f>2.25*1.1/7.6</f>
        <v>0.32565789473684215</v>
      </c>
    </row>
    <row r="9" spans="1:62" x14ac:dyDescent="0.55000000000000004">
      <c r="A9" s="1"/>
      <c r="B9" s="2"/>
      <c r="C9" s="2"/>
      <c r="D9" s="2"/>
      <c r="E9" s="2"/>
      <c r="F9" s="68"/>
      <c r="G9" s="4"/>
      <c r="H9" s="4"/>
      <c r="I9" s="4"/>
      <c r="J9" s="4"/>
      <c r="K9" s="4"/>
      <c r="L9" s="4"/>
      <c r="M9" s="4"/>
      <c r="N9" s="4"/>
      <c r="O9" s="4"/>
      <c r="P9" s="4"/>
      <c r="Q9" s="4"/>
      <c r="R9" s="7"/>
      <c r="S9" s="7"/>
      <c r="T9" s="7"/>
      <c r="U9" s="7"/>
      <c r="V9" s="7"/>
      <c r="W9" s="7"/>
      <c r="X9" s="7"/>
      <c r="Y9" s="7"/>
      <c r="Z9" s="9"/>
      <c r="AA9" s="9"/>
      <c r="AB9" s="9"/>
      <c r="AC9" s="9"/>
      <c r="AD9" s="9"/>
      <c r="AE9" s="9"/>
      <c r="AF9" s="9"/>
      <c r="AG9" s="9"/>
      <c r="AH9" s="9"/>
      <c r="AI9" s="9"/>
      <c r="AJ9" s="9"/>
      <c r="AK9" s="9"/>
      <c r="AL9" s="9"/>
      <c r="AM9" s="9"/>
      <c r="AN9" s="9"/>
      <c r="AO9" s="9"/>
      <c r="AP9" s="10"/>
      <c r="AQ9" s="10"/>
      <c r="AR9" s="10"/>
      <c r="AS9" s="10"/>
      <c r="AT9" s="10"/>
      <c r="AU9" s="10"/>
      <c r="AV9" s="10"/>
      <c r="AW9" s="10"/>
      <c r="AX9" s="10"/>
      <c r="AY9" s="10"/>
      <c r="AZ9" s="10"/>
      <c r="BA9" s="10"/>
      <c r="BB9" s="10"/>
      <c r="BC9" s="10"/>
      <c r="BD9" s="10"/>
      <c r="BE9" s="10"/>
      <c r="BF9" s="10"/>
      <c r="BG9" s="11"/>
      <c r="BI9" s="119" t="s">
        <v>120</v>
      </c>
      <c r="BJ9" s="4">
        <f>2*1.1/7.6</f>
        <v>0.28947368421052633</v>
      </c>
    </row>
    <row r="10" spans="1:62" x14ac:dyDescent="0.55000000000000004">
      <c r="A10" s="1"/>
      <c r="B10" s="2"/>
      <c r="C10" s="2"/>
      <c r="D10" s="2"/>
      <c r="E10" s="2"/>
      <c r="F10" s="68"/>
      <c r="G10" s="4"/>
      <c r="H10" s="4"/>
      <c r="I10" s="4"/>
      <c r="J10" s="4"/>
      <c r="K10" s="4"/>
      <c r="L10" s="4"/>
      <c r="M10" s="4"/>
      <c r="N10" s="4"/>
      <c r="O10" s="4"/>
      <c r="P10" s="4"/>
      <c r="Q10" s="4"/>
      <c r="R10" s="7"/>
      <c r="S10" s="7"/>
      <c r="T10" s="7"/>
      <c r="U10" s="4"/>
      <c r="V10" s="4"/>
      <c r="W10" s="4"/>
      <c r="X10" s="9"/>
      <c r="Y10" s="9"/>
      <c r="Z10" s="9"/>
      <c r="AA10" s="9"/>
      <c r="AB10" s="9"/>
      <c r="AC10" s="9"/>
      <c r="AD10" s="9"/>
      <c r="AE10" s="9"/>
      <c r="AF10" s="9"/>
      <c r="AG10" s="9"/>
      <c r="AH10" s="9"/>
      <c r="AI10" s="9"/>
      <c r="AJ10" s="9"/>
      <c r="AK10" s="9"/>
      <c r="AL10" s="9"/>
      <c r="AM10" s="9"/>
      <c r="AN10" s="9"/>
      <c r="AO10" s="9"/>
      <c r="AP10" s="10"/>
      <c r="AQ10" s="10"/>
      <c r="AR10" s="10"/>
      <c r="AS10" s="10"/>
      <c r="AT10" s="10"/>
      <c r="AU10" s="10"/>
      <c r="AV10" s="10"/>
      <c r="AW10" s="10"/>
      <c r="AX10" s="10"/>
      <c r="AY10" s="10"/>
      <c r="AZ10" s="10"/>
      <c r="BA10" s="10"/>
      <c r="BB10" s="10"/>
      <c r="BC10" s="10"/>
      <c r="BD10" s="10"/>
      <c r="BE10" s="10"/>
      <c r="BF10" s="10"/>
      <c r="BG10" s="11"/>
      <c r="BI10" s="119" t="s">
        <v>121</v>
      </c>
      <c r="BJ10" s="4">
        <f>1.5*1.1/7.6</f>
        <v>0.21710526315789477</v>
      </c>
    </row>
    <row r="11" spans="1:62" x14ac:dyDescent="0.55000000000000004">
      <c r="A11" s="1"/>
      <c r="B11" s="2"/>
      <c r="C11" s="2"/>
      <c r="D11" s="2"/>
      <c r="E11" s="2"/>
      <c r="F11" s="68"/>
      <c r="G11" s="4"/>
      <c r="H11" s="4"/>
      <c r="I11" s="4"/>
      <c r="J11" s="68"/>
      <c r="K11" s="4"/>
      <c r="L11" s="4"/>
      <c r="M11" s="4"/>
      <c r="N11" s="4"/>
      <c r="O11" s="4"/>
      <c r="P11" s="4"/>
      <c r="Q11" s="4"/>
      <c r="R11" s="7"/>
      <c r="S11" s="7"/>
      <c r="T11" s="7"/>
      <c r="U11" s="4"/>
      <c r="V11" s="4"/>
      <c r="W11" s="4"/>
      <c r="X11" s="9"/>
      <c r="Y11" s="9"/>
      <c r="Z11" s="9"/>
      <c r="AA11" s="9"/>
      <c r="AB11" s="9"/>
      <c r="AC11" s="9"/>
      <c r="AD11" s="9"/>
      <c r="AE11" s="9"/>
      <c r="AF11" s="9"/>
      <c r="AG11" s="9"/>
      <c r="AH11" s="9"/>
      <c r="AI11" s="9"/>
      <c r="AJ11" s="9"/>
      <c r="AK11" s="9"/>
      <c r="AL11" s="9"/>
      <c r="AM11" s="9"/>
      <c r="AN11" s="9"/>
      <c r="AO11" s="9"/>
      <c r="AP11" s="10"/>
      <c r="AQ11" s="10"/>
      <c r="AR11" s="10"/>
      <c r="AS11" s="10"/>
      <c r="AT11" s="10"/>
      <c r="AU11" s="10"/>
      <c r="AV11" s="10"/>
      <c r="AW11" s="10"/>
      <c r="AX11" s="10"/>
      <c r="AY11" s="10"/>
      <c r="AZ11" s="10"/>
      <c r="BA11" s="10"/>
      <c r="BB11" s="10"/>
      <c r="BC11" s="10"/>
      <c r="BD11" s="10"/>
      <c r="BE11" s="10"/>
      <c r="BF11" s="10"/>
      <c r="BG11" s="11"/>
      <c r="BI11" s="119" t="s">
        <v>122</v>
      </c>
      <c r="BJ11" s="4">
        <f>0.6*1.1/7.6</f>
        <v>8.6842105263157901E-2</v>
      </c>
    </row>
    <row r="12" spans="1:62" x14ac:dyDescent="0.55000000000000004">
      <c r="A12" s="195"/>
      <c r="B12" s="195"/>
      <c r="C12" s="195"/>
      <c r="D12" s="195"/>
      <c r="E12" s="195"/>
      <c r="G12" s="195"/>
      <c r="H12" s="195"/>
      <c r="I12" s="195"/>
      <c r="J12" s="197"/>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row>
    <row r="13" spans="1:62" x14ac:dyDescent="0.55000000000000004">
      <c r="A13" s="195"/>
      <c r="B13" s="195"/>
      <c r="C13" s="195"/>
      <c r="D13" s="195"/>
      <c r="E13" s="195"/>
      <c r="G13" s="195"/>
      <c r="H13" s="195"/>
      <c r="I13" s="195"/>
      <c r="J13" s="197"/>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95"/>
      <c r="AX13" s="195"/>
      <c r="AY13" s="195"/>
      <c r="AZ13" s="195"/>
      <c r="BA13" s="195"/>
      <c r="BB13" s="195"/>
      <c r="BC13" s="195"/>
      <c r="BD13" s="195"/>
      <c r="BE13" s="195"/>
    </row>
    <row r="14" spans="1:62" x14ac:dyDescent="0.55000000000000004">
      <c r="A14" s="195"/>
      <c r="B14" s="195"/>
      <c r="C14" s="195"/>
      <c r="D14" s="195"/>
      <c r="E14" s="195"/>
      <c r="G14" s="195"/>
      <c r="H14" s="195"/>
      <c r="I14" s="195"/>
      <c r="J14" s="197"/>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row>
    <row r="15" spans="1:62" x14ac:dyDescent="0.55000000000000004">
      <c r="A15" s="195"/>
      <c r="B15" s="195"/>
      <c r="C15" s="195"/>
      <c r="D15" s="195"/>
      <c r="E15" s="195"/>
      <c r="G15" s="195"/>
      <c r="H15" s="195"/>
      <c r="I15" s="195"/>
      <c r="J15" s="197"/>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195"/>
      <c r="BG15" s="195"/>
      <c r="BH15" s="195"/>
    </row>
    <row r="16" spans="1:62" x14ac:dyDescent="0.55000000000000004">
      <c r="A16" s="195"/>
      <c r="B16" s="195"/>
      <c r="C16" s="195"/>
      <c r="D16" s="195"/>
      <c r="E16" s="195"/>
      <c r="G16" s="195"/>
      <c r="H16" s="195"/>
      <c r="I16" s="195"/>
      <c r="J16" s="197"/>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row>
    <row r="17" spans="1:60" x14ac:dyDescent="0.55000000000000004">
      <c r="A17" s="195"/>
      <c r="B17" s="195"/>
      <c r="C17" s="195"/>
      <c r="D17" s="195"/>
      <c r="E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row>
    <row r="18" spans="1:60" x14ac:dyDescent="0.55000000000000004">
      <c r="A18" s="195"/>
      <c r="B18" s="195"/>
      <c r="C18" s="195"/>
      <c r="D18" s="195"/>
      <c r="E18" s="195"/>
      <c r="G18" s="195"/>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row>
    <row r="19" spans="1:60" x14ac:dyDescent="0.55000000000000004">
      <c r="A19" s="195"/>
      <c r="B19" s="195"/>
      <c r="C19" s="195"/>
      <c r="D19" s="195"/>
      <c r="E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row>
    <row r="20" spans="1:60" x14ac:dyDescent="0.55000000000000004">
      <c r="A20" s="195"/>
      <c r="B20" s="195"/>
      <c r="C20" s="195"/>
      <c r="D20" s="195"/>
      <c r="E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row>
    <row r="21" spans="1:60" x14ac:dyDescent="0.55000000000000004">
      <c r="A21" s="195"/>
      <c r="B21" s="195"/>
      <c r="C21" s="195"/>
      <c r="D21" s="195"/>
      <c r="E21" s="195"/>
      <c r="G21" s="195"/>
      <c r="H21" s="195"/>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row>
    <row r="22" spans="1:60" x14ac:dyDescent="0.55000000000000004">
      <c r="A22" s="195"/>
      <c r="B22" s="195"/>
      <c r="C22" s="195"/>
      <c r="D22" s="195"/>
      <c r="E22" s="195"/>
      <c r="G22" s="195"/>
      <c r="H22" s="195"/>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c r="AZ22" s="195"/>
      <c r="BA22" s="195"/>
      <c r="BB22" s="195"/>
      <c r="BC22" s="195"/>
      <c r="BD22" s="195"/>
      <c r="BE22" s="195"/>
      <c r="BF22" s="195"/>
      <c r="BG22" s="195"/>
      <c r="BH22" s="195"/>
    </row>
    <row r="23" spans="1:60" x14ac:dyDescent="0.55000000000000004">
      <c r="A23" s="195"/>
      <c r="B23" s="195"/>
      <c r="C23" s="195"/>
      <c r="D23" s="195"/>
      <c r="E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row>
    <row r="24" spans="1:60" x14ac:dyDescent="0.55000000000000004">
      <c r="A24" s="195"/>
      <c r="B24" s="195"/>
      <c r="C24" s="195"/>
      <c r="D24" s="195"/>
      <c r="E24" s="195"/>
      <c r="G24" s="195"/>
      <c r="H24" s="195"/>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row>
    <row r="25" spans="1:60" x14ac:dyDescent="0.55000000000000004">
      <c r="A25" s="195"/>
      <c r="B25" s="195"/>
      <c r="C25" s="195"/>
      <c r="D25" s="195"/>
      <c r="E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AZ25" s="195"/>
      <c r="BA25" s="195"/>
      <c r="BB25" s="195"/>
      <c r="BC25" s="195"/>
      <c r="BD25" s="195"/>
      <c r="BE25" s="195"/>
      <c r="BF25" s="195"/>
      <c r="BG25" s="195"/>
      <c r="BH25" s="195"/>
    </row>
    <row r="26" spans="1:60" x14ac:dyDescent="0.55000000000000004">
      <c r="A26" s="195"/>
      <c r="B26" s="195"/>
      <c r="C26" s="195"/>
      <c r="D26" s="195"/>
      <c r="E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row>
    <row r="27" spans="1:60" x14ac:dyDescent="0.55000000000000004">
      <c r="A27" s="195"/>
      <c r="B27" s="195"/>
      <c r="C27" s="195"/>
      <c r="D27" s="195"/>
      <c r="E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c r="BE27" s="195"/>
      <c r="BF27" s="195"/>
      <c r="BG27" s="195"/>
      <c r="BH27" s="195"/>
    </row>
    <row r="28" spans="1:60" x14ac:dyDescent="0.55000000000000004">
      <c r="A28" s="195"/>
      <c r="B28" s="195"/>
      <c r="C28" s="195"/>
      <c r="D28" s="195"/>
      <c r="E28" s="195"/>
      <c r="G28" s="195"/>
      <c r="H28" s="195"/>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AZ28" s="195"/>
      <c r="BA28" s="195"/>
      <c r="BB28" s="195"/>
      <c r="BC28" s="195"/>
      <c r="BD28" s="195"/>
      <c r="BE28" s="195"/>
      <c r="BF28" s="195"/>
      <c r="BG28" s="195"/>
      <c r="BH28" s="195"/>
    </row>
    <row r="29" spans="1:60" x14ac:dyDescent="0.55000000000000004">
      <c r="A29" s="195"/>
      <c r="B29" s="195"/>
      <c r="C29" s="195"/>
      <c r="D29" s="195"/>
      <c r="E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row>
    <row r="30" spans="1:60" x14ac:dyDescent="0.55000000000000004">
      <c r="A30" s="195"/>
      <c r="B30" s="195"/>
      <c r="C30" s="195"/>
      <c r="D30" s="195"/>
      <c r="E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AZ30" s="195"/>
      <c r="BA30" s="195"/>
      <c r="BB30" s="195"/>
      <c r="BC30" s="195"/>
      <c r="BD30" s="195"/>
      <c r="BE30" s="195"/>
      <c r="BF30" s="195"/>
      <c r="BG30" s="195"/>
      <c r="BH30" s="195"/>
    </row>
    <row r="31" spans="1:60" x14ac:dyDescent="0.55000000000000004">
      <c r="A31" s="195"/>
      <c r="B31" s="195"/>
      <c r="C31" s="195"/>
      <c r="D31" s="195"/>
      <c r="E31" s="195"/>
      <c r="G31" s="195"/>
      <c r="H31" s="195"/>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AZ31" s="195"/>
      <c r="BA31" s="195"/>
      <c r="BB31" s="195"/>
      <c r="BC31" s="195"/>
      <c r="BD31" s="195"/>
      <c r="BE31" s="195"/>
      <c r="BF31" s="195"/>
      <c r="BG31" s="195"/>
      <c r="BH31" s="195"/>
    </row>
    <row r="32" spans="1:60" x14ac:dyDescent="0.55000000000000004">
      <c r="A32" s="195"/>
      <c r="B32" s="195"/>
      <c r="C32" s="195"/>
      <c r="D32" s="195"/>
      <c r="E32" s="195"/>
      <c r="G32" s="195"/>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AZ32" s="195"/>
      <c r="BA32" s="195"/>
      <c r="BB32" s="195"/>
      <c r="BC32" s="195"/>
      <c r="BD32" s="195"/>
      <c r="BE32" s="195"/>
      <c r="BF32" s="195"/>
      <c r="BG32" s="195"/>
      <c r="BH32" s="195"/>
    </row>
    <row r="33" spans="1:60" x14ac:dyDescent="0.55000000000000004">
      <c r="A33" s="195"/>
      <c r="B33" s="195"/>
      <c r="C33" s="195"/>
      <c r="D33" s="195"/>
      <c r="E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c r="BE33" s="195"/>
      <c r="BF33" s="195"/>
      <c r="BG33" s="195"/>
      <c r="BH33" s="195"/>
    </row>
    <row r="34" spans="1:60" x14ac:dyDescent="0.55000000000000004">
      <c r="A34" s="195"/>
      <c r="B34" s="195"/>
      <c r="C34" s="195"/>
      <c r="D34" s="195"/>
      <c r="E34" s="195"/>
      <c r="G34" s="195"/>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row>
    <row r="35" spans="1:60" x14ac:dyDescent="0.55000000000000004">
      <c r="A35" s="195"/>
      <c r="B35" s="195"/>
      <c r="C35" s="195"/>
      <c r="D35" s="195"/>
      <c r="E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row>
    <row r="36" spans="1:60" x14ac:dyDescent="0.55000000000000004">
      <c r="A36" s="195"/>
      <c r="B36" s="195"/>
      <c r="C36" s="195"/>
      <c r="D36" s="195"/>
      <c r="E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row>
    <row r="37" spans="1:60" x14ac:dyDescent="0.55000000000000004">
      <c r="A37" s="195"/>
      <c r="B37" s="195"/>
      <c r="C37" s="195"/>
      <c r="D37" s="195"/>
      <c r="E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AZ37" s="195"/>
      <c r="BA37" s="195"/>
      <c r="BB37" s="195"/>
      <c r="BC37" s="195"/>
      <c r="BD37" s="195"/>
      <c r="BE37" s="195"/>
      <c r="BF37" s="195"/>
      <c r="BG37" s="195"/>
      <c r="BH37" s="195"/>
    </row>
    <row r="38" spans="1:60" x14ac:dyDescent="0.55000000000000004">
      <c r="A38" s="195"/>
      <c r="B38" s="195"/>
      <c r="C38" s="195"/>
      <c r="D38" s="195"/>
      <c r="E38" s="195"/>
      <c r="G38" s="195"/>
      <c r="H38" s="195"/>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AZ38" s="195"/>
      <c r="BA38" s="195"/>
      <c r="BB38" s="195"/>
      <c r="BC38" s="195"/>
      <c r="BD38" s="195"/>
      <c r="BE38" s="195"/>
      <c r="BF38" s="195"/>
      <c r="BG38" s="195"/>
      <c r="BH38" s="195"/>
    </row>
    <row r="39" spans="1:60" x14ac:dyDescent="0.55000000000000004">
      <c r="A39" s="195"/>
      <c r="B39" s="195"/>
      <c r="C39" s="195"/>
      <c r="D39" s="195"/>
      <c r="E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row>
    <row r="40" spans="1:60" x14ac:dyDescent="0.55000000000000004">
      <c r="A40" s="195"/>
      <c r="B40" s="195"/>
      <c r="C40" s="195"/>
      <c r="D40" s="195"/>
      <c r="E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AZ40" s="195"/>
      <c r="BA40" s="195"/>
      <c r="BB40" s="195"/>
      <c r="BC40" s="195"/>
      <c r="BD40" s="195"/>
      <c r="BE40" s="195"/>
      <c r="BF40" s="195"/>
      <c r="BG40" s="195"/>
      <c r="BH40" s="195"/>
    </row>
    <row r="41" spans="1:60" x14ac:dyDescent="0.55000000000000004">
      <c r="A41" s="195"/>
      <c r="B41" s="195"/>
      <c r="C41" s="195"/>
      <c r="D41" s="195"/>
      <c r="E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row>
    <row r="42" spans="1:60" x14ac:dyDescent="0.55000000000000004">
      <c r="A42" s="195"/>
      <c r="B42" s="195"/>
      <c r="C42" s="195"/>
      <c r="D42" s="195"/>
      <c r="E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5"/>
      <c r="BF42" s="195"/>
      <c r="BG42" s="195"/>
      <c r="BH42" s="195"/>
    </row>
    <row r="43" spans="1:60" x14ac:dyDescent="0.55000000000000004">
      <c r="A43" s="195"/>
      <c r="B43" s="195"/>
      <c r="C43" s="195"/>
      <c r="D43" s="195"/>
      <c r="E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AZ43" s="195"/>
      <c r="BA43" s="195"/>
      <c r="BB43" s="195"/>
      <c r="BC43" s="195"/>
      <c r="BD43" s="195"/>
      <c r="BE43" s="195"/>
      <c r="BF43" s="195"/>
      <c r="BG43" s="195"/>
      <c r="BH43" s="195"/>
    </row>
    <row r="44" spans="1:60" x14ac:dyDescent="0.55000000000000004">
      <c r="A44" s="195"/>
      <c r="B44" s="195"/>
      <c r="C44" s="195"/>
      <c r="D44" s="195"/>
      <c r="E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AZ44" s="195"/>
      <c r="BA44" s="195"/>
      <c r="BB44" s="195"/>
      <c r="BC44" s="195"/>
      <c r="BD44" s="195"/>
      <c r="BE44" s="195"/>
      <c r="BF44" s="195"/>
      <c r="BG44" s="195"/>
      <c r="BH44" s="195"/>
    </row>
    <row r="45" spans="1:60" x14ac:dyDescent="0.55000000000000004">
      <c r="A45" s="195"/>
      <c r="B45" s="195"/>
      <c r="C45" s="195"/>
      <c r="D45" s="195"/>
      <c r="E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AZ45" s="195"/>
      <c r="BA45" s="195"/>
      <c r="BB45" s="195"/>
      <c r="BC45" s="195"/>
      <c r="BD45" s="195"/>
      <c r="BE45" s="195"/>
      <c r="BF45" s="195"/>
      <c r="BG45" s="195"/>
      <c r="BH45" s="195"/>
    </row>
    <row r="46" spans="1:60" x14ac:dyDescent="0.55000000000000004">
      <c r="A46" s="195"/>
      <c r="B46" s="195"/>
      <c r="C46" s="195"/>
      <c r="D46" s="195"/>
      <c r="E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AZ46" s="195"/>
      <c r="BA46" s="195"/>
      <c r="BB46" s="195"/>
      <c r="BC46" s="195"/>
      <c r="BD46" s="195"/>
      <c r="BE46" s="195"/>
      <c r="BF46" s="195"/>
      <c r="BG46" s="195"/>
      <c r="BH46" s="195"/>
    </row>
    <row r="47" spans="1:60" x14ac:dyDescent="0.55000000000000004">
      <c r="A47" s="195"/>
      <c r="B47" s="195"/>
      <c r="C47" s="195"/>
      <c r="D47" s="195"/>
      <c r="E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row>
    <row r="48" spans="1:60" x14ac:dyDescent="0.55000000000000004">
      <c r="A48" s="195"/>
      <c r="B48" s="195"/>
      <c r="C48" s="195"/>
      <c r="D48" s="195"/>
      <c r="E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AZ48" s="195"/>
      <c r="BA48" s="195"/>
      <c r="BB48" s="195"/>
      <c r="BC48" s="195"/>
      <c r="BD48" s="195"/>
      <c r="BE48" s="195"/>
      <c r="BF48" s="195"/>
      <c r="BG48" s="195"/>
      <c r="BH48" s="195"/>
    </row>
    <row r="49" spans="1:60" x14ac:dyDescent="0.55000000000000004">
      <c r="A49" s="195"/>
      <c r="B49" s="195"/>
      <c r="C49" s="195"/>
      <c r="D49" s="195"/>
      <c r="E49" s="195"/>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AZ49" s="195"/>
      <c r="BA49" s="195"/>
      <c r="BB49" s="195"/>
      <c r="BC49" s="195"/>
      <c r="BD49" s="195"/>
      <c r="BE49" s="195"/>
      <c r="BF49" s="195"/>
      <c r="BG49" s="195"/>
      <c r="BH49" s="195"/>
    </row>
    <row r="50" spans="1:60" x14ac:dyDescent="0.55000000000000004">
      <c r="A50" s="195"/>
      <c r="B50" s="195"/>
      <c r="C50" s="195"/>
      <c r="D50" s="195"/>
      <c r="E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5"/>
      <c r="BH50" s="195"/>
    </row>
    <row r="51" spans="1:60" x14ac:dyDescent="0.55000000000000004">
      <c r="A51" s="195"/>
      <c r="B51" s="195"/>
      <c r="C51" s="195"/>
      <c r="D51" s="195"/>
      <c r="E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5"/>
      <c r="BA51" s="195"/>
      <c r="BB51" s="195"/>
      <c r="BC51" s="195"/>
      <c r="BD51" s="195"/>
      <c r="BE51" s="195"/>
      <c r="BF51" s="195"/>
      <c r="BG51" s="195"/>
      <c r="BH51" s="195"/>
    </row>
    <row r="52" spans="1:60" x14ac:dyDescent="0.55000000000000004">
      <c r="A52" s="195"/>
      <c r="B52" s="195"/>
      <c r="C52" s="195"/>
      <c r="D52" s="195"/>
      <c r="E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c r="AT52" s="195"/>
      <c r="AU52" s="195"/>
      <c r="AV52" s="195"/>
      <c r="AW52" s="195"/>
      <c r="AX52" s="195"/>
      <c r="AY52" s="195"/>
      <c r="AZ52" s="195"/>
      <c r="BA52" s="195"/>
      <c r="BB52" s="195"/>
      <c r="BC52" s="195"/>
      <c r="BD52" s="195"/>
      <c r="BE52" s="195"/>
      <c r="BF52" s="195"/>
      <c r="BG52" s="195"/>
      <c r="BH52" s="195"/>
    </row>
    <row r="53" spans="1:60" x14ac:dyDescent="0.55000000000000004">
      <c r="A53" s="195"/>
      <c r="B53" s="195"/>
      <c r="C53" s="195"/>
      <c r="D53" s="195"/>
      <c r="E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195"/>
      <c r="AG53" s="195"/>
      <c r="AH53" s="195"/>
      <c r="AI53" s="195"/>
      <c r="AJ53" s="195"/>
      <c r="AK53" s="195"/>
      <c r="AL53" s="195"/>
      <c r="AM53" s="195"/>
      <c r="AN53" s="195"/>
      <c r="AO53" s="195"/>
      <c r="AP53" s="195"/>
      <c r="AQ53" s="195"/>
      <c r="AR53" s="195"/>
      <c r="AS53" s="195"/>
      <c r="AT53" s="195"/>
      <c r="AU53" s="195"/>
      <c r="AV53" s="195"/>
      <c r="AW53" s="195"/>
      <c r="AX53" s="195"/>
      <c r="AY53" s="195"/>
      <c r="AZ53" s="195"/>
      <c r="BA53" s="195"/>
      <c r="BB53" s="195"/>
      <c r="BC53" s="195"/>
      <c r="BD53" s="195"/>
      <c r="BE53" s="195"/>
      <c r="BF53" s="195"/>
      <c r="BG53" s="195"/>
      <c r="BH53" s="195"/>
    </row>
    <row r="54" spans="1:60" x14ac:dyDescent="0.55000000000000004">
      <c r="A54" s="195"/>
      <c r="B54" s="195"/>
      <c r="C54" s="195"/>
      <c r="D54" s="195"/>
      <c r="E54" s="195"/>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195"/>
      <c r="AG54" s="195"/>
      <c r="AH54" s="195"/>
      <c r="AI54" s="195"/>
      <c r="AJ54" s="195"/>
      <c r="AK54" s="195"/>
      <c r="AL54" s="195"/>
      <c r="AM54" s="195"/>
      <c r="AN54" s="195"/>
      <c r="AO54" s="195"/>
      <c r="AP54" s="195"/>
      <c r="AQ54" s="195"/>
      <c r="AR54" s="195"/>
      <c r="AS54" s="195"/>
      <c r="AT54" s="195"/>
      <c r="AU54" s="195"/>
      <c r="AV54" s="195"/>
      <c r="AW54" s="195"/>
      <c r="AX54" s="195"/>
      <c r="AY54" s="195"/>
      <c r="AZ54" s="195"/>
      <c r="BA54" s="195"/>
      <c r="BB54" s="195"/>
      <c r="BC54" s="195"/>
      <c r="BD54" s="195"/>
      <c r="BE54" s="195"/>
      <c r="BF54" s="195"/>
      <c r="BG54" s="195"/>
      <c r="BH54" s="195"/>
    </row>
    <row r="55" spans="1:60" x14ac:dyDescent="0.55000000000000004">
      <c r="A55" s="195"/>
      <c r="B55" s="195"/>
      <c r="C55" s="195"/>
      <c r="D55" s="195"/>
      <c r="E55" s="195"/>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c r="AT55" s="195"/>
      <c r="AU55" s="195"/>
      <c r="AV55" s="195"/>
      <c r="AW55" s="195"/>
      <c r="AX55" s="195"/>
      <c r="AY55" s="195"/>
      <c r="AZ55" s="195"/>
      <c r="BA55" s="195"/>
      <c r="BB55" s="195"/>
      <c r="BC55" s="195"/>
      <c r="BD55" s="195"/>
      <c r="BE55" s="195"/>
      <c r="BF55" s="195"/>
      <c r="BG55" s="195"/>
      <c r="BH55" s="195"/>
    </row>
    <row r="56" spans="1:60" x14ac:dyDescent="0.55000000000000004">
      <c r="A56" s="195"/>
      <c r="B56" s="195"/>
      <c r="C56" s="195"/>
      <c r="D56" s="195"/>
      <c r="E56" s="195"/>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c r="AT56" s="195"/>
      <c r="AU56" s="195"/>
      <c r="AV56" s="195"/>
      <c r="AW56" s="195"/>
      <c r="AX56" s="195"/>
      <c r="AY56" s="195"/>
      <c r="AZ56" s="195"/>
      <c r="BA56" s="195"/>
      <c r="BB56" s="195"/>
      <c r="BC56" s="195"/>
      <c r="BD56" s="195"/>
      <c r="BE56" s="195"/>
      <c r="BF56" s="195"/>
      <c r="BG56" s="195"/>
      <c r="BH56" s="195"/>
    </row>
    <row r="57" spans="1:60" x14ac:dyDescent="0.55000000000000004">
      <c r="A57" s="195"/>
      <c r="B57" s="195"/>
      <c r="C57" s="195"/>
      <c r="D57" s="195"/>
      <c r="E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c r="AT57" s="195"/>
      <c r="AU57" s="195"/>
      <c r="AV57" s="195"/>
      <c r="AW57" s="195"/>
      <c r="AX57" s="195"/>
      <c r="AY57" s="195"/>
      <c r="AZ57" s="195"/>
      <c r="BA57" s="195"/>
      <c r="BB57" s="195"/>
      <c r="BC57" s="195"/>
      <c r="BD57" s="195"/>
      <c r="BE57" s="195"/>
      <c r="BF57" s="195"/>
      <c r="BG57" s="195"/>
      <c r="BH57" s="195"/>
    </row>
    <row r="58" spans="1:60" x14ac:dyDescent="0.55000000000000004">
      <c r="A58" s="195"/>
      <c r="B58" s="195"/>
      <c r="C58" s="195"/>
      <c r="D58" s="195"/>
      <c r="E58" s="195"/>
      <c r="G58" s="195"/>
      <c r="H58" s="195"/>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c r="AT58" s="195"/>
      <c r="AU58" s="195"/>
      <c r="AV58" s="195"/>
      <c r="AW58" s="195"/>
      <c r="AX58" s="195"/>
      <c r="AY58" s="195"/>
      <c r="AZ58" s="195"/>
      <c r="BA58" s="195"/>
      <c r="BB58" s="195"/>
      <c r="BC58" s="195"/>
      <c r="BD58" s="195"/>
      <c r="BE58" s="195"/>
      <c r="BF58" s="195"/>
      <c r="BG58" s="195"/>
      <c r="BH58" s="195"/>
    </row>
    <row r="59" spans="1:60" x14ac:dyDescent="0.55000000000000004">
      <c r="A59" s="195"/>
      <c r="B59" s="195"/>
      <c r="C59" s="195"/>
      <c r="D59" s="195"/>
      <c r="E59" s="195"/>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c r="AT59" s="195"/>
      <c r="AU59" s="195"/>
      <c r="AV59" s="195"/>
      <c r="AW59" s="195"/>
      <c r="AX59" s="195"/>
      <c r="AY59" s="195"/>
      <c r="AZ59" s="195"/>
      <c r="BA59" s="195"/>
      <c r="BB59" s="195"/>
      <c r="BC59" s="195"/>
      <c r="BD59" s="195"/>
      <c r="BE59" s="195"/>
      <c r="BF59" s="195"/>
      <c r="BG59" s="195"/>
      <c r="BH59" s="195"/>
    </row>
    <row r="60" spans="1:60" x14ac:dyDescent="0.55000000000000004">
      <c r="A60" s="195"/>
      <c r="B60" s="195"/>
      <c r="C60" s="195"/>
      <c r="D60" s="195"/>
      <c r="E60" s="195"/>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c r="AT60" s="195"/>
      <c r="AU60" s="195"/>
      <c r="AV60" s="195"/>
      <c r="AW60" s="195"/>
      <c r="AX60" s="195"/>
      <c r="AY60" s="195"/>
      <c r="AZ60" s="195"/>
      <c r="BA60" s="195"/>
      <c r="BB60" s="195"/>
      <c r="BC60" s="195"/>
      <c r="BD60" s="195"/>
      <c r="BE60" s="195"/>
      <c r="BF60" s="195"/>
      <c r="BG60" s="195"/>
      <c r="BH60" s="195"/>
    </row>
    <row r="61" spans="1:60" x14ac:dyDescent="0.55000000000000004">
      <c r="A61" s="195"/>
      <c r="B61" s="195"/>
      <c r="C61" s="195"/>
      <c r="D61" s="195"/>
      <c r="E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c r="AT61" s="195"/>
      <c r="AU61" s="195"/>
      <c r="AV61" s="195"/>
      <c r="AW61" s="195"/>
      <c r="AX61" s="195"/>
      <c r="AY61" s="195"/>
      <c r="AZ61" s="195"/>
      <c r="BA61" s="195"/>
      <c r="BB61" s="195"/>
      <c r="BC61" s="195"/>
      <c r="BD61" s="195"/>
      <c r="BE61" s="195"/>
      <c r="BF61" s="195"/>
      <c r="BG61" s="195"/>
      <c r="BH61" s="195"/>
    </row>
    <row r="62" spans="1:60" x14ac:dyDescent="0.55000000000000004">
      <c r="A62" s="195"/>
      <c r="B62" s="195"/>
      <c r="C62" s="195"/>
      <c r="D62" s="195"/>
      <c r="E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c r="AT62" s="195"/>
      <c r="AU62" s="195"/>
      <c r="AV62" s="195"/>
      <c r="AW62" s="195"/>
      <c r="AX62" s="195"/>
      <c r="AY62" s="195"/>
      <c r="AZ62" s="195"/>
      <c r="BA62" s="195"/>
      <c r="BB62" s="195"/>
      <c r="BC62" s="195"/>
      <c r="BD62" s="195"/>
      <c r="BE62" s="195"/>
      <c r="BF62" s="195"/>
      <c r="BG62" s="195"/>
      <c r="BH62" s="195"/>
    </row>
    <row r="63" spans="1:60" x14ac:dyDescent="0.55000000000000004">
      <c r="A63" s="195"/>
      <c r="B63" s="195"/>
      <c r="C63" s="195"/>
      <c r="D63" s="195"/>
      <c r="E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c r="AT63" s="195"/>
      <c r="AU63" s="195"/>
      <c r="AV63" s="195"/>
      <c r="AW63" s="195"/>
      <c r="AX63" s="195"/>
      <c r="AY63" s="195"/>
      <c r="AZ63" s="195"/>
      <c r="BA63" s="195"/>
      <c r="BB63" s="195"/>
      <c r="BC63" s="195"/>
      <c r="BD63" s="195"/>
      <c r="BE63" s="195"/>
      <c r="BF63" s="195"/>
      <c r="BG63" s="195"/>
      <c r="BH63" s="195"/>
    </row>
    <row r="64" spans="1:60" x14ac:dyDescent="0.55000000000000004">
      <c r="A64" s="195"/>
      <c r="B64" s="195"/>
      <c r="C64" s="195"/>
      <c r="D64" s="195"/>
      <c r="E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c r="AT64" s="195"/>
      <c r="AU64" s="195"/>
      <c r="AV64" s="195"/>
      <c r="AW64" s="195"/>
      <c r="AX64" s="195"/>
      <c r="AY64" s="195"/>
      <c r="AZ64" s="195"/>
      <c r="BA64" s="195"/>
      <c r="BB64" s="195"/>
      <c r="BC64" s="195"/>
      <c r="BD64" s="195"/>
      <c r="BE64" s="195"/>
      <c r="BF64" s="195"/>
      <c r="BG64" s="195"/>
      <c r="BH64" s="195"/>
    </row>
    <row r="65" spans="1:60" x14ac:dyDescent="0.55000000000000004">
      <c r="A65" s="195"/>
      <c r="B65" s="195"/>
      <c r="C65" s="195"/>
      <c r="D65" s="195"/>
      <c r="E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c r="AT65" s="195"/>
      <c r="AU65" s="195"/>
      <c r="AV65" s="195"/>
      <c r="AW65" s="195"/>
      <c r="AX65" s="195"/>
      <c r="AY65" s="195"/>
      <c r="AZ65" s="195"/>
      <c r="BA65" s="195"/>
      <c r="BB65" s="195"/>
      <c r="BC65" s="195"/>
      <c r="BD65" s="195"/>
      <c r="BE65" s="195"/>
      <c r="BF65" s="195"/>
      <c r="BG65" s="195"/>
      <c r="BH65" s="195"/>
    </row>
    <row r="66" spans="1:60" x14ac:dyDescent="0.55000000000000004">
      <c r="A66" s="195"/>
      <c r="B66" s="195"/>
      <c r="C66" s="195"/>
      <c r="D66" s="195"/>
      <c r="E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c r="AT66" s="195"/>
      <c r="AU66" s="195"/>
      <c r="AV66" s="195"/>
      <c r="AW66" s="195"/>
      <c r="AX66" s="195"/>
      <c r="AY66" s="195"/>
      <c r="AZ66" s="195"/>
      <c r="BA66" s="195"/>
      <c r="BB66" s="195"/>
      <c r="BC66" s="195"/>
      <c r="BD66" s="195"/>
      <c r="BE66" s="195"/>
      <c r="BF66" s="195"/>
      <c r="BG66" s="195"/>
      <c r="BH66" s="195"/>
    </row>
    <row r="67" spans="1:60" x14ac:dyDescent="0.55000000000000004">
      <c r="A67" s="195"/>
      <c r="B67" s="195"/>
      <c r="C67" s="195"/>
      <c r="D67" s="195"/>
      <c r="E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c r="AT67" s="195"/>
      <c r="AU67" s="195"/>
      <c r="AV67" s="195"/>
      <c r="AW67" s="195"/>
      <c r="AX67" s="195"/>
      <c r="AY67" s="195"/>
      <c r="AZ67" s="195"/>
      <c r="BA67" s="195"/>
      <c r="BB67" s="195"/>
      <c r="BC67" s="195"/>
      <c r="BD67" s="195"/>
      <c r="BE67" s="195"/>
      <c r="BF67" s="195"/>
      <c r="BG67" s="195"/>
      <c r="BH67" s="195"/>
    </row>
    <row r="68" spans="1:60" x14ac:dyDescent="0.55000000000000004">
      <c r="A68" s="195"/>
      <c r="B68" s="195"/>
      <c r="C68" s="195"/>
      <c r="D68" s="195"/>
      <c r="E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c r="AT68" s="195"/>
      <c r="AU68" s="195"/>
      <c r="AV68" s="195"/>
      <c r="AW68" s="195"/>
      <c r="AX68" s="195"/>
      <c r="AY68" s="195"/>
      <c r="AZ68" s="195"/>
      <c r="BA68" s="195"/>
      <c r="BB68" s="195"/>
      <c r="BC68" s="195"/>
      <c r="BD68" s="195"/>
      <c r="BE68" s="195"/>
      <c r="BF68" s="195"/>
      <c r="BG68" s="195"/>
      <c r="BH68" s="195"/>
    </row>
    <row r="69" spans="1:60" x14ac:dyDescent="0.55000000000000004">
      <c r="A69" s="195"/>
      <c r="B69" s="195"/>
      <c r="C69" s="195"/>
      <c r="D69" s="195"/>
      <c r="E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c r="AT69" s="195"/>
      <c r="AU69" s="195"/>
      <c r="AV69" s="195"/>
      <c r="AW69" s="195"/>
      <c r="AX69" s="195"/>
      <c r="AY69" s="195"/>
      <c r="AZ69" s="195"/>
      <c r="BA69" s="195"/>
      <c r="BB69" s="195"/>
      <c r="BC69" s="195"/>
      <c r="BD69" s="195"/>
      <c r="BE69" s="195"/>
      <c r="BF69" s="195"/>
      <c r="BG69" s="195"/>
      <c r="BH69" s="195"/>
    </row>
    <row r="70" spans="1:60" x14ac:dyDescent="0.55000000000000004">
      <c r="A70" s="195"/>
      <c r="B70" s="195"/>
      <c r="C70" s="195"/>
      <c r="D70" s="195"/>
      <c r="E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c r="AT70" s="195"/>
      <c r="AU70" s="195"/>
      <c r="AV70" s="195"/>
      <c r="AW70" s="195"/>
      <c r="AX70" s="195"/>
      <c r="AY70" s="195"/>
      <c r="AZ70" s="195"/>
      <c r="BA70" s="195"/>
      <c r="BB70" s="195"/>
      <c r="BC70" s="195"/>
      <c r="BD70" s="195"/>
      <c r="BE70" s="195"/>
      <c r="BF70" s="195"/>
      <c r="BG70" s="195"/>
      <c r="BH70" s="195"/>
    </row>
    <row r="71" spans="1:60" x14ac:dyDescent="0.55000000000000004">
      <c r="A71" s="195"/>
      <c r="B71" s="195"/>
      <c r="C71" s="195"/>
      <c r="D71" s="195"/>
      <c r="E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c r="AT71" s="195"/>
      <c r="AU71" s="195"/>
      <c r="AV71" s="195"/>
      <c r="AW71" s="195"/>
      <c r="AX71" s="195"/>
      <c r="AY71" s="195"/>
      <c r="AZ71" s="195"/>
      <c r="BA71" s="195"/>
      <c r="BB71" s="195"/>
      <c r="BC71" s="195"/>
      <c r="BD71" s="195"/>
      <c r="BE71" s="195"/>
      <c r="BF71" s="195"/>
      <c r="BG71" s="195"/>
      <c r="BH71" s="195"/>
    </row>
    <row r="72" spans="1:60" x14ac:dyDescent="0.55000000000000004">
      <c r="A72" s="195"/>
      <c r="B72" s="195"/>
      <c r="C72" s="195"/>
      <c r="D72" s="195"/>
      <c r="E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c r="AT72" s="195"/>
      <c r="AU72" s="195"/>
      <c r="AV72" s="195"/>
      <c r="AW72" s="195"/>
      <c r="AX72" s="195"/>
      <c r="AY72" s="195"/>
      <c r="AZ72" s="195"/>
      <c r="BA72" s="195"/>
      <c r="BB72" s="195"/>
      <c r="BC72" s="195"/>
      <c r="BD72" s="195"/>
      <c r="BE72" s="195"/>
      <c r="BF72" s="195"/>
      <c r="BG72" s="195"/>
      <c r="BH72" s="195"/>
    </row>
    <row r="73" spans="1:60" x14ac:dyDescent="0.55000000000000004">
      <c r="A73" s="195"/>
      <c r="B73" s="195"/>
      <c r="C73" s="195"/>
      <c r="D73" s="195"/>
      <c r="E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c r="AT73" s="195"/>
      <c r="AU73" s="195"/>
      <c r="AV73" s="195"/>
      <c r="AW73" s="195"/>
      <c r="AX73" s="195"/>
      <c r="AY73" s="195"/>
      <c r="AZ73" s="195"/>
      <c r="BA73" s="195"/>
      <c r="BB73" s="195"/>
      <c r="BC73" s="195"/>
      <c r="BD73" s="195"/>
      <c r="BE73" s="195"/>
      <c r="BF73" s="195"/>
      <c r="BG73" s="195"/>
      <c r="BH73" s="195"/>
    </row>
    <row r="74" spans="1:60" x14ac:dyDescent="0.55000000000000004">
      <c r="A74" s="195"/>
      <c r="B74" s="195"/>
      <c r="C74" s="195"/>
      <c r="D74" s="195"/>
      <c r="E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c r="AT74" s="195"/>
      <c r="AU74" s="195"/>
      <c r="AV74" s="195"/>
      <c r="AW74" s="195"/>
      <c r="AX74" s="195"/>
      <c r="AY74" s="195"/>
      <c r="AZ74" s="195"/>
      <c r="BA74" s="195"/>
      <c r="BB74" s="195"/>
      <c r="BC74" s="195"/>
      <c r="BD74" s="195"/>
      <c r="BE74" s="195"/>
      <c r="BF74" s="195"/>
      <c r="BG74" s="195"/>
      <c r="BH74" s="195"/>
    </row>
    <row r="75" spans="1:60" x14ac:dyDescent="0.55000000000000004">
      <c r="A75" s="195"/>
      <c r="B75" s="195"/>
      <c r="C75" s="195"/>
      <c r="D75" s="195"/>
      <c r="E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c r="AT75" s="195"/>
      <c r="AU75" s="195"/>
      <c r="AV75" s="195"/>
      <c r="AW75" s="195"/>
      <c r="AX75" s="195"/>
      <c r="AY75" s="195"/>
      <c r="AZ75" s="195"/>
      <c r="BA75" s="195"/>
      <c r="BB75" s="195"/>
      <c r="BC75" s="195"/>
      <c r="BD75" s="195"/>
      <c r="BE75" s="195"/>
      <c r="BF75" s="195"/>
      <c r="BG75" s="195"/>
      <c r="BH75" s="195"/>
    </row>
    <row r="76" spans="1:60" x14ac:dyDescent="0.55000000000000004">
      <c r="A76" s="195"/>
      <c r="B76" s="195"/>
      <c r="C76" s="195"/>
      <c r="D76" s="195"/>
      <c r="E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c r="AT76" s="195"/>
      <c r="AU76" s="195"/>
      <c r="AV76" s="195"/>
      <c r="AW76" s="195"/>
      <c r="AX76" s="195"/>
      <c r="AY76" s="195"/>
      <c r="AZ76" s="195"/>
      <c r="BA76" s="195"/>
      <c r="BB76" s="195"/>
      <c r="BC76" s="195"/>
      <c r="BD76" s="195"/>
      <c r="BE76" s="195"/>
      <c r="BF76" s="195"/>
      <c r="BG76" s="195"/>
      <c r="BH76" s="195"/>
    </row>
    <row r="77" spans="1:60" x14ac:dyDescent="0.55000000000000004">
      <c r="A77" s="195"/>
      <c r="B77" s="195"/>
      <c r="C77" s="195"/>
      <c r="D77" s="195"/>
      <c r="E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c r="AK77" s="195"/>
      <c r="AL77" s="195"/>
      <c r="AM77" s="195"/>
      <c r="AN77" s="195"/>
      <c r="AO77" s="195"/>
      <c r="AP77" s="195"/>
      <c r="AQ77" s="195"/>
      <c r="AR77" s="195"/>
      <c r="AS77" s="195"/>
      <c r="AT77" s="195"/>
      <c r="AU77" s="195"/>
      <c r="AV77" s="195"/>
      <c r="AW77" s="195"/>
      <c r="AX77" s="195"/>
      <c r="AY77" s="195"/>
      <c r="AZ77" s="195"/>
      <c r="BA77" s="195"/>
      <c r="BB77" s="195"/>
      <c r="BC77" s="195"/>
      <c r="BD77" s="195"/>
      <c r="BE77" s="195"/>
      <c r="BF77" s="195"/>
      <c r="BG77" s="195"/>
      <c r="BH77" s="195"/>
    </row>
    <row r="78" spans="1:60" x14ac:dyDescent="0.55000000000000004">
      <c r="A78" s="195"/>
      <c r="B78" s="195"/>
      <c r="C78" s="195"/>
      <c r="D78" s="195"/>
      <c r="E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c r="AK78" s="195"/>
      <c r="AL78" s="195"/>
      <c r="AM78" s="195"/>
      <c r="AN78" s="195"/>
      <c r="AO78" s="195"/>
      <c r="AP78" s="195"/>
      <c r="AQ78" s="195"/>
      <c r="AR78" s="195"/>
      <c r="AS78" s="195"/>
      <c r="AT78" s="195"/>
      <c r="AU78" s="195"/>
      <c r="AV78" s="195"/>
      <c r="AW78" s="195"/>
      <c r="AX78" s="195"/>
      <c r="AY78" s="195"/>
      <c r="AZ78" s="195"/>
      <c r="BA78" s="195"/>
      <c r="BB78" s="195"/>
      <c r="BC78" s="195"/>
      <c r="BD78" s="195"/>
      <c r="BE78" s="195"/>
      <c r="BF78" s="195"/>
      <c r="BG78" s="195"/>
      <c r="BH78" s="195"/>
    </row>
    <row r="79" spans="1:60" x14ac:dyDescent="0.55000000000000004">
      <c r="A79" s="195"/>
      <c r="B79" s="195"/>
      <c r="C79" s="195"/>
      <c r="D79" s="195"/>
      <c r="E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5"/>
      <c r="AN79" s="195"/>
      <c r="AO79" s="195"/>
      <c r="AP79" s="195"/>
      <c r="AQ79" s="195"/>
      <c r="AR79" s="195"/>
      <c r="AS79" s="195"/>
      <c r="AT79" s="195"/>
      <c r="AU79" s="195"/>
      <c r="AV79" s="195"/>
      <c r="AW79" s="195"/>
      <c r="AX79" s="195"/>
      <c r="AY79" s="195"/>
      <c r="AZ79" s="195"/>
      <c r="BA79" s="195"/>
      <c r="BB79" s="195"/>
      <c r="BC79" s="195"/>
      <c r="BD79" s="195"/>
      <c r="BE79" s="195"/>
      <c r="BF79" s="195"/>
      <c r="BG79" s="195"/>
      <c r="BH79" s="195"/>
    </row>
    <row r="80" spans="1:60" x14ac:dyDescent="0.55000000000000004">
      <c r="A80" s="195"/>
      <c r="B80" s="195"/>
      <c r="C80" s="195"/>
      <c r="D80" s="195"/>
      <c r="E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c r="AT80" s="195"/>
      <c r="AU80" s="195"/>
      <c r="AV80" s="195"/>
      <c r="AW80" s="195"/>
      <c r="AX80" s="195"/>
      <c r="AY80" s="195"/>
      <c r="AZ80" s="195"/>
      <c r="BA80" s="195"/>
      <c r="BB80" s="195"/>
      <c r="BC80" s="195"/>
      <c r="BD80" s="195"/>
      <c r="BE80" s="195"/>
      <c r="BF80" s="195"/>
      <c r="BG80" s="195"/>
      <c r="BH80" s="195"/>
    </row>
    <row r="81" spans="1:60" x14ac:dyDescent="0.55000000000000004">
      <c r="A81" s="195"/>
      <c r="B81" s="195"/>
      <c r="C81" s="195"/>
      <c r="D81" s="195"/>
      <c r="E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c r="AT81" s="195"/>
      <c r="AU81" s="195"/>
      <c r="AV81" s="195"/>
      <c r="AW81" s="195"/>
      <c r="AX81" s="195"/>
      <c r="AY81" s="195"/>
      <c r="AZ81" s="195"/>
      <c r="BA81" s="195"/>
      <c r="BB81" s="195"/>
      <c r="BC81" s="195"/>
      <c r="BD81" s="195"/>
      <c r="BE81" s="195"/>
      <c r="BF81" s="195"/>
      <c r="BG81" s="195"/>
      <c r="BH81" s="195"/>
    </row>
    <row r="82" spans="1:60" x14ac:dyDescent="0.55000000000000004">
      <c r="A82" s="195"/>
      <c r="B82" s="195"/>
      <c r="C82" s="195"/>
      <c r="D82" s="195"/>
      <c r="E82" s="195"/>
      <c r="G82" s="195"/>
      <c r="H82" s="195"/>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c r="AT82" s="195"/>
      <c r="AU82" s="195"/>
      <c r="AV82" s="195"/>
      <c r="AW82" s="195"/>
      <c r="AX82" s="195"/>
      <c r="AY82" s="195"/>
      <c r="AZ82" s="195"/>
      <c r="BA82" s="195"/>
      <c r="BB82" s="195"/>
      <c r="BC82" s="195"/>
      <c r="BD82" s="195"/>
      <c r="BE82" s="195"/>
      <c r="BF82" s="195"/>
      <c r="BG82" s="195"/>
      <c r="BH82" s="195"/>
    </row>
    <row r="83" spans="1:60" x14ac:dyDescent="0.55000000000000004">
      <c r="A83" s="195"/>
      <c r="B83" s="195"/>
      <c r="C83" s="195"/>
      <c r="D83" s="195"/>
      <c r="E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c r="AT83" s="195"/>
      <c r="AU83" s="195"/>
      <c r="AV83" s="195"/>
      <c r="AW83" s="195"/>
      <c r="AX83" s="195"/>
      <c r="AY83" s="195"/>
      <c r="AZ83" s="195"/>
      <c r="BA83" s="195"/>
      <c r="BB83" s="195"/>
      <c r="BC83" s="195"/>
      <c r="BD83" s="195"/>
      <c r="BE83" s="195"/>
      <c r="BF83" s="195"/>
      <c r="BG83" s="195"/>
      <c r="BH83" s="195"/>
    </row>
    <row r="84" spans="1:60" x14ac:dyDescent="0.55000000000000004">
      <c r="A84" s="195"/>
      <c r="B84" s="195"/>
      <c r="C84" s="195"/>
      <c r="D84" s="195"/>
      <c r="E84" s="195"/>
      <c r="G84" s="195"/>
      <c r="H84" s="195"/>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c r="AT84" s="195"/>
      <c r="AU84" s="195"/>
      <c r="AV84" s="195"/>
      <c r="AW84" s="195"/>
      <c r="AX84" s="195"/>
      <c r="AY84" s="195"/>
      <c r="AZ84" s="195"/>
      <c r="BA84" s="195"/>
      <c r="BB84" s="195"/>
      <c r="BC84" s="195"/>
      <c r="BD84" s="195"/>
      <c r="BE84" s="195"/>
      <c r="BF84" s="195"/>
      <c r="BG84" s="195"/>
      <c r="BH84" s="195"/>
    </row>
    <row r="85" spans="1:60" x14ac:dyDescent="0.55000000000000004">
      <c r="A85" s="195"/>
      <c r="B85" s="195"/>
      <c r="C85" s="195"/>
      <c r="D85" s="195"/>
      <c r="E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c r="AT85" s="195"/>
      <c r="AU85" s="195"/>
      <c r="AV85" s="195"/>
      <c r="AW85" s="195"/>
      <c r="AX85" s="195"/>
      <c r="AY85" s="195"/>
      <c r="AZ85" s="195"/>
      <c r="BA85" s="195"/>
      <c r="BB85" s="195"/>
      <c r="BC85" s="195"/>
      <c r="BD85" s="195"/>
      <c r="BE85" s="195"/>
      <c r="BF85" s="195"/>
      <c r="BG85" s="195"/>
      <c r="BH85" s="195"/>
    </row>
    <row r="86" spans="1:60" x14ac:dyDescent="0.55000000000000004">
      <c r="A86" s="195"/>
      <c r="B86" s="195"/>
      <c r="C86" s="195"/>
      <c r="D86" s="195"/>
      <c r="E86" s="195"/>
      <c r="G86" s="195"/>
      <c r="H86" s="195"/>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c r="AT86" s="195"/>
      <c r="AU86" s="195"/>
      <c r="AV86" s="195"/>
      <c r="AW86" s="195"/>
      <c r="AX86" s="195"/>
      <c r="AY86" s="195"/>
      <c r="AZ86" s="195"/>
      <c r="BA86" s="195"/>
      <c r="BB86" s="195"/>
      <c r="BC86" s="195"/>
      <c r="BD86" s="195"/>
      <c r="BE86" s="195"/>
      <c r="BF86" s="195"/>
      <c r="BG86" s="195"/>
      <c r="BH86" s="195"/>
    </row>
    <row r="87" spans="1:60" x14ac:dyDescent="0.55000000000000004">
      <c r="A87" s="195"/>
      <c r="B87" s="195"/>
      <c r="C87" s="195"/>
      <c r="D87" s="195"/>
      <c r="E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c r="AT87" s="195"/>
      <c r="AU87" s="195"/>
      <c r="AV87" s="195"/>
      <c r="AW87" s="195"/>
      <c r="AX87" s="195"/>
      <c r="AY87" s="195"/>
      <c r="AZ87" s="195"/>
      <c r="BA87" s="195"/>
      <c r="BB87" s="195"/>
      <c r="BC87" s="195"/>
      <c r="BD87" s="195"/>
      <c r="BE87" s="195"/>
      <c r="BF87" s="195"/>
      <c r="BG87" s="195"/>
      <c r="BH87" s="195"/>
    </row>
    <row r="88" spans="1:60" x14ac:dyDescent="0.55000000000000004">
      <c r="A88" s="195"/>
      <c r="B88" s="195"/>
      <c r="C88" s="195"/>
      <c r="D88" s="195"/>
      <c r="E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c r="AT88" s="195"/>
      <c r="AU88" s="195"/>
      <c r="AV88" s="195"/>
      <c r="AW88" s="195"/>
      <c r="AX88" s="195"/>
      <c r="AY88" s="195"/>
      <c r="AZ88" s="195"/>
      <c r="BA88" s="195"/>
      <c r="BB88" s="195"/>
      <c r="BC88" s="195"/>
      <c r="BD88" s="195"/>
      <c r="BE88" s="195"/>
      <c r="BF88" s="195"/>
      <c r="BG88" s="195"/>
      <c r="BH88" s="195"/>
    </row>
    <row r="89" spans="1:60" x14ac:dyDescent="0.55000000000000004">
      <c r="A89" s="195"/>
      <c r="B89" s="195"/>
      <c r="C89" s="195"/>
      <c r="D89" s="195"/>
      <c r="E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c r="AT89" s="195"/>
      <c r="AU89" s="195"/>
      <c r="AV89" s="195"/>
      <c r="AW89" s="195"/>
      <c r="AX89" s="195"/>
      <c r="AY89" s="195"/>
      <c r="AZ89" s="195"/>
      <c r="BA89" s="195"/>
      <c r="BB89" s="195"/>
      <c r="BC89" s="195"/>
      <c r="BD89" s="195"/>
      <c r="BE89" s="195"/>
      <c r="BF89" s="195"/>
      <c r="BG89" s="195"/>
      <c r="BH89" s="195"/>
    </row>
    <row r="90" spans="1:60" x14ac:dyDescent="0.55000000000000004">
      <c r="A90" s="195"/>
      <c r="B90" s="195"/>
      <c r="C90" s="195"/>
      <c r="D90" s="195"/>
      <c r="E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c r="AT90" s="195"/>
      <c r="AU90" s="195"/>
      <c r="AV90" s="195"/>
      <c r="AW90" s="195"/>
      <c r="AX90" s="195"/>
      <c r="AY90" s="195"/>
      <c r="AZ90" s="195"/>
      <c r="BA90" s="195"/>
      <c r="BB90" s="195"/>
      <c r="BC90" s="195"/>
      <c r="BD90" s="195"/>
      <c r="BE90" s="195"/>
      <c r="BF90" s="195"/>
      <c r="BG90" s="195"/>
      <c r="BH90" s="195"/>
    </row>
    <row r="91" spans="1:60" x14ac:dyDescent="0.55000000000000004">
      <c r="A91" s="195"/>
      <c r="B91" s="195"/>
      <c r="C91" s="195"/>
      <c r="D91" s="195"/>
      <c r="E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95"/>
      <c r="BA91" s="195"/>
      <c r="BB91" s="195"/>
      <c r="BC91" s="195"/>
      <c r="BD91" s="195"/>
      <c r="BE91" s="195"/>
      <c r="BF91" s="195"/>
      <c r="BG91" s="195"/>
      <c r="BH91" s="195"/>
    </row>
    <row r="92" spans="1:60" x14ac:dyDescent="0.55000000000000004">
      <c r="A92" s="195"/>
      <c r="B92" s="195"/>
      <c r="C92" s="195"/>
      <c r="D92" s="195"/>
      <c r="E92" s="195"/>
      <c r="G92" s="195"/>
      <c r="H92" s="195"/>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c r="AT92" s="195"/>
      <c r="AU92" s="195"/>
      <c r="AV92" s="195"/>
      <c r="AW92" s="195"/>
      <c r="AX92" s="195"/>
      <c r="AY92" s="195"/>
      <c r="AZ92" s="195"/>
      <c r="BA92" s="195"/>
      <c r="BB92" s="195"/>
      <c r="BC92" s="195"/>
      <c r="BD92" s="195"/>
      <c r="BE92" s="195"/>
      <c r="BF92" s="195"/>
      <c r="BG92" s="195"/>
      <c r="BH92" s="195"/>
    </row>
    <row r="93" spans="1:60" x14ac:dyDescent="0.55000000000000004">
      <c r="A93" s="195"/>
      <c r="B93" s="195"/>
      <c r="C93" s="195"/>
      <c r="D93" s="195"/>
      <c r="E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5"/>
      <c r="BE93" s="195"/>
      <c r="BF93" s="195"/>
      <c r="BG93" s="195"/>
      <c r="BH93" s="195"/>
    </row>
    <row r="94" spans="1:60" x14ac:dyDescent="0.55000000000000004">
      <c r="A94" s="195"/>
      <c r="B94" s="195"/>
      <c r="C94" s="195"/>
      <c r="D94" s="195"/>
      <c r="E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c r="AT94" s="195"/>
      <c r="AU94" s="195"/>
      <c r="AV94" s="195"/>
      <c r="AW94" s="195"/>
      <c r="AX94" s="195"/>
      <c r="AY94" s="195"/>
      <c r="AZ94" s="195"/>
      <c r="BA94" s="195"/>
      <c r="BB94" s="195"/>
      <c r="BC94" s="195"/>
      <c r="BD94" s="195"/>
      <c r="BE94" s="195"/>
      <c r="BF94" s="195"/>
      <c r="BG94" s="195"/>
      <c r="BH94" s="195"/>
    </row>
    <row r="95" spans="1:60" x14ac:dyDescent="0.55000000000000004">
      <c r="A95" s="195"/>
      <c r="B95" s="195"/>
      <c r="C95" s="195"/>
      <c r="D95" s="195"/>
      <c r="E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95"/>
      <c r="BA95" s="195"/>
      <c r="BB95" s="195"/>
      <c r="BC95" s="195"/>
      <c r="BD95" s="195"/>
      <c r="BE95" s="195"/>
      <c r="BF95" s="195"/>
      <c r="BG95" s="195"/>
      <c r="BH95" s="195"/>
    </row>
    <row r="96" spans="1:60" x14ac:dyDescent="0.55000000000000004">
      <c r="A96" s="195"/>
      <c r="B96" s="195"/>
      <c r="C96" s="195"/>
      <c r="D96" s="195"/>
      <c r="E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c r="AT96" s="195"/>
      <c r="AU96" s="195"/>
      <c r="AV96" s="195"/>
      <c r="AW96" s="195"/>
      <c r="AX96" s="195"/>
      <c r="AY96" s="195"/>
      <c r="AZ96" s="195"/>
      <c r="BA96" s="195"/>
      <c r="BB96" s="195"/>
      <c r="BC96" s="195"/>
      <c r="BD96" s="195"/>
      <c r="BE96" s="195"/>
      <c r="BF96" s="195"/>
      <c r="BG96" s="195"/>
      <c r="BH96" s="195"/>
    </row>
    <row r="97" spans="1:60" x14ac:dyDescent="0.55000000000000004">
      <c r="A97" s="195"/>
      <c r="B97" s="195"/>
      <c r="C97" s="195"/>
      <c r="D97" s="195"/>
      <c r="E97" s="195"/>
      <c r="G97" s="195"/>
      <c r="H97" s="195"/>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c r="AT97" s="195"/>
      <c r="AU97" s="195"/>
      <c r="AV97" s="195"/>
      <c r="AW97" s="195"/>
      <c r="AX97" s="195"/>
      <c r="AY97" s="195"/>
      <c r="AZ97" s="195"/>
      <c r="BA97" s="195"/>
      <c r="BB97" s="195"/>
      <c r="BC97" s="195"/>
      <c r="BD97" s="195"/>
      <c r="BE97" s="195"/>
      <c r="BF97" s="195"/>
      <c r="BG97" s="195"/>
      <c r="BH97" s="195"/>
    </row>
    <row r="98" spans="1:60" x14ac:dyDescent="0.55000000000000004">
      <c r="A98" s="195"/>
      <c r="B98" s="195"/>
      <c r="C98" s="195"/>
      <c r="D98" s="195"/>
      <c r="E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c r="AT98" s="195"/>
      <c r="AU98" s="195"/>
      <c r="AV98" s="195"/>
      <c r="AW98" s="195"/>
      <c r="AX98" s="195"/>
      <c r="AY98" s="195"/>
      <c r="AZ98" s="195"/>
      <c r="BA98" s="195"/>
      <c r="BB98" s="195"/>
      <c r="BC98" s="195"/>
      <c r="BD98" s="195"/>
      <c r="BE98" s="195"/>
      <c r="BF98" s="195"/>
      <c r="BG98" s="195"/>
      <c r="BH98" s="195"/>
    </row>
    <row r="99" spans="1:60" x14ac:dyDescent="0.55000000000000004">
      <c r="A99" s="195"/>
      <c r="B99" s="195"/>
      <c r="C99" s="195"/>
      <c r="D99" s="195"/>
      <c r="E99" s="195"/>
      <c r="G99" s="195"/>
      <c r="H99" s="195"/>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c r="AT99" s="195"/>
      <c r="AU99" s="195"/>
      <c r="AV99" s="195"/>
      <c r="AW99" s="195"/>
      <c r="AX99" s="195"/>
      <c r="AY99" s="195"/>
      <c r="AZ99" s="195"/>
      <c r="BA99" s="195"/>
      <c r="BB99" s="195"/>
      <c r="BC99" s="195"/>
      <c r="BD99" s="195"/>
      <c r="BE99" s="195"/>
      <c r="BF99" s="195"/>
      <c r="BG99" s="195"/>
      <c r="BH99" s="195"/>
    </row>
    <row r="100" spans="1:60" x14ac:dyDescent="0.55000000000000004">
      <c r="A100" s="195"/>
      <c r="B100" s="195"/>
      <c r="C100" s="195"/>
      <c r="D100" s="195"/>
      <c r="E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c r="AT100" s="195"/>
      <c r="AU100" s="195"/>
      <c r="AV100" s="195"/>
      <c r="AW100" s="195"/>
      <c r="AX100" s="195"/>
      <c r="AY100" s="195"/>
      <c r="AZ100" s="195"/>
      <c r="BA100" s="195"/>
      <c r="BB100" s="195"/>
      <c r="BC100" s="195"/>
      <c r="BD100" s="195"/>
      <c r="BE100" s="195"/>
      <c r="BF100" s="195"/>
      <c r="BG100" s="195"/>
      <c r="BH100" s="195"/>
    </row>
    <row r="101" spans="1:60" x14ac:dyDescent="0.55000000000000004">
      <c r="A101" s="195"/>
      <c r="B101" s="195"/>
      <c r="C101" s="195"/>
      <c r="D101" s="195"/>
      <c r="E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c r="AZ101" s="195"/>
      <c r="BA101" s="195"/>
      <c r="BB101" s="195"/>
      <c r="BC101" s="195"/>
      <c r="BD101" s="195"/>
      <c r="BE101" s="195"/>
      <c r="BF101" s="195"/>
      <c r="BG101" s="195"/>
      <c r="BH101" s="195"/>
    </row>
    <row r="102" spans="1:60" x14ac:dyDescent="0.55000000000000004">
      <c r="A102" s="195"/>
      <c r="B102" s="195"/>
      <c r="C102" s="195"/>
      <c r="D102" s="195"/>
      <c r="E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c r="AT102" s="195"/>
      <c r="AU102" s="195"/>
      <c r="AV102" s="195"/>
      <c r="AW102" s="195"/>
      <c r="AX102" s="195"/>
      <c r="AY102" s="195"/>
      <c r="AZ102" s="195"/>
      <c r="BA102" s="195"/>
      <c r="BB102" s="195"/>
      <c r="BC102" s="195"/>
      <c r="BD102" s="195"/>
      <c r="BE102" s="195"/>
      <c r="BF102" s="195"/>
      <c r="BG102" s="195"/>
      <c r="BH102" s="195"/>
    </row>
    <row r="103" spans="1:60" x14ac:dyDescent="0.55000000000000004">
      <c r="A103" s="195"/>
      <c r="B103" s="195"/>
      <c r="C103" s="195"/>
      <c r="D103" s="195"/>
      <c r="E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c r="AT103" s="195"/>
      <c r="AU103" s="195"/>
      <c r="AV103" s="195"/>
      <c r="AW103" s="195"/>
      <c r="AX103" s="195"/>
      <c r="AY103" s="195"/>
      <c r="AZ103" s="195"/>
      <c r="BA103" s="195"/>
      <c r="BB103" s="195"/>
      <c r="BC103" s="195"/>
      <c r="BD103" s="195"/>
      <c r="BE103" s="195"/>
      <c r="BF103" s="195"/>
      <c r="BG103" s="195"/>
      <c r="BH103" s="195"/>
    </row>
    <row r="104" spans="1:60" x14ac:dyDescent="0.55000000000000004">
      <c r="A104" s="195"/>
      <c r="B104" s="195"/>
      <c r="C104" s="195"/>
      <c r="D104" s="195"/>
      <c r="E104" s="195"/>
      <c r="G104" s="195"/>
      <c r="H104" s="195"/>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c r="AT104" s="195"/>
      <c r="AU104" s="195"/>
      <c r="AV104" s="195"/>
      <c r="AW104" s="195"/>
      <c r="AX104" s="195"/>
      <c r="AY104" s="195"/>
      <c r="AZ104" s="195"/>
      <c r="BA104" s="195"/>
      <c r="BB104" s="195"/>
      <c r="BC104" s="195"/>
      <c r="BD104" s="195"/>
      <c r="BE104" s="195"/>
      <c r="BF104" s="195"/>
      <c r="BG104" s="195"/>
      <c r="BH104" s="195"/>
    </row>
    <row r="105" spans="1:60" x14ac:dyDescent="0.55000000000000004">
      <c r="A105" s="195"/>
      <c r="B105" s="195"/>
      <c r="C105" s="195"/>
      <c r="D105" s="195"/>
      <c r="E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c r="AT105" s="195"/>
      <c r="AU105" s="195"/>
      <c r="AV105" s="195"/>
      <c r="AW105" s="195"/>
      <c r="AX105" s="195"/>
      <c r="AY105" s="195"/>
      <c r="AZ105" s="195"/>
      <c r="BA105" s="195"/>
      <c r="BB105" s="195"/>
      <c r="BC105" s="195"/>
      <c r="BD105" s="195"/>
      <c r="BE105" s="195"/>
      <c r="BF105" s="195"/>
      <c r="BG105" s="195"/>
      <c r="BH105" s="195"/>
    </row>
    <row r="106" spans="1:60" x14ac:dyDescent="0.55000000000000004">
      <c r="A106" s="195"/>
      <c r="B106" s="195"/>
      <c r="C106" s="195"/>
      <c r="D106" s="195"/>
      <c r="E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c r="AT106" s="195"/>
      <c r="AU106" s="195"/>
      <c r="AV106" s="195"/>
      <c r="AW106" s="195"/>
      <c r="AX106" s="195"/>
      <c r="AY106" s="195"/>
      <c r="AZ106" s="195"/>
      <c r="BA106" s="195"/>
      <c r="BB106" s="195"/>
      <c r="BC106" s="195"/>
      <c r="BD106" s="195"/>
      <c r="BE106" s="195"/>
      <c r="BF106" s="195"/>
      <c r="BG106" s="195"/>
      <c r="BH106" s="195"/>
    </row>
    <row r="107" spans="1:60" x14ac:dyDescent="0.55000000000000004">
      <c r="A107" s="195"/>
      <c r="B107" s="195"/>
      <c r="C107" s="195"/>
      <c r="D107" s="195"/>
      <c r="E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c r="AT107" s="195"/>
      <c r="AU107" s="195"/>
      <c r="AV107" s="195"/>
      <c r="AW107" s="195"/>
      <c r="AX107" s="195"/>
      <c r="AY107" s="195"/>
      <c r="AZ107" s="195"/>
      <c r="BA107" s="195"/>
      <c r="BB107" s="195"/>
      <c r="BC107" s="195"/>
      <c r="BD107" s="195"/>
      <c r="BE107" s="195"/>
      <c r="BF107" s="195"/>
      <c r="BG107" s="195"/>
      <c r="BH107" s="195"/>
    </row>
    <row r="108" spans="1:60" x14ac:dyDescent="0.55000000000000004">
      <c r="A108" s="195"/>
      <c r="B108" s="195"/>
      <c r="C108" s="195"/>
      <c r="D108" s="195"/>
      <c r="E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c r="AT108" s="195"/>
      <c r="AU108" s="195"/>
      <c r="AV108" s="195"/>
      <c r="AW108" s="195"/>
      <c r="AX108" s="195"/>
      <c r="AY108" s="195"/>
      <c r="AZ108" s="195"/>
      <c r="BA108" s="195"/>
      <c r="BB108" s="195"/>
      <c r="BC108" s="195"/>
      <c r="BD108" s="195"/>
      <c r="BE108" s="195"/>
      <c r="BF108" s="195"/>
      <c r="BG108" s="195"/>
      <c r="BH108" s="195"/>
    </row>
    <row r="109" spans="1:60" x14ac:dyDescent="0.55000000000000004">
      <c r="A109" s="195"/>
      <c r="B109" s="195"/>
      <c r="C109" s="195"/>
      <c r="D109" s="195"/>
      <c r="E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c r="AT109" s="195"/>
      <c r="AU109" s="195"/>
      <c r="AV109" s="195"/>
      <c r="AW109" s="195"/>
      <c r="AX109" s="195"/>
      <c r="AY109" s="195"/>
      <c r="AZ109" s="195"/>
      <c r="BA109" s="195"/>
      <c r="BB109" s="195"/>
      <c r="BC109" s="195"/>
      <c r="BD109" s="195"/>
      <c r="BE109" s="195"/>
      <c r="BF109" s="195"/>
      <c r="BG109" s="195"/>
      <c r="BH109" s="195"/>
    </row>
    <row r="110" spans="1:60" x14ac:dyDescent="0.55000000000000004">
      <c r="A110" s="195"/>
      <c r="B110" s="195"/>
      <c r="C110" s="195"/>
      <c r="D110" s="195"/>
      <c r="E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c r="AT110" s="195"/>
      <c r="AU110" s="195"/>
      <c r="AV110" s="195"/>
      <c r="AW110" s="195"/>
      <c r="AX110" s="195"/>
      <c r="AY110" s="195"/>
      <c r="AZ110" s="195"/>
      <c r="BA110" s="195"/>
      <c r="BB110" s="195"/>
      <c r="BC110" s="195"/>
      <c r="BD110" s="195"/>
      <c r="BE110" s="195"/>
      <c r="BF110" s="195"/>
      <c r="BG110" s="195"/>
      <c r="BH110" s="195"/>
    </row>
    <row r="111" spans="1:60" x14ac:dyDescent="0.55000000000000004">
      <c r="A111" s="195"/>
      <c r="B111" s="195"/>
      <c r="C111" s="195"/>
      <c r="D111" s="195"/>
      <c r="E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c r="AT111" s="195"/>
      <c r="AU111" s="195"/>
      <c r="AV111" s="195"/>
      <c r="AW111" s="195"/>
      <c r="AX111" s="195"/>
      <c r="AY111" s="195"/>
      <c r="AZ111" s="195"/>
      <c r="BA111" s="195"/>
      <c r="BB111" s="195"/>
      <c r="BC111" s="195"/>
      <c r="BD111" s="195"/>
      <c r="BE111" s="195"/>
      <c r="BF111" s="195"/>
      <c r="BG111" s="195"/>
      <c r="BH111" s="195"/>
    </row>
    <row r="112" spans="1:60" x14ac:dyDescent="0.55000000000000004">
      <c r="A112" s="195"/>
      <c r="B112" s="195"/>
      <c r="C112" s="195"/>
      <c r="D112" s="195"/>
      <c r="E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c r="AT112" s="195"/>
      <c r="AU112" s="195"/>
      <c r="AV112" s="195"/>
      <c r="AW112" s="195"/>
      <c r="AX112" s="195"/>
      <c r="AY112" s="195"/>
      <c r="AZ112" s="195"/>
      <c r="BA112" s="195"/>
      <c r="BB112" s="195"/>
      <c r="BC112" s="195"/>
      <c r="BD112" s="195"/>
      <c r="BE112" s="195"/>
      <c r="BF112" s="195"/>
      <c r="BG112" s="195"/>
      <c r="BH112" s="195"/>
    </row>
    <row r="113" spans="1:60" x14ac:dyDescent="0.55000000000000004">
      <c r="A113" s="195"/>
      <c r="B113" s="195"/>
      <c r="C113" s="195"/>
      <c r="D113" s="195"/>
      <c r="E113" s="195"/>
      <c r="G113" s="195"/>
      <c r="H113" s="195"/>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c r="AT113" s="195"/>
      <c r="AU113" s="195"/>
      <c r="AV113" s="195"/>
      <c r="AW113" s="195"/>
      <c r="AX113" s="195"/>
      <c r="AY113" s="195"/>
      <c r="AZ113" s="195"/>
      <c r="BA113" s="195"/>
      <c r="BB113" s="195"/>
      <c r="BC113" s="195"/>
      <c r="BD113" s="195"/>
      <c r="BE113" s="195"/>
      <c r="BF113" s="195"/>
      <c r="BG113" s="195"/>
      <c r="BH113" s="195"/>
    </row>
    <row r="114" spans="1:60" x14ac:dyDescent="0.55000000000000004">
      <c r="A114" s="195"/>
      <c r="B114" s="195"/>
      <c r="C114" s="195"/>
      <c r="D114" s="195"/>
      <c r="E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c r="AT114" s="195"/>
      <c r="AU114" s="195"/>
      <c r="AV114" s="195"/>
      <c r="AW114" s="195"/>
      <c r="AX114" s="195"/>
      <c r="AY114" s="195"/>
      <c r="AZ114" s="195"/>
      <c r="BA114" s="195"/>
      <c r="BB114" s="195"/>
      <c r="BC114" s="195"/>
      <c r="BD114" s="195"/>
      <c r="BE114" s="195"/>
      <c r="BF114" s="195"/>
      <c r="BG114" s="195"/>
      <c r="BH114" s="195"/>
    </row>
    <row r="115" spans="1:60" x14ac:dyDescent="0.55000000000000004">
      <c r="A115" s="195"/>
      <c r="B115" s="195"/>
      <c r="C115" s="195"/>
      <c r="D115" s="195"/>
      <c r="E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c r="AT115" s="195"/>
      <c r="AU115" s="195"/>
      <c r="AV115" s="195"/>
      <c r="AW115" s="195"/>
      <c r="AX115" s="195"/>
      <c r="AY115" s="195"/>
      <c r="AZ115" s="195"/>
      <c r="BA115" s="195"/>
      <c r="BB115" s="195"/>
      <c r="BC115" s="195"/>
      <c r="BD115" s="195"/>
      <c r="BE115" s="195"/>
      <c r="BF115" s="195"/>
      <c r="BG115" s="195"/>
      <c r="BH115" s="195"/>
    </row>
    <row r="116" spans="1:60" x14ac:dyDescent="0.55000000000000004">
      <c r="A116" s="195"/>
      <c r="B116" s="195"/>
      <c r="C116" s="195"/>
      <c r="D116" s="195"/>
      <c r="E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c r="AT116" s="195"/>
      <c r="AU116" s="195"/>
      <c r="AV116" s="195"/>
      <c r="AW116" s="195"/>
      <c r="AX116" s="195"/>
      <c r="AY116" s="195"/>
      <c r="AZ116" s="195"/>
      <c r="BA116" s="195"/>
      <c r="BB116" s="195"/>
      <c r="BC116" s="195"/>
      <c r="BD116" s="195"/>
      <c r="BE116" s="195"/>
      <c r="BF116" s="195"/>
      <c r="BG116" s="195"/>
      <c r="BH116" s="195"/>
    </row>
    <row r="117" spans="1:60" x14ac:dyDescent="0.55000000000000004">
      <c r="A117" s="195"/>
      <c r="B117" s="195"/>
      <c r="C117" s="195"/>
      <c r="D117" s="195"/>
      <c r="E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c r="AT117" s="195"/>
      <c r="AU117" s="195"/>
      <c r="AV117" s="195"/>
      <c r="AW117" s="195"/>
      <c r="AX117" s="195"/>
      <c r="AY117" s="195"/>
      <c r="AZ117" s="195"/>
      <c r="BA117" s="195"/>
      <c r="BB117" s="195"/>
      <c r="BC117" s="195"/>
      <c r="BD117" s="195"/>
      <c r="BE117" s="195"/>
      <c r="BF117" s="195"/>
      <c r="BG117" s="195"/>
      <c r="BH117" s="195"/>
    </row>
    <row r="118" spans="1:60" x14ac:dyDescent="0.55000000000000004">
      <c r="A118" s="195"/>
      <c r="B118" s="195"/>
      <c r="C118" s="195"/>
      <c r="D118" s="195"/>
      <c r="E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c r="AT118" s="195"/>
      <c r="AU118" s="195"/>
      <c r="AV118" s="195"/>
      <c r="AW118" s="195"/>
      <c r="AX118" s="195"/>
      <c r="AY118" s="195"/>
      <c r="AZ118" s="195"/>
      <c r="BA118" s="195"/>
      <c r="BB118" s="195"/>
      <c r="BC118" s="195"/>
      <c r="BD118" s="195"/>
      <c r="BE118" s="195"/>
      <c r="BF118" s="195"/>
      <c r="BG118" s="195"/>
      <c r="BH118" s="195"/>
    </row>
    <row r="119" spans="1:60" x14ac:dyDescent="0.55000000000000004">
      <c r="A119" s="195"/>
      <c r="B119" s="195"/>
      <c r="C119" s="195"/>
      <c r="D119" s="195"/>
      <c r="E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c r="AT119" s="195"/>
      <c r="AU119" s="195"/>
      <c r="AV119" s="195"/>
      <c r="AW119" s="195"/>
      <c r="AX119" s="195"/>
      <c r="AY119" s="195"/>
      <c r="AZ119" s="195"/>
      <c r="BA119" s="195"/>
      <c r="BB119" s="195"/>
      <c r="BC119" s="195"/>
      <c r="BD119" s="195"/>
      <c r="BE119" s="195"/>
      <c r="BF119" s="195"/>
      <c r="BG119" s="195"/>
      <c r="BH119" s="195"/>
    </row>
    <row r="120" spans="1:60" x14ac:dyDescent="0.55000000000000004">
      <c r="A120" s="195"/>
      <c r="B120" s="195"/>
      <c r="C120" s="195"/>
      <c r="D120" s="195"/>
      <c r="E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c r="AT120" s="195"/>
      <c r="AU120" s="195"/>
      <c r="AV120" s="195"/>
      <c r="AW120" s="195"/>
      <c r="AX120" s="195"/>
      <c r="AY120" s="195"/>
      <c r="AZ120" s="195"/>
      <c r="BA120" s="195"/>
      <c r="BB120" s="195"/>
      <c r="BC120" s="195"/>
      <c r="BD120" s="195"/>
      <c r="BE120" s="195"/>
      <c r="BF120" s="195"/>
      <c r="BG120" s="195"/>
      <c r="BH120" s="195"/>
    </row>
    <row r="121" spans="1:60" x14ac:dyDescent="0.55000000000000004">
      <c r="A121" s="195"/>
      <c r="B121" s="195"/>
      <c r="C121" s="195"/>
      <c r="D121" s="195"/>
      <c r="E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c r="AT121" s="195"/>
      <c r="AU121" s="195"/>
      <c r="AV121" s="195"/>
      <c r="AW121" s="195"/>
      <c r="AX121" s="195"/>
      <c r="AY121" s="195"/>
      <c r="AZ121" s="195"/>
      <c r="BA121" s="195"/>
      <c r="BB121" s="195"/>
      <c r="BC121" s="195"/>
      <c r="BD121" s="195"/>
      <c r="BE121" s="195"/>
      <c r="BF121" s="195"/>
      <c r="BG121" s="195"/>
      <c r="BH121" s="195"/>
    </row>
    <row r="122" spans="1:60" x14ac:dyDescent="0.55000000000000004">
      <c r="A122" s="195"/>
      <c r="B122" s="195"/>
      <c r="C122" s="195"/>
      <c r="D122" s="195"/>
      <c r="E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c r="BB122" s="195"/>
      <c r="BC122" s="195"/>
      <c r="BD122" s="195"/>
      <c r="BE122" s="195"/>
      <c r="BF122" s="195"/>
      <c r="BG122" s="195"/>
      <c r="BH122" s="195"/>
    </row>
    <row r="123" spans="1:60" x14ac:dyDescent="0.55000000000000004">
      <c r="A123" s="195"/>
      <c r="B123" s="195"/>
      <c r="C123" s="195"/>
      <c r="D123" s="195"/>
      <c r="E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95"/>
      <c r="BA123" s="195"/>
      <c r="BB123" s="195"/>
      <c r="BC123" s="195"/>
      <c r="BD123" s="195"/>
      <c r="BE123" s="195"/>
      <c r="BF123" s="195"/>
      <c r="BG123" s="195"/>
      <c r="BH123" s="195"/>
    </row>
    <row r="124" spans="1:60" x14ac:dyDescent="0.55000000000000004">
      <c r="A124" s="195"/>
      <c r="B124" s="195"/>
      <c r="C124" s="195"/>
      <c r="D124" s="195"/>
      <c r="E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c r="AT124" s="195"/>
      <c r="AU124" s="195"/>
      <c r="AV124" s="195"/>
      <c r="AW124" s="195"/>
      <c r="AX124" s="195"/>
      <c r="AY124" s="195"/>
      <c r="AZ124" s="195"/>
      <c r="BA124" s="195"/>
      <c r="BB124" s="195"/>
      <c r="BC124" s="195"/>
      <c r="BD124" s="195"/>
      <c r="BE124" s="195"/>
      <c r="BF124" s="195"/>
      <c r="BG124" s="195"/>
      <c r="BH124" s="195"/>
    </row>
    <row r="125" spans="1:60" x14ac:dyDescent="0.55000000000000004">
      <c r="A125" s="195"/>
      <c r="B125" s="195"/>
      <c r="C125" s="195"/>
      <c r="D125" s="195"/>
      <c r="E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c r="AT125" s="195"/>
      <c r="AU125" s="195"/>
      <c r="AV125" s="195"/>
      <c r="AW125" s="195"/>
      <c r="AX125" s="195"/>
      <c r="AY125" s="195"/>
      <c r="AZ125" s="195"/>
      <c r="BA125" s="195"/>
      <c r="BB125" s="195"/>
      <c r="BC125" s="195"/>
      <c r="BD125" s="195"/>
      <c r="BE125" s="195"/>
      <c r="BF125" s="195"/>
      <c r="BG125" s="195"/>
      <c r="BH125" s="195"/>
    </row>
    <row r="126" spans="1:60" x14ac:dyDescent="0.55000000000000004">
      <c r="A126" s="195"/>
      <c r="B126" s="195"/>
      <c r="C126" s="195"/>
      <c r="D126" s="195"/>
      <c r="E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c r="AT126" s="195"/>
      <c r="AU126" s="195"/>
      <c r="AV126" s="195"/>
      <c r="AW126" s="195"/>
      <c r="AX126" s="195"/>
      <c r="AY126" s="195"/>
      <c r="AZ126" s="195"/>
      <c r="BA126" s="195"/>
      <c r="BB126" s="195"/>
      <c r="BC126" s="195"/>
      <c r="BD126" s="195"/>
      <c r="BE126" s="195"/>
      <c r="BF126" s="195"/>
      <c r="BG126" s="195"/>
      <c r="BH126" s="195"/>
    </row>
    <row r="127" spans="1:60" x14ac:dyDescent="0.55000000000000004">
      <c r="A127" s="195"/>
      <c r="B127" s="195"/>
      <c r="C127" s="195"/>
      <c r="D127" s="195"/>
      <c r="E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c r="AT127" s="195"/>
      <c r="AU127" s="195"/>
      <c r="AV127" s="195"/>
      <c r="AW127" s="195"/>
      <c r="AX127" s="195"/>
      <c r="AY127" s="195"/>
      <c r="AZ127" s="195"/>
      <c r="BA127" s="195"/>
      <c r="BB127" s="195"/>
      <c r="BC127" s="195"/>
      <c r="BD127" s="195"/>
      <c r="BE127" s="195"/>
      <c r="BF127" s="195"/>
      <c r="BG127" s="195"/>
      <c r="BH127" s="195"/>
    </row>
    <row r="128" spans="1:60" x14ac:dyDescent="0.55000000000000004">
      <c r="A128" s="195"/>
      <c r="B128" s="195"/>
      <c r="C128" s="195"/>
      <c r="D128" s="195"/>
      <c r="E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c r="AT128" s="195"/>
      <c r="AU128" s="195"/>
      <c r="AV128" s="195"/>
      <c r="AW128" s="195"/>
      <c r="AX128" s="195"/>
      <c r="AY128" s="195"/>
      <c r="AZ128" s="195"/>
      <c r="BA128" s="195"/>
      <c r="BB128" s="195"/>
      <c r="BC128" s="195"/>
      <c r="BD128" s="195"/>
      <c r="BE128" s="195"/>
      <c r="BF128" s="195"/>
      <c r="BG128" s="195"/>
      <c r="BH128" s="195"/>
    </row>
    <row r="129" spans="1:60" x14ac:dyDescent="0.55000000000000004">
      <c r="A129" s="195"/>
      <c r="B129" s="195"/>
      <c r="C129" s="195"/>
      <c r="D129" s="195"/>
      <c r="E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c r="AT129" s="195"/>
      <c r="AU129" s="195"/>
      <c r="AV129" s="195"/>
      <c r="AW129" s="195"/>
      <c r="AX129" s="195"/>
      <c r="AY129" s="195"/>
      <c r="AZ129" s="195"/>
      <c r="BA129" s="195"/>
      <c r="BB129" s="195"/>
      <c r="BC129" s="195"/>
      <c r="BD129" s="195"/>
      <c r="BE129" s="195"/>
      <c r="BF129" s="195"/>
      <c r="BG129" s="195"/>
      <c r="BH129" s="195"/>
    </row>
    <row r="130" spans="1:60" x14ac:dyDescent="0.55000000000000004">
      <c r="A130" s="195"/>
      <c r="B130" s="195"/>
      <c r="C130" s="195"/>
      <c r="D130" s="195"/>
      <c r="E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c r="AT130" s="195"/>
      <c r="AU130" s="195"/>
      <c r="AV130" s="195"/>
      <c r="AW130" s="195"/>
      <c r="AX130" s="195"/>
      <c r="AY130" s="195"/>
      <c r="AZ130" s="195"/>
      <c r="BA130" s="195"/>
      <c r="BB130" s="195"/>
      <c r="BC130" s="195"/>
      <c r="BD130" s="195"/>
      <c r="BE130" s="195"/>
      <c r="BF130" s="195"/>
      <c r="BG130" s="195"/>
      <c r="BH130" s="195"/>
    </row>
    <row r="131" spans="1:60" x14ac:dyDescent="0.55000000000000004">
      <c r="A131" s="195"/>
      <c r="B131" s="195"/>
      <c r="C131" s="195"/>
      <c r="D131" s="195"/>
      <c r="E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c r="AT131" s="195"/>
      <c r="AU131" s="195"/>
      <c r="AV131" s="195"/>
      <c r="AW131" s="195"/>
      <c r="AX131" s="195"/>
      <c r="AY131" s="195"/>
      <c r="AZ131" s="195"/>
      <c r="BA131" s="195"/>
      <c r="BB131" s="195"/>
      <c r="BC131" s="195"/>
      <c r="BD131" s="195"/>
      <c r="BE131" s="195"/>
      <c r="BF131" s="195"/>
      <c r="BG131" s="195"/>
      <c r="BH131" s="195"/>
    </row>
    <row r="132" spans="1:60" x14ac:dyDescent="0.55000000000000004">
      <c r="A132" s="195"/>
      <c r="B132" s="195"/>
      <c r="C132" s="195"/>
      <c r="D132" s="195"/>
      <c r="E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c r="AT132" s="195"/>
      <c r="AU132" s="195"/>
      <c r="AV132" s="195"/>
      <c r="AW132" s="195"/>
      <c r="AX132" s="195"/>
      <c r="AY132" s="195"/>
      <c r="AZ132" s="195"/>
      <c r="BA132" s="195"/>
      <c r="BB132" s="195"/>
      <c r="BC132" s="195"/>
      <c r="BD132" s="195"/>
      <c r="BE132" s="195"/>
      <c r="BF132" s="195"/>
      <c r="BG132" s="195"/>
      <c r="BH132" s="195"/>
    </row>
    <row r="133" spans="1:60" x14ac:dyDescent="0.55000000000000004">
      <c r="A133" s="195"/>
      <c r="B133" s="195"/>
      <c r="C133" s="195"/>
      <c r="D133" s="195"/>
      <c r="E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c r="AT133" s="195"/>
      <c r="AU133" s="195"/>
      <c r="AV133" s="195"/>
      <c r="AW133" s="195"/>
      <c r="AX133" s="195"/>
      <c r="AY133" s="195"/>
      <c r="AZ133" s="195"/>
      <c r="BA133" s="195"/>
      <c r="BB133" s="195"/>
      <c r="BC133" s="195"/>
      <c r="BD133" s="195"/>
      <c r="BE133" s="195"/>
      <c r="BF133" s="195"/>
      <c r="BG133" s="195"/>
      <c r="BH133" s="195"/>
    </row>
    <row r="134" spans="1:60" x14ac:dyDescent="0.55000000000000004">
      <c r="A134" s="195"/>
      <c r="B134" s="195"/>
      <c r="C134" s="195"/>
      <c r="D134" s="195"/>
      <c r="E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c r="AT134" s="195"/>
      <c r="AU134" s="195"/>
      <c r="AV134" s="195"/>
      <c r="AW134" s="195"/>
      <c r="AX134" s="195"/>
      <c r="AY134" s="195"/>
      <c r="AZ134" s="195"/>
      <c r="BA134" s="195"/>
      <c r="BB134" s="195"/>
      <c r="BC134" s="195"/>
      <c r="BD134" s="195"/>
      <c r="BE134" s="195"/>
      <c r="BF134" s="195"/>
      <c r="BG134" s="195"/>
      <c r="BH134" s="195"/>
    </row>
    <row r="135" spans="1:60" x14ac:dyDescent="0.55000000000000004">
      <c r="A135" s="195"/>
      <c r="B135" s="195"/>
      <c r="C135" s="195"/>
      <c r="D135" s="195"/>
      <c r="E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c r="AT135" s="195"/>
      <c r="AU135" s="195"/>
      <c r="AV135" s="195"/>
      <c r="AW135" s="195"/>
      <c r="AX135" s="195"/>
      <c r="AY135" s="195"/>
      <c r="AZ135" s="195"/>
      <c r="BA135" s="195"/>
      <c r="BB135" s="195"/>
      <c r="BC135" s="195"/>
      <c r="BD135" s="195"/>
      <c r="BE135" s="195"/>
      <c r="BF135" s="195"/>
      <c r="BG135" s="195"/>
      <c r="BH135" s="195"/>
    </row>
    <row r="136" spans="1:60" x14ac:dyDescent="0.55000000000000004">
      <c r="A136" s="195"/>
      <c r="B136" s="195"/>
      <c r="C136" s="195"/>
      <c r="D136" s="195"/>
      <c r="E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c r="AT136" s="195"/>
      <c r="AU136" s="195"/>
      <c r="AV136" s="195"/>
      <c r="AW136" s="195"/>
      <c r="AX136" s="195"/>
      <c r="AY136" s="195"/>
      <c r="AZ136" s="195"/>
      <c r="BA136" s="195"/>
      <c r="BB136" s="195"/>
      <c r="BC136" s="195"/>
      <c r="BD136" s="195"/>
      <c r="BE136" s="195"/>
      <c r="BF136" s="195"/>
      <c r="BG136" s="195"/>
      <c r="BH136" s="195"/>
    </row>
    <row r="137" spans="1:60" x14ac:dyDescent="0.55000000000000004">
      <c r="A137" s="195"/>
      <c r="B137" s="195"/>
      <c r="C137" s="195"/>
      <c r="D137" s="195"/>
      <c r="E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c r="AT137" s="195"/>
      <c r="AU137" s="195"/>
      <c r="AV137" s="195"/>
      <c r="AW137" s="195"/>
      <c r="AX137" s="195"/>
      <c r="AY137" s="195"/>
      <c r="AZ137" s="195"/>
      <c r="BA137" s="195"/>
      <c r="BB137" s="195"/>
      <c r="BC137" s="195"/>
      <c r="BD137" s="195"/>
      <c r="BE137" s="195"/>
      <c r="BF137" s="195"/>
      <c r="BG137" s="195"/>
      <c r="BH137" s="195"/>
    </row>
    <row r="138" spans="1:60" x14ac:dyDescent="0.55000000000000004">
      <c r="A138" s="195"/>
      <c r="B138" s="195"/>
      <c r="C138" s="195"/>
      <c r="D138" s="195"/>
      <c r="E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c r="AT138" s="195"/>
      <c r="AU138" s="195"/>
      <c r="AV138" s="195"/>
      <c r="AW138" s="195"/>
      <c r="AX138" s="195"/>
      <c r="AY138" s="195"/>
      <c r="AZ138" s="195"/>
      <c r="BA138" s="195"/>
      <c r="BB138" s="195"/>
      <c r="BC138" s="195"/>
      <c r="BD138" s="195"/>
      <c r="BE138" s="195"/>
      <c r="BF138" s="195"/>
      <c r="BG138" s="195"/>
      <c r="BH138" s="195"/>
    </row>
    <row r="139" spans="1:60" x14ac:dyDescent="0.55000000000000004">
      <c r="A139" s="195"/>
      <c r="B139" s="195"/>
      <c r="C139" s="195"/>
      <c r="D139" s="195"/>
      <c r="E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c r="AT139" s="195"/>
      <c r="AU139" s="195"/>
      <c r="AV139" s="195"/>
      <c r="AW139" s="195"/>
      <c r="AX139" s="195"/>
      <c r="AY139" s="195"/>
      <c r="AZ139" s="195"/>
      <c r="BA139" s="195"/>
      <c r="BB139" s="195"/>
      <c r="BC139" s="195"/>
      <c r="BD139" s="195"/>
      <c r="BE139" s="195"/>
      <c r="BF139" s="195"/>
      <c r="BG139" s="195"/>
      <c r="BH139" s="195"/>
    </row>
    <row r="140" spans="1:60" x14ac:dyDescent="0.55000000000000004">
      <c r="A140" s="195"/>
      <c r="B140" s="195"/>
      <c r="C140" s="195"/>
      <c r="D140" s="195"/>
      <c r="E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c r="AT140" s="195"/>
      <c r="AU140" s="195"/>
      <c r="AV140" s="195"/>
      <c r="AW140" s="195"/>
      <c r="AX140" s="195"/>
      <c r="AY140" s="195"/>
      <c r="AZ140" s="195"/>
      <c r="BA140" s="195"/>
      <c r="BB140" s="195"/>
      <c r="BC140" s="195"/>
      <c r="BD140" s="195"/>
      <c r="BE140" s="195"/>
      <c r="BF140" s="195"/>
      <c r="BG140" s="195"/>
      <c r="BH140" s="195"/>
    </row>
    <row r="141" spans="1:60" x14ac:dyDescent="0.55000000000000004">
      <c r="A141" s="195"/>
      <c r="B141" s="195"/>
      <c r="C141" s="195"/>
      <c r="D141" s="195"/>
      <c r="E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c r="AT141" s="195"/>
      <c r="AU141" s="195"/>
      <c r="AV141" s="195"/>
      <c r="AW141" s="195"/>
      <c r="AX141" s="195"/>
      <c r="AY141" s="195"/>
      <c r="AZ141" s="195"/>
      <c r="BA141" s="195"/>
      <c r="BB141" s="195"/>
      <c r="BC141" s="195"/>
      <c r="BD141" s="195"/>
      <c r="BE141" s="195"/>
      <c r="BF141" s="195"/>
      <c r="BG141" s="195"/>
      <c r="BH141" s="195"/>
    </row>
    <row r="142" spans="1:60" x14ac:dyDescent="0.55000000000000004">
      <c r="A142" s="195"/>
      <c r="B142" s="195"/>
      <c r="C142" s="195"/>
      <c r="D142" s="195"/>
      <c r="E142" s="195"/>
      <c r="G142" s="195"/>
      <c r="H142" s="195"/>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c r="AT142" s="195"/>
      <c r="AU142" s="195"/>
      <c r="AV142" s="195"/>
      <c r="AW142" s="195"/>
      <c r="AX142" s="195"/>
      <c r="AY142" s="195"/>
      <c r="AZ142" s="195"/>
      <c r="BA142" s="195"/>
      <c r="BB142" s="195"/>
      <c r="BC142" s="195"/>
      <c r="BD142" s="195"/>
      <c r="BE142" s="195"/>
      <c r="BF142" s="195"/>
      <c r="BG142" s="195"/>
      <c r="BH142" s="195"/>
    </row>
    <row r="143" spans="1:60" x14ac:dyDescent="0.55000000000000004">
      <c r="A143" s="195"/>
      <c r="B143" s="195"/>
      <c r="C143" s="195"/>
      <c r="D143" s="195"/>
      <c r="E143" s="195"/>
      <c r="G143" s="195"/>
      <c r="H143" s="195"/>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195"/>
      <c r="AG143" s="195"/>
      <c r="AH143" s="195"/>
      <c r="AI143" s="195"/>
      <c r="AJ143" s="195"/>
      <c r="AK143" s="195"/>
      <c r="AL143" s="195"/>
      <c r="AM143" s="195"/>
      <c r="AN143" s="195"/>
      <c r="AO143" s="195"/>
      <c r="AP143" s="195"/>
      <c r="AQ143" s="195"/>
      <c r="AR143" s="195"/>
      <c r="AS143" s="195"/>
      <c r="AT143" s="195"/>
      <c r="AU143" s="195"/>
      <c r="AV143" s="195"/>
      <c r="AW143" s="195"/>
      <c r="AX143" s="195"/>
      <c r="AY143" s="195"/>
      <c r="AZ143" s="195"/>
      <c r="BA143" s="195"/>
      <c r="BB143" s="195"/>
      <c r="BC143" s="195"/>
      <c r="BD143" s="195"/>
      <c r="BE143" s="195"/>
      <c r="BF143" s="195"/>
      <c r="BG143" s="195"/>
      <c r="BH143" s="195"/>
    </row>
    <row r="144" spans="1:60" x14ac:dyDescent="0.55000000000000004">
      <c r="A144" s="195"/>
      <c r="B144" s="195"/>
      <c r="C144" s="195"/>
      <c r="D144" s="195"/>
      <c r="E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195"/>
      <c r="AG144" s="195"/>
      <c r="AH144" s="195"/>
      <c r="AI144" s="195"/>
      <c r="AJ144" s="195"/>
      <c r="AK144" s="195"/>
      <c r="AL144" s="195"/>
      <c r="AM144" s="195"/>
      <c r="AN144" s="195"/>
      <c r="AO144" s="195"/>
      <c r="AP144" s="195"/>
      <c r="AQ144" s="195"/>
      <c r="AR144" s="195"/>
      <c r="AS144" s="195"/>
      <c r="AT144" s="195"/>
      <c r="AU144" s="195"/>
      <c r="AV144" s="195"/>
      <c r="AW144" s="195"/>
      <c r="AX144" s="195"/>
      <c r="AY144" s="195"/>
      <c r="AZ144" s="195"/>
      <c r="BA144" s="195"/>
      <c r="BB144" s="195"/>
      <c r="BC144" s="195"/>
      <c r="BD144" s="195"/>
      <c r="BE144" s="195"/>
      <c r="BF144" s="195"/>
      <c r="BG144" s="195"/>
      <c r="BH144" s="195"/>
    </row>
    <row r="145" spans="1:60" x14ac:dyDescent="0.55000000000000004">
      <c r="A145" s="195"/>
      <c r="B145" s="195"/>
      <c r="C145" s="195"/>
      <c r="D145" s="195"/>
      <c r="E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195"/>
      <c r="AG145" s="195"/>
      <c r="AH145" s="195"/>
      <c r="AI145" s="195"/>
      <c r="AJ145" s="195"/>
      <c r="AK145" s="195"/>
      <c r="AL145" s="195"/>
      <c r="AM145" s="195"/>
      <c r="AN145" s="195"/>
      <c r="AO145" s="195"/>
      <c r="AP145" s="195"/>
      <c r="AQ145" s="195"/>
      <c r="AR145" s="195"/>
      <c r="AS145" s="195"/>
      <c r="AT145" s="195"/>
      <c r="AU145" s="195"/>
      <c r="AV145" s="195"/>
      <c r="AW145" s="195"/>
      <c r="AX145" s="195"/>
      <c r="AY145" s="195"/>
      <c r="AZ145" s="195"/>
      <c r="BA145" s="195"/>
      <c r="BB145" s="195"/>
      <c r="BC145" s="195"/>
      <c r="BD145" s="195"/>
      <c r="BE145" s="195"/>
      <c r="BF145" s="195"/>
      <c r="BG145" s="195"/>
      <c r="BH145" s="195"/>
    </row>
    <row r="146" spans="1:60" x14ac:dyDescent="0.55000000000000004">
      <c r="A146" s="195"/>
      <c r="B146" s="195"/>
      <c r="C146" s="195"/>
      <c r="D146" s="195"/>
      <c r="E146" s="195"/>
      <c r="G146" s="195"/>
      <c r="H146" s="195"/>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195"/>
      <c r="AG146" s="195"/>
      <c r="AH146" s="195"/>
      <c r="AI146" s="195"/>
      <c r="AJ146" s="195"/>
      <c r="AK146" s="195"/>
      <c r="AL146" s="195"/>
      <c r="AM146" s="195"/>
      <c r="AN146" s="195"/>
      <c r="AO146" s="195"/>
      <c r="AP146" s="195"/>
      <c r="AQ146" s="195"/>
      <c r="AR146" s="195"/>
      <c r="AS146" s="195"/>
      <c r="AT146" s="195"/>
      <c r="AU146" s="195"/>
      <c r="AV146" s="195"/>
      <c r="AW146" s="195"/>
      <c r="AX146" s="195"/>
      <c r="AY146" s="195"/>
      <c r="AZ146" s="195"/>
      <c r="BA146" s="195"/>
      <c r="BB146" s="195"/>
      <c r="BC146" s="195"/>
      <c r="BD146" s="195"/>
      <c r="BE146" s="195"/>
      <c r="BF146" s="195"/>
      <c r="BG146" s="195"/>
      <c r="BH146" s="195"/>
    </row>
    <row r="147" spans="1:60" x14ac:dyDescent="0.55000000000000004">
      <c r="A147" s="195"/>
      <c r="B147" s="195"/>
      <c r="C147" s="195"/>
      <c r="D147" s="195"/>
      <c r="E147" s="195"/>
      <c r="G147" s="195"/>
      <c r="H147" s="195"/>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195"/>
      <c r="AG147" s="195"/>
      <c r="AH147" s="195"/>
      <c r="AI147" s="195"/>
      <c r="AJ147" s="195"/>
      <c r="AK147" s="195"/>
      <c r="AL147" s="195"/>
      <c r="AM147" s="195"/>
      <c r="AN147" s="195"/>
      <c r="AO147" s="195"/>
      <c r="AP147" s="195"/>
      <c r="AQ147" s="195"/>
      <c r="AR147" s="195"/>
      <c r="AS147" s="195"/>
      <c r="AT147" s="195"/>
      <c r="AU147" s="195"/>
      <c r="AV147" s="195"/>
      <c r="AW147" s="195"/>
      <c r="AX147" s="195"/>
      <c r="AY147" s="195"/>
      <c r="AZ147" s="195"/>
      <c r="BA147" s="195"/>
      <c r="BB147" s="195"/>
      <c r="BC147" s="195"/>
      <c r="BD147" s="195"/>
      <c r="BE147" s="195"/>
      <c r="BF147" s="195"/>
      <c r="BG147" s="195"/>
      <c r="BH147" s="195"/>
    </row>
    <row r="148" spans="1:60" x14ac:dyDescent="0.55000000000000004">
      <c r="A148" s="195"/>
      <c r="B148" s="195"/>
      <c r="C148" s="195"/>
      <c r="D148" s="195"/>
      <c r="E148" s="195"/>
      <c r="G148" s="195"/>
      <c r="H148" s="195"/>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195"/>
      <c r="AG148" s="195"/>
      <c r="AH148" s="195"/>
      <c r="AI148" s="195"/>
      <c r="AJ148" s="195"/>
      <c r="AK148" s="195"/>
      <c r="AL148" s="195"/>
      <c r="AM148" s="195"/>
      <c r="AN148" s="195"/>
      <c r="AO148" s="195"/>
      <c r="AP148" s="195"/>
      <c r="AQ148" s="195"/>
      <c r="AR148" s="195"/>
      <c r="AS148" s="195"/>
      <c r="AT148" s="195"/>
      <c r="AU148" s="195"/>
      <c r="AV148" s="195"/>
      <c r="AW148" s="195"/>
      <c r="AX148" s="195"/>
      <c r="AY148" s="195"/>
      <c r="AZ148" s="195"/>
      <c r="BA148" s="195"/>
      <c r="BB148" s="195"/>
      <c r="BC148" s="195"/>
      <c r="BD148" s="195"/>
      <c r="BE148" s="195"/>
      <c r="BF148" s="195"/>
      <c r="BG148" s="195"/>
      <c r="BH148" s="195"/>
    </row>
    <row r="149" spans="1:60" x14ac:dyDescent="0.55000000000000004">
      <c r="A149" s="195"/>
      <c r="B149" s="195"/>
      <c r="C149" s="195"/>
      <c r="D149" s="195"/>
      <c r="E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95"/>
      <c r="BA149" s="195"/>
      <c r="BB149" s="195"/>
      <c r="BC149" s="195"/>
      <c r="BD149" s="195"/>
      <c r="BE149" s="195"/>
      <c r="BF149" s="195"/>
      <c r="BG149" s="195"/>
      <c r="BH149" s="195"/>
    </row>
    <row r="150" spans="1:60" x14ac:dyDescent="0.55000000000000004">
      <c r="A150" s="195"/>
      <c r="B150" s="195"/>
      <c r="C150" s="195"/>
      <c r="D150" s="195"/>
      <c r="E150" s="195"/>
      <c r="G150" s="195"/>
      <c r="H150" s="195"/>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195"/>
      <c r="AG150" s="195"/>
      <c r="AH150" s="195"/>
      <c r="AI150" s="195"/>
      <c r="AJ150" s="195"/>
      <c r="AK150" s="195"/>
      <c r="AL150" s="195"/>
      <c r="AM150" s="195"/>
      <c r="AN150" s="195"/>
      <c r="AO150" s="195"/>
      <c r="AP150" s="195"/>
      <c r="AQ150" s="195"/>
      <c r="AR150" s="195"/>
      <c r="AS150" s="195"/>
      <c r="AT150" s="195"/>
      <c r="AU150" s="195"/>
      <c r="AV150" s="195"/>
      <c r="AW150" s="195"/>
      <c r="AX150" s="195"/>
      <c r="AY150" s="195"/>
      <c r="AZ150" s="195"/>
      <c r="BA150" s="195"/>
      <c r="BB150" s="195"/>
      <c r="BC150" s="195"/>
      <c r="BD150" s="195"/>
      <c r="BE150" s="195"/>
      <c r="BF150" s="195"/>
      <c r="BG150" s="195"/>
      <c r="BH150" s="195"/>
    </row>
    <row r="151" spans="1:60" x14ac:dyDescent="0.55000000000000004">
      <c r="A151" s="195"/>
      <c r="B151" s="195"/>
      <c r="C151" s="195"/>
      <c r="D151" s="195"/>
      <c r="E151" s="195"/>
      <c r="G151" s="195"/>
      <c r="H151" s="195"/>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195"/>
      <c r="AG151" s="195"/>
      <c r="AH151" s="195"/>
      <c r="AI151" s="195"/>
      <c r="AJ151" s="195"/>
      <c r="AK151" s="195"/>
      <c r="AL151" s="195"/>
      <c r="AM151" s="195"/>
      <c r="AN151" s="195"/>
      <c r="AO151" s="195"/>
      <c r="AP151" s="195"/>
      <c r="AQ151" s="195"/>
      <c r="AR151" s="195"/>
      <c r="AS151" s="195"/>
      <c r="AT151" s="195"/>
      <c r="AU151" s="195"/>
      <c r="AV151" s="195"/>
      <c r="AW151" s="195"/>
      <c r="AX151" s="195"/>
      <c r="AY151" s="195"/>
      <c r="AZ151" s="195"/>
      <c r="BA151" s="195"/>
      <c r="BB151" s="195"/>
      <c r="BC151" s="195"/>
      <c r="BD151" s="195"/>
      <c r="BE151" s="195"/>
      <c r="BF151" s="195"/>
      <c r="BG151" s="195"/>
      <c r="BH151" s="195"/>
    </row>
    <row r="152" spans="1:60" x14ac:dyDescent="0.55000000000000004">
      <c r="A152" s="195"/>
      <c r="B152" s="195"/>
      <c r="C152" s="195"/>
      <c r="D152" s="195"/>
      <c r="E152" s="195"/>
      <c r="G152" s="195"/>
      <c r="H152" s="195"/>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195"/>
      <c r="AG152" s="195"/>
      <c r="AH152" s="195"/>
      <c r="AI152" s="195"/>
      <c r="AJ152" s="195"/>
      <c r="AK152" s="195"/>
      <c r="AL152" s="195"/>
      <c r="AM152" s="195"/>
      <c r="AN152" s="195"/>
      <c r="AO152" s="195"/>
      <c r="AP152" s="195"/>
      <c r="AQ152" s="195"/>
      <c r="AR152" s="195"/>
      <c r="AS152" s="195"/>
      <c r="AT152" s="195"/>
      <c r="AU152" s="195"/>
      <c r="AV152" s="195"/>
      <c r="AW152" s="195"/>
      <c r="AX152" s="195"/>
      <c r="AY152" s="195"/>
      <c r="AZ152" s="195"/>
      <c r="BA152" s="195"/>
      <c r="BB152" s="195"/>
      <c r="BC152" s="195"/>
      <c r="BD152" s="195"/>
      <c r="BE152" s="195"/>
      <c r="BF152" s="195"/>
      <c r="BG152" s="195"/>
      <c r="BH152" s="195"/>
    </row>
    <row r="153" spans="1:60" x14ac:dyDescent="0.55000000000000004">
      <c r="A153" s="195"/>
      <c r="B153" s="195"/>
      <c r="C153" s="195"/>
      <c r="D153" s="195"/>
      <c r="E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195"/>
      <c r="AG153" s="195"/>
      <c r="AH153" s="195"/>
      <c r="AI153" s="195"/>
      <c r="AJ153" s="195"/>
      <c r="AK153" s="195"/>
      <c r="AL153" s="195"/>
      <c r="AM153" s="195"/>
      <c r="AN153" s="195"/>
      <c r="AO153" s="195"/>
      <c r="AP153" s="195"/>
      <c r="AQ153" s="195"/>
      <c r="AR153" s="195"/>
      <c r="AS153" s="195"/>
      <c r="AT153" s="195"/>
      <c r="AU153" s="195"/>
      <c r="AV153" s="195"/>
      <c r="AW153" s="195"/>
      <c r="AX153" s="195"/>
      <c r="AY153" s="195"/>
      <c r="AZ153" s="195"/>
      <c r="BA153" s="195"/>
      <c r="BB153" s="195"/>
      <c r="BC153" s="195"/>
      <c r="BD153" s="195"/>
      <c r="BE153" s="195"/>
      <c r="BF153" s="195"/>
      <c r="BG153" s="195"/>
      <c r="BH153" s="195"/>
    </row>
    <row r="154" spans="1:60" x14ac:dyDescent="0.55000000000000004">
      <c r="A154" s="195"/>
      <c r="B154" s="195"/>
      <c r="C154" s="195"/>
      <c r="D154" s="195"/>
      <c r="E154" s="195"/>
      <c r="G154" s="195"/>
      <c r="H154" s="195"/>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195"/>
      <c r="AG154" s="195"/>
      <c r="AH154" s="195"/>
      <c r="AI154" s="195"/>
      <c r="AJ154" s="195"/>
      <c r="AK154" s="195"/>
      <c r="AL154" s="195"/>
      <c r="AM154" s="195"/>
      <c r="AN154" s="195"/>
      <c r="AO154" s="195"/>
      <c r="AP154" s="195"/>
      <c r="AQ154" s="195"/>
      <c r="AR154" s="195"/>
      <c r="AS154" s="195"/>
      <c r="AT154" s="195"/>
      <c r="AU154" s="195"/>
      <c r="AV154" s="195"/>
      <c r="AW154" s="195"/>
      <c r="AX154" s="195"/>
      <c r="AY154" s="195"/>
      <c r="AZ154" s="195"/>
      <c r="BA154" s="195"/>
      <c r="BB154" s="195"/>
      <c r="BC154" s="195"/>
      <c r="BD154" s="195"/>
      <c r="BE154" s="195"/>
      <c r="BF154" s="195"/>
      <c r="BG154" s="195"/>
      <c r="BH154" s="195"/>
    </row>
    <row r="155" spans="1:60" x14ac:dyDescent="0.55000000000000004">
      <c r="A155" s="195"/>
      <c r="B155" s="195"/>
      <c r="C155" s="195"/>
      <c r="D155" s="195"/>
      <c r="E155" s="195"/>
      <c r="G155" s="195"/>
      <c r="H155" s="195"/>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195"/>
      <c r="AG155" s="195"/>
      <c r="AH155" s="195"/>
      <c r="AI155" s="195"/>
      <c r="AJ155" s="195"/>
      <c r="AK155" s="195"/>
      <c r="AL155" s="195"/>
      <c r="AM155" s="195"/>
      <c r="AN155" s="195"/>
      <c r="AO155" s="195"/>
      <c r="AP155" s="195"/>
      <c r="AQ155" s="195"/>
      <c r="AR155" s="195"/>
      <c r="AS155" s="195"/>
      <c r="AT155" s="195"/>
      <c r="AU155" s="195"/>
      <c r="AV155" s="195"/>
      <c r="AW155" s="195"/>
      <c r="AX155" s="195"/>
      <c r="AY155" s="195"/>
      <c r="AZ155" s="195"/>
      <c r="BA155" s="195"/>
      <c r="BB155" s="195"/>
      <c r="BC155" s="195"/>
      <c r="BD155" s="195"/>
      <c r="BE155" s="195"/>
      <c r="BF155" s="195"/>
      <c r="BG155" s="195"/>
      <c r="BH155" s="195"/>
    </row>
    <row r="156" spans="1:60" x14ac:dyDescent="0.55000000000000004">
      <c r="A156" s="195"/>
      <c r="B156" s="195"/>
      <c r="C156" s="195"/>
      <c r="D156" s="195"/>
      <c r="E156" s="195"/>
      <c r="G156" s="195"/>
      <c r="H156" s="195"/>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195"/>
      <c r="AG156" s="195"/>
      <c r="AH156" s="195"/>
      <c r="AI156" s="195"/>
      <c r="AJ156" s="195"/>
      <c r="AK156" s="195"/>
      <c r="AL156" s="195"/>
      <c r="AM156" s="195"/>
      <c r="AN156" s="195"/>
      <c r="AO156" s="195"/>
      <c r="AP156" s="195"/>
      <c r="AQ156" s="195"/>
      <c r="AR156" s="195"/>
      <c r="AS156" s="195"/>
      <c r="AT156" s="195"/>
      <c r="AU156" s="195"/>
      <c r="AV156" s="195"/>
      <c r="AW156" s="195"/>
      <c r="AX156" s="195"/>
      <c r="AY156" s="195"/>
      <c r="AZ156" s="195"/>
      <c r="BA156" s="195"/>
      <c r="BB156" s="195"/>
      <c r="BC156" s="195"/>
      <c r="BD156" s="195"/>
      <c r="BE156" s="195"/>
      <c r="BF156" s="195"/>
      <c r="BG156" s="195"/>
      <c r="BH156" s="195"/>
    </row>
    <row r="157" spans="1:60" x14ac:dyDescent="0.55000000000000004">
      <c r="A157" s="195"/>
      <c r="B157" s="195"/>
      <c r="C157" s="195"/>
      <c r="D157" s="195"/>
      <c r="E157" s="195"/>
      <c r="G157" s="195"/>
      <c r="H157" s="195"/>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195"/>
      <c r="AG157" s="195"/>
      <c r="AH157" s="195"/>
      <c r="AI157" s="195"/>
      <c r="AJ157" s="195"/>
      <c r="AK157" s="195"/>
      <c r="AL157" s="195"/>
      <c r="AM157" s="195"/>
      <c r="AN157" s="195"/>
      <c r="AO157" s="195"/>
      <c r="AP157" s="195"/>
      <c r="AQ157" s="195"/>
      <c r="AR157" s="195"/>
      <c r="AS157" s="195"/>
      <c r="AT157" s="195"/>
      <c r="AU157" s="195"/>
      <c r="AV157" s="195"/>
      <c r="AW157" s="195"/>
      <c r="AX157" s="195"/>
      <c r="AY157" s="195"/>
      <c r="AZ157" s="195"/>
      <c r="BA157" s="195"/>
      <c r="BB157" s="195"/>
      <c r="BC157" s="195"/>
      <c r="BD157" s="195"/>
      <c r="BE157" s="195"/>
      <c r="BF157" s="195"/>
      <c r="BG157" s="195"/>
      <c r="BH157" s="195"/>
    </row>
    <row r="158" spans="1:60" x14ac:dyDescent="0.55000000000000004">
      <c r="A158" s="195"/>
      <c r="B158" s="195"/>
      <c r="C158" s="195"/>
      <c r="D158" s="195"/>
      <c r="E158" s="195"/>
      <c r="G158" s="195"/>
      <c r="H158" s="195"/>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195"/>
      <c r="AG158" s="195"/>
      <c r="AH158" s="195"/>
      <c r="AI158" s="195"/>
      <c r="AJ158" s="195"/>
      <c r="AK158" s="195"/>
      <c r="AL158" s="195"/>
      <c r="AM158" s="195"/>
      <c r="AN158" s="195"/>
      <c r="AO158" s="195"/>
      <c r="AP158" s="195"/>
      <c r="AQ158" s="195"/>
      <c r="AR158" s="195"/>
      <c r="AS158" s="195"/>
      <c r="AT158" s="195"/>
      <c r="AU158" s="195"/>
      <c r="AV158" s="195"/>
      <c r="AW158" s="195"/>
      <c r="AX158" s="195"/>
      <c r="AY158" s="195"/>
      <c r="AZ158" s="195"/>
      <c r="BA158" s="195"/>
      <c r="BB158" s="195"/>
      <c r="BC158" s="195"/>
      <c r="BD158" s="195"/>
      <c r="BE158" s="195"/>
      <c r="BF158" s="195"/>
      <c r="BG158" s="195"/>
      <c r="BH158" s="195"/>
    </row>
    <row r="159" spans="1:60" x14ac:dyDescent="0.55000000000000004">
      <c r="A159" s="195"/>
      <c r="B159" s="195"/>
      <c r="C159" s="195"/>
      <c r="D159" s="195"/>
      <c r="E159" s="195"/>
      <c r="G159" s="195"/>
      <c r="H159" s="195"/>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195"/>
      <c r="AG159" s="195"/>
      <c r="AH159" s="195"/>
      <c r="AI159" s="195"/>
      <c r="AJ159" s="195"/>
      <c r="AK159" s="195"/>
      <c r="AL159" s="195"/>
      <c r="AM159" s="195"/>
      <c r="AN159" s="195"/>
      <c r="AO159" s="195"/>
      <c r="AP159" s="195"/>
      <c r="AQ159" s="195"/>
      <c r="AR159" s="195"/>
      <c r="AS159" s="195"/>
      <c r="AT159" s="195"/>
      <c r="AU159" s="195"/>
      <c r="AV159" s="195"/>
      <c r="AW159" s="195"/>
      <c r="AX159" s="195"/>
      <c r="AY159" s="195"/>
      <c r="AZ159" s="195"/>
      <c r="BA159" s="195"/>
      <c r="BB159" s="195"/>
      <c r="BC159" s="195"/>
      <c r="BD159" s="195"/>
      <c r="BE159" s="195"/>
      <c r="BF159" s="195"/>
      <c r="BG159" s="195"/>
      <c r="BH159" s="195"/>
    </row>
    <row r="160" spans="1:60" x14ac:dyDescent="0.55000000000000004">
      <c r="A160" s="195"/>
      <c r="B160" s="195"/>
      <c r="C160" s="195"/>
      <c r="D160" s="195"/>
      <c r="E160" s="195"/>
      <c r="G160" s="195"/>
      <c r="H160" s="195"/>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195"/>
      <c r="AG160" s="195"/>
      <c r="AH160" s="195"/>
      <c r="AI160" s="195"/>
      <c r="AJ160" s="195"/>
      <c r="AK160" s="195"/>
      <c r="AL160" s="195"/>
      <c r="AM160" s="195"/>
      <c r="AN160" s="195"/>
      <c r="AO160" s="195"/>
      <c r="AP160" s="195"/>
      <c r="AQ160" s="195"/>
      <c r="AR160" s="195"/>
      <c r="AS160" s="195"/>
      <c r="AT160" s="195"/>
      <c r="AU160" s="195"/>
      <c r="AV160" s="195"/>
      <c r="AW160" s="195"/>
      <c r="AX160" s="195"/>
      <c r="AY160" s="195"/>
      <c r="AZ160" s="195"/>
      <c r="BA160" s="195"/>
      <c r="BB160" s="195"/>
      <c r="BC160" s="195"/>
      <c r="BD160" s="195"/>
      <c r="BE160" s="195"/>
      <c r="BF160" s="195"/>
      <c r="BG160" s="195"/>
      <c r="BH160" s="195"/>
    </row>
    <row r="161" spans="1:60" x14ac:dyDescent="0.55000000000000004">
      <c r="A161" s="195"/>
      <c r="B161" s="195"/>
      <c r="C161" s="195"/>
      <c r="D161" s="195"/>
      <c r="E161" s="195"/>
      <c r="G161" s="195"/>
      <c r="H161" s="195"/>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195"/>
      <c r="AG161" s="195"/>
      <c r="AH161" s="195"/>
      <c r="AI161" s="195"/>
      <c r="AJ161" s="195"/>
      <c r="AK161" s="195"/>
      <c r="AL161" s="195"/>
      <c r="AM161" s="195"/>
      <c r="AN161" s="195"/>
      <c r="AO161" s="195"/>
      <c r="AP161" s="195"/>
      <c r="AQ161" s="195"/>
      <c r="AR161" s="195"/>
      <c r="AS161" s="195"/>
      <c r="AT161" s="195"/>
      <c r="AU161" s="195"/>
      <c r="AV161" s="195"/>
      <c r="AW161" s="195"/>
      <c r="AX161" s="195"/>
      <c r="AY161" s="195"/>
      <c r="AZ161" s="195"/>
      <c r="BA161" s="195"/>
      <c r="BB161" s="195"/>
      <c r="BC161" s="195"/>
      <c r="BD161" s="195"/>
      <c r="BE161" s="195"/>
      <c r="BF161" s="195"/>
      <c r="BG161" s="195"/>
      <c r="BH161" s="195"/>
    </row>
    <row r="162" spans="1:60" x14ac:dyDescent="0.55000000000000004">
      <c r="A162" s="195"/>
      <c r="B162" s="195"/>
      <c r="C162" s="195"/>
      <c r="D162" s="195"/>
      <c r="E162" s="195"/>
      <c r="G162" s="195"/>
      <c r="H162" s="195"/>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195"/>
      <c r="AG162" s="195"/>
      <c r="AH162" s="195"/>
      <c r="AI162" s="195"/>
      <c r="AJ162" s="195"/>
      <c r="AK162" s="195"/>
      <c r="AL162" s="195"/>
      <c r="AM162" s="195"/>
      <c r="AN162" s="195"/>
      <c r="AO162" s="195"/>
      <c r="AP162" s="195"/>
      <c r="AQ162" s="195"/>
      <c r="AR162" s="195"/>
      <c r="AS162" s="195"/>
      <c r="AT162" s="195"/>
      <c r="AU162" s="195"/>
      <c r="AV162" s="195"/>
      <c r="AW162" s="195"/>
      <c r="AX162" s="195"/>
      <c r="AY162" s="195"/>
      <c r="AZ162" s="195"/>
      <c r="BA162" s="195"/>
      <c r="BB162" s="195"/>
      <c r="BC162" s="195"/>
      <c r="BD162" s="195"/>
      <c r="BE162" s="195"/>
      <c r="BF162" s="195"/>
      <c r="BG162" s="195"/>
      <c r="BH162" s="195"/>
    </row>
    <row r="163" spans="1:60" x14ac:dyDescent="0.55000000000000004">
      <c r="A163" s="195"/>
      <c r="B163" s="195"/>
      <c r="C163" s="195"/>
      <c r="D163" s="195"/>
      <c r="E163" s="195"/>
      <c r="G163" s="195"/>
      <c r="H163" s="195"/>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195"/>
      <c r="AG163" s="195"/>
      <c r="AH163" s="195"/>
      <c r="AI163" s="195"/>
      <c r="AJ163" s="195"/>
      <c r="AK163" s="195"/>
      <c r="AL163" s="195"/>
      <c r="AM163" s="195"/>
      <c r="AN163" s="195"/>
      <c r="AO163" s="195"/>
      <c r="AP163" s="195"/>
      <c r="AQ163" s="195"/>
      <c r="AR163" s="195"/>
      <c r="AS163" s="195"/>
      <c r="AT163" s="195"/>
      <c r="AU163" s="195"/>
      <c r="AV163" s="195"/>
      <c r="AW163" s="195"/>
      <c r="AX163" s="195"/>
      <c r="AY163" s="195"/>
      <c r="AZ163" s="195"/>
      <c r="BA163" s="195"/>
      <c r="BB163" s="195"/>
      <c r="BC163" s="195"/>
      <c r="BD163" s="195"/>
      <c r="BE163" s="195"/>
      <c r="BF163" s="195"/>
      <c r="BG163" s="195"/>
      <c r="BH163" s="195"/>
    </row>
    <row r="164" spans="1:60" x14ac:dyDescent="0.55000000000000004">
      <c r="A164" s="195"/>
      <c r="B164" s="195"/>
      <c r="C164" s="195"/>
      <c r="D164" s="195"/>
      <c r="E164" s="195"/>
      <c r="G164" s="195"/>
      <c r="H164" s="195"/>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c r="AT164" s="195"/>
      <c r="AU164" s="195"/>
      <c r="AV164" s="195"/>
      <c r="AW164" s="195"/>
      <c r="AX164" s="195"/>
      <c r="AY164" s="195"/>
      <c r="AZ164" s="195"/>
      <c r="BA164" s="195"/>
      <c r="BB164" s="195"/>
      <c r="BC164" s="195"/>
      <c r="BD164" s="195"/>
      <c r="BE164" s="195"/>
      <c r="BF164" s="195"/>
      <c r="BG164" s="195"/>
      <c r="BH164" s="195"/>
    </row>
    <row r="165" spans="1:60" x14ac:dyDescent="0.55000000000000004">
      <c r="A165" s="195"/>
      <c r="B165" s="195"/>
      <c r="C165" s="195"/>
      <c r="D165" s="195"/>
      <c r="E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c r="AT165" s="195"/>
      <c r="AU165" s="195"/>
      <c r="AV165" s="195"/>
      <c r="AW165" s="195"/>
      <c r="AX165" s="195"/>
      <c r="AY165" s="195"/>
      <c r="AZ165" s="195"/>
      <c r="BA165" s="195"/>
      <c r="BB165" s="195"/>
      <c r="BC165" s="195"/>
      <c r="BD165" s="195"/>
      <c r="BE165" s="195"/>
      <c r="BF165" s="195"/>
      <c r="BG165" s="195"/>
      <c r="BH165" s="195"/>
    </row>
    <row r="166" spans="1:60" x14ac:dyDescent="0.55000000000000004">
      <c r="A166" s="195"/>
      <c r="B166" s="195"/>
      <c r="C166" s="195"/>
      <c r="D166" s="195"/>
      <c r="E166" s="195"/>
      <c r="G166" s="195"/>
      <c r="H166" s="195"/>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c r="AT166" s="195"/>
      <c r="AU166" s="195"/>
      <c r="AV166" s="195"/>
      <c r="AW166" s="195"/>
      <c r="AX166" s="195"/>
      <c r="AY166" s="195"/>
      <c r="AZ166" s="195"/>
      <c r="BA166" s="195"/>
      <c r="BB166" s="195"/>
      <c r="BC166" s="195"/>
      <c r="BD166" s="195"/>
      <c r="BE166" s="195"/>
      <c r="BF166" s="195"/>
      <c r="BG166" s="195"/>
      <c r="BH166" s="195"/>
    </row>
    <row r="167" spans="1:60" x14ac:dyDescent="0.55000000000000004">
      <c r="A167" s="195"/>
      <c r="B167" s="195"/>
      <c r="C167" s="195"/>
      <c r="D167" s="195"/>
      <c r="E167" s="195"/>
      <c r="G167" s="195"/>
      <c r="H167" s="195"/>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195"/>
      <c r="AG167" s="195"/>
      <c r="AH167" s="195"/>
      <c r="AI167" s="195"/>
      <c r="AJ167" s="195"/>
      <c r="AK167" s="195"/>
      <c r="AL167" s="195"/>
      <c r="AM167" s="195"/>
      <c r="AN167" s="195"/>
      <c r="AO167" s="195"/>
      <c r="AP167" s="195"/>
      <c r="AQ167" s="195"/>
      <c r="AR167" s="195"/>
      <c r="AS167" s="195"/>
      <c r="AT167" s="195"/>
      <c r="AU167" s="195"/>
      <c r="AV167" s="195"/>
      <c r="AW167" s="195"/>
      <c r="AX167" s="195"/>
      <c r="AY167" s="195"/>
      <c r="AZ167" s="195"/>
      <c r="BA167" s="195"/>
      <c r="BB167" s="195"/>
      <c r="BC167" s="195"/>
      <c r="BD167" s="195"/>
      <c r="BE167" s="195"/>
      <c r="BF167" s="195"/>
      <c r="BG167" s="195"/>
      <c r="BH167" s="195"/>
    </row>
    <row r="168" spans="1:60" x14ac:dyDescent="0.55000000000000004">
      <c r="A168" s="195"/>
      <c r="B168" s="195"/>
      <c r="C168" s="195"/>
      <c r="D168" s="195"/>
      <c r="E168" s="195"/>
      <c r="G168" s="195"/>
      <c r="H168" s="195"/>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195"/>
      <c r="AG168" s="195"/>
      <c r="AH168" s="195"/>
      <c r="AI168" s="195"/>
      <c r="AJ168" s="195"/>
      <c r="AK168" s="195"/>
      <c r="AL168" s="195"/>
      <c r="AM168" s="195"/>
      <c r="AN168" s="195"/>
      <c r="AO168" s="195"/>
      <c r="AP168" s="195"/>
      <c r="AQ168" s="195"/>
      <c r="AR168" s="195"/>
      <c r="AS168" s="195"/>
      <c r="AT168" s="195"/>
      <c r="AU168" s="195"/>
      <c r="AV168" s="195"/>
      <c r="AW168" s="195"/>
      <c r="AX168" s="195"/>
      <c r="AY168" s="195"/>
      <c r="AZ168" s="195"/>
      <c r="BA168" s="195"/>
      <c r="BB168" s="195"/>
      <c r="BC168" s="195"/>
      <c r="BD168" s="195"/>
      <c r="BE168" s="195"/>
      <c r="BF168" s="195"/>
      <c r="BG168" s="195"/>
      <c r="BH168" s="195"/>
    </row>
    <row r="169" spans="1:60" x14ac:dyDescent="0.55000000000000004">
      <c r="A169" s="195"/>
      <c r="B169" s="195"/>
      <c r="C169" s="195"/>
      <c r="D169" s="195"/>
      <c r="E169" s="195"/>
      <c r="G169" s="195"/>
      <c r="H169" s="195"/>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195"/>
      <c r="AG169" s="195"/>
      <c r="AH169" s="195"/>
      <c r="AI169" s="195"/>
      <c r="AJ169" s="195"/>
      <c r="AK169" s="195"/>
      <c r="AL169" s="195"/>
      <c r="AM169" s="195"/>
      <c r="AN169" s="195"/>
      <c r="AO169" s="195"/>
      <c r="AP169" s="195"/>
      <c r="AQ169" s="195"/>
      <c r="AR169" s="195"/>
      <c r="AS169" s="195"/>
      <c r="AT169" s="195"/>
      <c r="AU169" s="195"/>
      <c r="AV169" s="195"/>
      <c r="AW169" s="195"/>
      <c r="AX169" s="195"/>
      <c r="AY169" s="195"/>
      <c r="AZ169" s="195"/>
      <c r="BA169" s="195"/>
      <c r="BB169" s="195"/>
      <c r="BC169" s="195"/>
      <c r="BD169" s="195"/>
      <c r="BE169" s="195"/>
      <c r="BF169" s="195"/>
      <c r="BG169" s="195"/>
      <c r="BH169" s="195"/>
    </row>
    <row r="170" spans="1:60" x14ac:dyDescent="0.55000000000000004">
      <c r="A170" s="195"/>
      <c r="B170" s="195"/>
      <c r="C170" s="195"/>
      <c r="D170" s="195"/>
      <c r="E170" s="195"/>
      <c r="G170" s="195"/>
      <c r="H170" s="195"/>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195"/>
      <c r="AG170" s="195"/>
      <c r="AH170" s="195"/>
      <c r="AI170" s="195"/>
      <c r="AJ170" s="195"/>
      <c r="AK170" s="195"/>
      <c r="AL170" s="195"/>
      <c r="AM170" s="195"/>
      <c r="AN170" s="195"/>
      <c r="AO170" s="195"/>
      <c r="AP170" s="195"/>
      <c r="AQ170" s="195"/>
      <c r="AR170" s="195"/>
      <c r="AS170" s="195"/>
      <c r="AT170" s="195"/>
      <c r="AU170" s="195"/>
      <c r="AV170" s="195"/>
      <c r="AW170" s="195"/>
      <c r="AX170" s="195"/>
      <c r="AY170" s="195"/>
      <c r="AZ170" s="195"/>
      <c r="BA170" s="195"/>
      <c r="BB170" s="195"/>
      <c r="BC170" s="195"/>
      <c r="BD170" s="195"/>
      <c r="BE170" s="195"/>
      <c r="BF170" s="195"/>
      <c r="BG170" s="195"/>
      <c r="BH170" s="195"/>
    </row>
    <row r="171" spans="1:60" x14ac:dyDescent="0.55000000000000004">
      <c r="A171" s="195"/>
      <c r="B171" s="195"/>
      <c r="C171" s="195"/>
      <c r="D171" s="195"/>
      <c r="E171" s="195"/>
      <c r="G171" s="195"/>
      <c r="H171" s="195"/>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195"/>
      <c r="AG171" s="195"/>
      <c r="AH171" s="195"/>
      <c r="AI171" s="195"/>
      <c r="AJ171" s="195"/>
      <c r="AK171" s="195"/>
      <c r="AL171" s="195"/>
      <c r="AM171" s="195"/>
      <c r="AN171" s="195"/>
      <c r="AO171" s="195"/>
      <c r="AP171" s="195"/>
      <c r="AQ171" s="195"/>
      <c r="AR171" s="195"/>
      <c r="AS171" s="195"/>
      <c r="AT171" s="195"/>
      <c r="AU171" s="195"/>
      <c r="AV171" s="195"/>
      <c r="AW171" s="195"/>
      <c r="AX171" s="195"/>
      <c r="AY171" s="195"/>
      <c r="AZ171" s="195"/>
      <c r="BA171" s="195"/>
      <c r="BB171" s="195"/>
      <c r="BC171" s="195"/>
      <c r="BD171" s="195"/>
      <c r="BE171" s="195"/>
      <c r="BF171" s="195"/>
      <c r="BG171" s="195"/>
      <c r="BH171" s="195"/>
    </row>
    <row r="172" spans="1:60" x14ac:dyDescent="0.55000000000000004">
      <c r="A172" s="195"/>
      <c r="B172" s="195"/>
      <c r="C172" s="195"/>
      <c r="D172" s="195"/>
      <c r="E172" s="195"/>
      <c r="G172" s="195"/>
      <c r="H172" s="195"/>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c r="AT172" s="195"/>
      <c r="AU172" s="195"/>
      <c r="AV172" s="195"/>
      <c r="AW172" s="195"/>
      <c r="AX172" s="195"/>
      <c r="AY172" s="195"/>
      <c r="AZ172" s="195"/>
      <c r="BA172" s="195"/>
      <c r="BB172" s="195"/>
      <c r="BC172" s="195"/>
      <c r="BD172" s="195"/>
      <c r="BE172" s="195"/>
      <c r="BF172" s="195"/>
      <c r="BG172" s="195"/>
      <c r="BH172" s="195"/>
    </row>
    <row r="173" spans="1:60" x14ac:dyDescent="0.55000000000000004">
      <c r="A173" s="195"/>
      <c r="B173" s="195"/>
      <c r="C173" s="195"/>
      <c r="D173" s="195"/>
      <c r="E173" s="195"/>
      <c r="G173" s="195"/>
      <c r="H173" s="195"/>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195"/>
      <c r="AG173" s="195"/>
      <c r="AH173" s="195"/>
      <c r="AI173" s="195"/>
      <c r="AJ173" s="195"/>
      <c r="AK173" s="195"/>
      <c r="AL173" s="195"/>
      <c r="AM173" s="195"/>
      <c r="AN173" s="195"/>
      <c r="AO173" s="195"/>
      <c r="AP173" s="195"/>
      <c r="AQ173" s="195"/>
      <c r="AR173" s="195"/>
      <c r="AS173" s="195"/>
      <c r="AT173" s="195"/>
      <c r="AU173" s="195"/>
      <c r="AV173" s="195"/>
      <c r="AW173" s="195"/>
      <c r="AX173" s="195"/>
      <c r="AY173" s="195"/>
      <c r="AZ173" s="195"/>
      <c r="BA173" s="195"/>
      <c r="BB173" s="195"/>
      <c r="BC173" s="195"/>
      <c r="BD173" s="195"/>
      <c r="BE173" s="195"/>
      <c r="BF173" s="195"/>
      <c r="BG173" s="195"/>
      <c r="BH173" s="195"/>
    </row>
    <row r="174" spans="1:60" x14ac:dyDescent="0.55000000000000004">
      <c r="A174" s="195"/>
      <c r="B174" s="195"/>
      <c r="C174" s="195"/>
      <c r="D174" s="195"/>
      <c r="E174" s="195"/>
      <c r="G174" s="195"/>
      <c r="H174" s="195"/>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c r="AT174" s="195"/>
      <c r="AU174" s="195"/>
      <c r="AV174" s="195"/>
      <c r="AW174" s="195"/>
      <c r="AX174" s="195"/>
      <c r="AY174" s="195"/>
      <c r="AZ174" s="195"/>
      <c r="BA174" s="195"/>
      <c r="BB174" s="195"/>
      <c r="BC174" s="195"/>
      <c r="BD174" s="195"/>
      <c r="BE174" s="195"/>
      <c r="BF174" s="195"/>
      <c r="BG174" s="195"/>
      <c r="BH174" s="195"/>
    </row>
    <row r="175" spans="1:60" x14ac:dyDescent="0.55000000000000004">
      <c r="A175" s="195"/>
      <c r="B175" s="195"/>
      <c r="C175" s="195"/>
      <c r="D175" s="195"/>
      <c r="E175" s="195"/>
      <c r="G175" s="195"/>
      <c r="H175" s="195"/>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195"/>
      <c r="AG175" s="195"/>
      <c r="AH175" s="195"/>
      <c r="AI175" s="195"/>
      <c r="AJ175" s="195"/>
      <c r="AK175" s="195"/>
      <c r="AL175" s="195"/>
      <c r="AM175" s="195"/>
      <c r="AN175" s="195"/>
      <c r="AO175" s="195"/>
      <c r="AP175" s="195"/>
      <c r="AQ175" s="195"/>
      <c r="AR175" s="195"/>
      <c r="AS175" s="195"/>
      <c r="AT175" s="195"/>
      <c r="AU175" s="195"/>
      <c r="AV175" s="195"/>
      <c r="AW175" s="195"/>
      <c r="AX175" s="195"/>
      <c r="AY175" s="195"/>
      <c r="AZ175" s="195"/>
      <c r="BA175" s="195"/>
      <c r="BB175" s="195"/>
      <c r="BC175" s="195"/>
      <c r="BD175" s="195"/>
      <c r="BE175" s="195"/>
      <c r="BF175" s="195"/>
      <c r="BG175" s="195"/>
      <c r="BH175" s="195"/>
    </row>
    <row r="176" spans="1:60" x14ac:dyDescent="0.55000000000000004">
      <c r="A176" s="195"/>
      <c r="B176" s="195"/>
      <c r="C176" s="195"/>
      <c r="D176" s="195"/>
      <c r="E176" s="195"/>
      <c r="G176" s="195"/>
      <c r="H176" s="195"/>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195"/>
      <c r="AG176" s="195"/>
      <c r="AH176" s="195"/>
      <c r="AI176" s="195"/>
      <c r="AJ176" s="195"/>
      <c r="AK176" s="195"/>
      <c r="AL176" s="195"/>
      <c r="AM176" s="195"/>
      <c r="AN176" s="195"/>
      <c r="AO176" s="195"/>
      <c r="AP176" s="195"/>
      <c r="AQ176" s="195"/>
      <c r="AR176" s="195"/>
      <c r="AS176" s="195"/>
      <c r="AT176" s="195"/>
      <c r="AU176" s="195"/>
      <c r="AV176" s="195"/>
      <c r="AW176" s="195"/>
      <c r="AX176" s="195"/>
      <c r="AY176" s="195"/>
      <c r="AZ176" s="195"/>
      <c r="BA176" s="195"/>
      <c r="BB176" s="195"/>
      <c r="BC176" s="195"/>
      <c r="BD176" s="195"/>
      <c r="BE176" s="195"/>
      <c r="BF176" s="195"/>
      <c r="BG176" s="195"/>
      <c r="BH176" s="195"/>
    </row>
    <row r="177" spans="1:60" x14ac:dyDescent="0.55000000000000004">
      <c r="A177" s="195"/>
      <c r="B177" s="195"/>
      <c r="C177" s="195"/>
      <c r="D177" s="195"/>
      <c r="E177" s="195"/>
      <c r="G177" s="195"/>
      <c r="H177" s="195"/>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195"/>
      <c r="AG177" s="195"/>
      <c r="AH177" s="195"/>
      <c r="AI177" s="195"/>
      <c r="AJ177" s="195"/>
      <c r="AK177" s="195"/>
      <c r="AL177" s="195"/>
      <c r="AM177" s="195"/>
      <c r="AN177" s="195"/>
      <c r="AO177" s="195"/>
      <c r="AP177" s="195"/>
      <c r="AQ177" s="195"/>
      <c r="AR177" s="195"/>
      <c r="AS177" s="195"/>
      <c r="AT177" s="195"/>
      <c r="AU177" s="195"/>
      <c r="AV177" s="195"/>
      <c r="AW177" s="195"/>
      <c r="AX177" s="195"/>
      <c r="AY177" s="195"/>
      <c r="AZ177" s="195"/>
      <c r="BA177" s="195"/>
      <c r="BB177" s="195"/>
      <c r="BC177" s="195"/>
      <c r="BD177" s="195"/>
      <c r="BE177" s="195"/>
      <c r="BF177" s="195"/>
      <c r="BG177" s="195"/>
      <c r="BH177" s="195"/>
    </row>
    <row r="178" spans="1:60" x14ac:dyDescent="0.55000000000000004">
      <c r="A178" s="195"/>
      <c r="B178" s="195"/>
      <c r="C178" s="195"/>
      <c r="D178" s="195"/>
      <c r="E178" s="195"/>
      <c r="G178" s="195"/>
      <c r="H178" s="195"/>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195"/>
      <c r="AG178" s="195"/>
      <c r="AH178" s="195"/>
      <c r="AI178" s="195"/>
      <c r="AJ178" s="195"/>
      <c r="AK178" s="195"/>
      <c r="AL178" s="195"/>
      <c r="AM178" s="195"/>
      <c r="AN178" s="195"/>
      <c r="AO178" s="195"/>
      <c r="AP178" s="195"/>
      <c r="AQ178" s="195"/>
      <c r="AR178" s="195"/>
      <c r="AS178" s="195"/>
      <c r="AT178" s="195"/>
      <c r="AU178" s="195"/>
      <c r="AV178" s="195"/>
      <c r="AW178" s="195"/>
      <c r="AX178" s="195"/>
      <c r="AY178" s="195"/>
      <c r="AZ178" s="195"/>
      <c r="BA178" s="195"/>
      <c r="BB178" s="195"/>
      <c r="BC178" s="195"/>
      <c r="BD178" s="195"/>
      <c r="BE178" s="195"/>
      <c r="BF178" s="195"/>
      <c r="BG178" s="195"/>
      <c r="BH178" s="195"/>
    </row>
    <row r="179" spans="1:60" x14ac:dyDescent="0.55000000000000004">
      <c r="A179" s="195"/>
      <c r="B179" s="195"/>
      <c r="C179" s="195"/>
      <c r="D179" s="195"/>
      <c r="E179" s="195"/>
      <c r="G179" s="195"/>
      <c r="H179" s="195"/>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195"/>
      <c r="AG179" s="195"/>
      <c r="AH179" s="195"/>
      <c r="AI179" s="195"/>
      <c r="AJ179" s="195"/>
      <c r="AK179" s="195"/>
      <c r="AL179" s="195"/>
      <c r="AM179" s="195"/>
      <c r="AN179" s="195"/>
      <c r="AO179" s="195"/>
      <c r="AP179" s="195"/>
      <c r="AQ179" s="195"/>
      <c r="AR179" s="195"/>
      <c r="AS179" s="195"/>
      <c r="AT179" s="195"/>
      <c r="AU179" s="195"/>
      <c r="AV179" s="195"/>
      <c r="AW179" s="195"/>
      <c r="AX179" s="195"/>
      <c r="AY179" s="195"/>
      <c r="AZ179" s="195"/>
      <c r="BA179" s="195"/>
      <c r="BB179" s="195"/>
      <c r="BC179" s="195"/>
      <c r="BD179" s="195"/>
      <c r="BE179" s="195"/>
      <c r="BF179" s="195"/>
      <c r="BG179" s="195"/>
      <c r="BH179" s="195"/>
    </row>
    <row r="180" spans="1:60" x14ac:dyDescent="0.55000000000000004">
      <c r="A180" s="195"/>
      <c r="B180" s="195"/>
      <c r="C180" s="195"/>
      <c r="D180" s="195"/>
      <c r="E180" s="195"/>
      <c r="G180" s="195"/>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195"/>
      <c r="AG180" s="195"/>
      <c r="AH180" s="195"/>
      <c r="AI180" s="195"/>
      <c r="AJ180" s="195"/>
      <c r="AK180" s="195"/>
      <c r="AL180" s="195"/>
      <c r="AM180" s="195"/>
      <c r="AN180" s="195"/>
      <c r="AO180" s="195"/>
      <c r="AP180" s="195"/>
      <c r="AQ180" s="195"/>
      <c r="AR180" s="195"/>
      <c r="AS180" s="195"/>
      <c r="AT180" s="195"/>
      <c r="AU180" s="195"/>
      <c r="AV180" s="195"/>
      <c r="AW180" s="195"/>
      <c r="AX180" s="195"/>
      <c r="AY180" s="195"/>
      <c r="AZ180" s="195"/>
      <c r="BA180" s="195"/>
      <c r="BB180" s="195"/>
      <c r="BC180" s="195"/>
      <c r="BD180" s="195"/>
      <c r="BE180" s="195"/>
      <c r="BF180" s="195"/>
      <c r="BG180" s="195"/>
      <c r="BH180" s="195"/>
    </row>
    <row r="181" spans="1:60" x14ac:dyDescent="0.55000000000000004">
      <c r="A181" s="195"/>
      <c r="B181" s="195"/>
      <c r="C181" s="195"/>
      <c r="D181" s="195"/>
      <c r="E181" s="195"/>
      <c r="G181" s="195"/>
      <c r="H181" s="195"/>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c r="AT181" s="195"/>
      <c r="AU181" s="195"/>
      <c r="AV181" s="195"/>
      <c r="AW181" s="195"/>
      <c r="AX181" s="195"/>
      <c r="AY181" s="195"/>
      <c r="AZ181" s="195"/>
      <c r="BA181" s="195"/>
      <c r="BB181" s="195"/>
      <c r="BC181" s="195"/>
      <c r="BD181" s="195"/>
      <c r="BE181" s="195"/>
      <c r="BF181" s="195"/>
      <c r="BG181" s="195"/>
      <c r="BH181" s="195"/>
    </row>
    <row r="182" spans="1:60" x14ac:dyDescent="0.55000000000000004">
      <c r="A182" s="195"/>
      <c r="B182" s="195"/>
      <c r="C182" s="195"/>
      <c r="D182" s="195"/>
      <c r="E182" s="195"/>
      <c r="G182" s="195"/>
      <c r="H182" s="195"/>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c r="AT182" s="195"/>
      <c r="AU182" s="195"/>
      <c r="AV182" s="195"/>
      <c r="AW182" s="195"/>
      <c r="AX182" s="195"/>
      <c r="AY182" s="195"/>
      <c r="AZ182" s="195"/>
      <c r="BA182" s="195"/>
      <c r="BB182" s="195"/>
      <c r="BC182" s="195"/>
      <c r="BD182" s="195"/>
      <c r="BE182" s="195"/>
      <c r="BF182" s="195"/>
      <c r="BG182" s="195"/>
      <c r="BH182" s="195"/>
    </row>
    <row r="183" spans="1:60" x14ac:dyDescent="0.55000000000000004">
      <c r="A183" s="195"/>
      <c r="B183" s="195"/>
      <c r="C183" s="195"/>
      <c r="D183" s="195"/>
      <c r="E183" s="195"/>
      <c r="G183" s="195"/>
      <c r="H183" s="195"/>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c r="AT183" s="195"/>
      <c r="AU183" s="195"/>
      <c r="AV183" s="195"/>
      <c r="AW183" s="195"/>
      <c r="AX183" s="195"/>
      <c r="AY183" s="195"/>
      <c r="AZ183" s="195"/>
      <c r="BA183" s="195"/>
      <c r="BB183" s="195"/>
      <c r="BC183" s="195"/>
      <c r="BD183" s="195"/>
      <c r="BE183" s="195"/>
      <c r="BF183" s="195"/>
      <c r="BG183" s="195"/>
      <c r="BH183" s="195"/>
    </row>
    <row r="184" spans="1:60" x14ac:dyDescent="0.55000000000000004">
      <c r="A184" s="195"/>
      <c r="B184" s="195"/>
      <c r="C184" s="195"/>
      <c r="D184" s="195"/>
      <c r="E184" s="195"/>
      <c r="G184" s="195"/>
      <c r="H184" s="195"/>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c r="AT184" s="195"/>
      <c r="AU184" s="195"/>
      <c r="AV184" s="195"/>
      <c r="AW184" s="195"/>
      <c r="AX184" s="195"/>
      <c r="AY184" s="195"/>
      <c r="AZ184" s="195"/>
      <c r="BA184" s="195"/>
      <c r="BB184" s="195"/>
      <c r="BC184" s="195"/>
      <c r="BD184" s="195"/>
      <c r="BE184" s="195"/>
      <c r="BF184" s="195"/>
      <c r="BG184" s="195"/>
      <c r="BH184" s="195"/>
    </row>
    <row r="185" spans="1:60" x14ac:dyDescent="0.55000000000000004">
      <c r="A185" s="195"/>
      <c r="B185" s="195"/>
      <c r="C185" s="195"/>
      <c r="D185" s="195"/>
      <c r="E185" s="195"/>
      <c r="G185" s="195"/>
      <c r="H185" s="195"/>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c r="AT185" s="195"/>
      <c r="AU185" s="195"/>
      <c r="AV185" s="195"/>
      <c r="AW185" s="195"/>
      <c r="AX185" s="195"/>
      <c r="AY185" s="195"/>
      <c r="AZ185" s="195"/>
      <c r="BA185" s="195"/>
      <c r="BB185" s="195"/>
      <c r="BC185" s="195"/>
      <c r="BD185" s="195"/>
      <c r="BE185" s="195"/>
      <c r="BF185" s="195"/>
      <c r="BG185" s="195"/>
      <c r="BH185" s="195"/>
    </row>
    <row r="186" spans="1:60" x14ac:dyDescent="0.55000000000000004">
      <c r="A186" s="195"/>
      <c r="B186" s="195"/>
      <c r="C186" s="195"/>
      <c r="D186" s="195"/>
      <c r="E186" s="195"/>
      <c r="G186" s="195"/>
      <c r="H186" s="195"/>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c r="AT186" s="195"/>
      <c r="AU186" s="195"/>
      <c r="AV186" s="195"/>
      <c r="AW186" s="195"/>
      <c r="AX186" s="195"/>
      <c r="AY186" s="195"/>
      <c r="AZ186" s="195"/>
      <c r="BA186" s="195"/>
      <c r="BB186" s="195"/>
      <c r="BC186" s="195"/>
      <c r="BD186" s="195"/>
      <c r="BE186" s="195"/>
      <c r="BF186" s="195"/>
      <c r="BG186" s="195"/>
      <c r="BH186" s="195"/>
    </row>
    <row r="187" spans="1:60" x14ac:dyDescent="0.55000000000000004">
      <c r="A187" s="195"/>
      <c r="B187" s="195"/>
      <c r="C187" s="195"/>
      <c r="D187" s="195"/>
      <c r="E187" s="195"/>
      <c r="G187" s="195"/>
      <c r="H187" s="195"/>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c r="AT187" s="195"/>
      <c r="AU187" s="195"/>
      <c r="AV187" s="195"/>
      <c r="AW187" s="195"/>
      <c r="AX187" s="195"/>
      <c r="AY187" s="195"/>
      <c r="AZ187" s="195"/>
      <c r="BA187" s="195"/>
      <c r="BB187" s="195"/>
      <c r="BC187" s="195"/>
      <c r="BD187" s="195"/>
      <c r="BE187" s="195"/>
      <c r="BF187" s="195"/>
      <c r="BG187" s="195"/>
      <c r="BH187" s="195"/>
    </row>
    <row r="188" spans="1:60" x14ac:dyDescent="0.55000000000000004">
      <c r="A188" s="195"/>
      <c r="B188" s="195"/>
      <c r="C188" s="195"/>
      <c r="D188" s="195"/>
      <c r="E188" s="195"/>
      <c r="G188" s="195"/>
      <c r="H188" s="195"/>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c r="AT188" s="195"/>
      <c r="AU188" s="195"/>
      <c r="AV188" s="195"/>
      <c r="AW188" s="195"/>
      <c r="AX188" s="195"/>
      <c r="AY188" s="195"/>
      <c r="AZ188" s="195"/>
      <c r="BA188" s="195"/>
      <c r="BB188" s="195"/>
      <c r="BC188" s="195"/>
      <c r="BD188" s="195"/>
      <c r="BE188" s="195"/>
      <c r="BF188" s="195"/>
      <c r="BG188" s="195"/>
      <c r="BH188" s="195"/>
    </row>
    <row r="189" spans="1:60" x14ac:dyDescent="0.55000000000000004">
      <c r="A189" s="195"/>
      <c r="B189" s="195"/>
      <c r="C189" s="195"/>
      <c r="D189" s="195"/>
      <c r="E189" s="195"/>
      <c r="G189" s="195"/>
      <c r="H189" s="195"/>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c r="AT189" s="195"/>
      <c r="AU189" s="195"/>
      <c r="AV189" s="195"/>
      <c r="AW189" s="195"/>
      <c r="AX189" s="195"/>
      <c r="AY189" s="195"/>
      <c r="AZ189" s="195"/>
      <c r="BA189" s="195"/>
      <c r="BB189" s="195"/>
      <c r="BC189" s="195"/>
      <c r="BD189" s="195"/>
      <c r="BE189" s="195"/>
      <c r="BF189" s="195"/>
      <c r="BG189" s="195"/>
      <c r="BH189" s="195"/>
    </row>
    <row r="190" spans="1:60" x14ac:dyDescent="0.55000000000000004">
      <c r="A190" s="195"/>
      <c r="B190" s="195"/>
      <c r="C190" s="195"/>
      <c r="D190" s="195"/>
      <c r="E190" s="195"/>
      <c r="G190" s="195"/>
      <c r="H190" s="195"/>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c r="AT190" s="195"/>
      <c r="AU190" s="195"/>
      <c r="AV190" s="195"/>
      <c r="AW190" s="195"/>
      <c r="AX190" s="195"/>
      <c r="AY190" s="195"/>
      <c r="AZ190" s="195"/>
      <c r="BA190" s="195"/>
      <c r="BB190" s="195"/>
      <c r="BC190" s="195"/>
      <c r="BD190" s="195"/>
      <c r="BE190" s="195"/>
      <c r="BF190" s="195"/>
      <c r="BG190" s="195"/>
      <c r="BH190" s="195"/>
    </row>
    <row r="191" spans="1:60" x14ac:dyDescent="0.55000000000000004">
      <c r="A191" s="195"/>
      <c r="B191" s="195"/>
      <c r="C191" s="195"/>
      <c r="D191" s="195"/>
      <c r="E191" s="195"/>
      <c r="G191" s="195"/>
      <c r="H191" s="195"/>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c r="AT191" s="195"/>
      <c r="AU191" s="195"/>
      <c r="AV191" s="195"/>
      <c r="AW191" s="195"/>
      <c r="AX191" s="195"/>
      <c r="AY191" s="195"/>
      <c r="AZ191" s="195"/>
      <c r="BA191" s="195"/>
      <c r="BB191" s="195"/>
      <c r="BC191" s="195"/>
      <c r="BD191" s="195"/>
      <c r="BE191" s="195"/>
      <c r="BF191" s="195"/>
      <c r="BG191" s="195"/>
      <c r="BH191" s="195"/>
    </row>
    <row r="192" spans="1:60" x14ac:dyDescent="0.55000000000000004">
      <c r="A192" s="195"/>
      <c r="B192" s="195"/>
      <c r="C192" s="195"/>
      <c r="D192" s="195"/>
      <c r="E192" s="195"/>
      <c r="G192" s="195"/>
      <c r="H192" s="195"/>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c r="AT192" s="195"/>
      <c r="AU192" s="195"/>
      <c r="AV192" s="195"/>
      <c r="AW192" s="195"/>
      <c r="AX192" s="195"/>
      <c r="AY192" s="195"/>
      <c r="AZ192" s="195"/>
      <c r="BA192" s="195"/>
      <c r="BB192" s="195"/>
      <c r="BC192" s="195"/>
      <c r="BD192" s="195"/>
      <c r="BE192" s="195"/>
      <c r="BF192" s="195"/>
      <c r="BG192" s="195"/>
      <c r="BH192" s="195"/>
    </row>
    <row r="193" spans="1:60" x14ac:dyDescent="0.55000000000000004">
      <c r="A193" s="195"/>
      <c r="B193" s="195"/>
      <c r="C193" s="195"/>
      <c r="D193" s="195"/>
      <c r="E193" s="195"/>
      <c r="G193" s="195"/>
      <c r="H193" s="195"/>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c r="AT193" s="195"/>
      <c r="AU193" s="195"/>
      <c r="AV193" s="195"/>
      <c r="AW193" s="195"/>
      <c r="AX193" s="195"/>
      <c r="AY193" s="195"/>
      <c r="AZ193" s="195"/>
      <c r="BA193" s="195"/>
      <c r="BB193" s="195"/>
      <c r="BC193" s="195"/>
      <c r="BD193" s="195"/>
      <c r="BE193" s="195"/>
      <c r="BF193" s="195"/>
      <c r="BG193" s="195"/>
      <c r="BH193" s="195"/>
    </row>
    <row r="194" spans="1:60" x14ac:dyDescent="0.55000000000000004">
      <c r="A194" s="195"/>
      <c r="B194" s="195"/>
      <c r="C194" s="195"/>
      <c r="D194" s="195"/>
      <c r="E194" s="195"/>
      <c r="G194" s="195"/>
      <c r="H194" s="195"/>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c r="AT194" s="195"/>
      <c r="AU194" s="195"/>
      <c r="AV194" s="195"/>
      <c r="AW194" s="195"/>
      <c r="AX194" s="195"/>
      <c r="AY194" s="195"/>
      <c r="AZ194" s="195"/>
      <c r="BA194" s="195"/>
      <c r="BB194" s="195"/>
      <c r="BC194" s="195"/>
      <c r="BD194" s="195"/>
      <c r="BE194" s="195"/>
      <c r="BF194" s="195"/>
      <c r="BG194" s="195"/>
      <c r="BH194" s="195"/>
    </row>
    <row r="195" spans="1:60" x14ac:dyDescent="0.55000000000000004">
      <c r="A195" s="195"/>
      <c r="B195" s="195"/>
      <c r="C195" s="195"/>
      <c r="D195" s="195"/>
      <c r="E195" s="195"/>
      <c r="G195" s="195"/>
      <c r="H195" s="195"/>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c r="AT195" s="195"/>
      <c r="AU195" s="195"/>
      <c r="AV195" s="195"/>
      <c r="AW195" s="195"/>
      <c r="AX195" s="195"/>
      <c r="AY195" s="195"/>
      <c r="AZ195" s="195"/>
      <c r="BA195" s="195"/>
      <c r="BB195" s="195"/>
      <c r="BC195" s="195"/>
      <c r="BD195" s="195"/>
      <c r="BE195" s="195"/>
      <c r="BF195" s="195"/>
      <c r="BG195" s="195"/>
      <c r="BH195" s="195"/>
    </row>
    <row r="196" spans="1:60" x14ac:dyDescent="0.55000000000000004">
      <c r="A196" s="195"/>
      <c r="B196" s="195"/>
      <c r="C196" s="195"/>
      <c r="D196" s="195"/>
      <c r="E196" s="195"/>
      <c r="G196" s="195"/>
      <c r="H196" s="195"/>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195"/>
      <c r="AG196" s="195"/>
      <c r="AH196" s="195"/>
      <c r="AI196" s="195"/>
      <c r="AJ196" s="195"/>
      <c r="AK196" s="195"/>
      <c r="AL196" s="195"/>
      <c r="AM196" s="195"/>
      <c r="AN196" s="195"/>
      <c r="AO196" s="195"/>
      <c r="AP196" s="195"/>
      <c r="AQ196" s="195"/>
      <c r="AR196" s="195"/>
      <c r="AS196" s="195"/>
      <c r="AT196" s="195"/>
      <c r="AU196" s="195"/>
      <c r="AV196" s="195"/>
      <c r="AW196" s="195"/>
      <c r="AX196" s="195"/>
      <c r="AY196" s="195"/>
      <c r="AZ196" s="195"/>
      <c r="BA196" s="195"/>
      <c r="BB196" s="195"/>
      <c r="BC196" s="195"/>
      <c r="BD196" s="195"/>
      <c r="BE196" s="195"/>
      <c r="BF196" s="195"/>
      <c r="BG196" s="195"/>
      <c r="BH196" s="195"/>
    </row>
    <row r="197" spans="1:60" x14ac:dyDescent="0.55000000000000004">
      <c r="A197" s="195"/>
      <c r="B197" s="195"/>
      <c r="C197" s="195"/>
      <c r="D197" s="195"/>
      <c r="E197" s="195"/>
      <c r="G197" s="195"/>
      <c r="H197" s="195"/>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195"/>
      <c r="AG197" s="195"/>
      <c r="AH197" s="195"/>
      <c r="AI197" s="195"/>
      <c r="AJ197" s="195"/>
      <c r="AK197" s="195"/>
      <c r="AL197" s="195"/>
      <c r="AM197" s="195"/>
      <c r="AN197" s="195"/>
      <c r="AO197" s="195"/>
      <c r="AP197" s="195"/>
      <c r="AQ197" s="195"/>
      <c r="AR197" s="195"/>
      <c r="AS197" s="195"/>
      <c r="AT197" s="195"/>
      <c r="AU197" s="195"/>
      <c r="AV197" s="195"/>
      <c r="AW197" s="195"/>
      <c r="AX197" s="195"/>
      <c r="AY197" s="195"/>
      <c r="AZ197" s="195"/>
      <c r="BA197" s="195"/>
      <c r="BB197" s="195"/>
      <c r="BC197" s="195"/>
      <c r="BD197" s="195"/>
      <c r="BE197" s="195"/>
      <c r="BF197" s="195"/>
      <c r="BG197" s="195"/>
      <c r="BH197" s="195"/>
    </row>
    <row r="198" spans="1:60" x14ac:dyDescent="0.55000000000000004">
      <c r="A198" s="195"/>
      <c r="B198" s="195"/>
      <c r="C198" s="195"/>
      <c r="D198" s="195"/>
      <c r="E198" s="195"/>
      <c r="G198" s="195"/>
      <c r="H198" s="195"/>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c r="AU198" s="195"/>
      <c r="AV198" s="195"/>
      <c r="AW198" s="195"/>
      <c r="AX198" s="195"/>
      <c r="AY198" s="195"/>
      <c r="AZ198" s="195"/>
      <c r="BA198" s="195"/>
      <c r="BB198" s="195"/>
      <c r="BC198" s="195"/>
      <c r="BD198" s="195"/>
      <c r="BE198" s="195"/>
      <c r="BF198" s="195"/>
      <c r="BG198" s="195"/>
      <c r="BH198" s="195"/>
    </row>
    <row r="199" spans="1:60" x14ac:dyDescent="0.55000000000000004">
      <c r="A199" s="195"/>
      <c r="B199" s="195"/>
      <c r="C199" s="195"/>
      <c r="D199" s="195"/>
      <c r="E199" s="195"/>
      <c r="G199" s="195"/>
      <c r="H199" s="195"/>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c r="AT199" s="195"/>
      <c r="AU199" s="195"/>
      <c r="AV199" s="195"/>
      <c r="AW199" s="195"/>
      <c r="AX199" s="195"/>
      <c r="AY199" s="195"/>
      <c r="AZ199" s="195"/>
      <c r="BA199" s="195"/>
      <c r="BB199" s="195"/>
      <c r="BC199" s="195"/>
      <c r="BD199" s="195"/>
      <c r="BE199" s="195"/>
      <c r="BF199" s="195"/>
      <c r="BG199" s="195"/>
      <c r="BH199" s="195"/>
    </row>
    <row r="200" spans="1:60" x14ac:dyDescent="0.55000000000000004">
      <c r="A200" s="195"/>
      <c r="B200" s="195"/>
      <c r="C200" s="195"/>
      <c r="D200" s="195"/>
      <c r="E200" s="195"/>
      <c r="G200" s="195"/>
      <c r="H200" s="195"/>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c r="AT200" s="195"/>
      <c r="AU200" s="195"/>
      <c r="AV200" s="195"/>
      <c r="AW200" s="195"/>
      <c r="AX200" s="195"/>
      <c r="AY200" s="195"/>
      <c r="AZ200" s="195"/>
      <c r="BA200" s="195"/>
      <c r="BB200" s="195"/>
      <c r="BC200" s="195"/>
      <c r="BD200" s="195"/>
      <c r="BE200" s="195"/>
      <c r="BF200" s="195"/>
      <c r="BG200" s="195"/>
      <c r="BH200" s="195"/>
    </row>
    <row r="201" spans="1:60" x14ac:dyDescent="0.55000000000000004">
      <c r="A201" s="195"/>
      <c r="B201" s="195"/>
      <c r="C201" s="195"/>
      <c r="D201" s="195"/>
      <c r="E201" s="195"/>
      <c r="G201" s="195"/>
      <c r="H201" s="195"/>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195"/>
      <c r="AG201" s="195"/>
      <c r="AH201" s="195"/>
      <c r="AI201" s="195"/>
      <c r="AJ201" s="195"/>
      <c r="AK201" s="195"/>
      <c r="AL201" s="195"/>
      <c r="AM201" s="195"/>
      <c r="AN201" s="195"/>
      <c r="AO201" s="195"/>
      <c r="AP201" s="195"/>
      <c r="AQ201" s="195"/>
      <c r="AR201" s="195"/>
      <c r="AS201" s="195"/>
      <c r="AT201" s="195"/>
      <c r="AU201" s="195"/>
      <c r="AV201" s="195"/>
      <c r="AW201" s="195"/>
      <c r="AX201" s="195"/>
      <c r="AY201" s="195"/>
      <c r="AZ201" s="195"/>
      <c r="BA201" s="195"/>
      <c r="BB201" s="195"/>
      <c r="BC201" s="195"/>
      <c r="BD201" s="195"/>
      <c r="BE201" s="195"/>
      <c r="BF201" s="195"/>
      <c r="BG201" s="195"/>
      <c r="BH201" s="195"/>
    </row>
    <row r="202" spans="1:60" x14ac:dyDescent="0.55000000000000004">
      <c r="A202" s="195"/>
      <c r="B202" s="195"/>
      <c r="C202" s="195"/>
      <c r="D202" s="195"/>
      <c r="E202" s="195"/>
      <c r="G202" s="195"/>
      <c r="H202" s="195"/>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c r="AI202" s="195"/>
      <c r="AJ202" s="195"/>
      <c r="AK202" s="195"/>
      <c r="AL202" s="195"/>
      <c r="AM202" s="195"/>
      <c r="AN202" s="195"/>
      <c r="AO202" s="195"/>
      <c r="AP202" s="195"/>
      <c r="AQ202" s="195"/>
      <c r="AR202" s="195"/>
      <c r="AS202" s="195"/>
      <c r="AT202" s="195"/>
      <c r="AU202" s="195"/>
      <c r="AV202" s="195"/>
      <c r="AW202" s="195"/>
      <c r="AX202" s="195"/>
      <c r="AY202" s="195"/>
      <c r="AZ202" s="195"/>
      <c r="BA202" s="195"/>
      <c r="BB202" s="195"/>
      <c r="BC202" s="195"/>
      <c r="BD202" s="195"/>
      <c r="BE202" s="195"/>
      <c r="BF202" s="195"/>
      <c r="BG202" s="195"/>
      <c r="BH202" s="195"/>
    </row>
    <row r="203" spans="1:60" x14ac:dyDescent="0.55000000000000004">
      <c r="A203" s="195"/>
      <c r="B203" s="195"/>
      <c r="C203" s="195"/>
      <c r="D203" s="195"/>
      <c r="E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c r="AI203" s="195"/>
      <c r="AJ203" s="195"/>
      <c r="AK203" s="195"/>
      <c r="AL203" s="195"/>
      <c r="AM203" s="195"/>
      <c r="AN203" s="195"/>
      <c r="AO203" s="195"/>
      <c r="AP203" s="195"/>
      <c r="AQ203" s="195"/>
      <c r="AR203" s="195"/>
      <c r="AS203" s="195"/>
      <c r="AT203" s="195"/>
      <c r="AU203" s="195"/>
      <c r="AV203" s="195"/>
      <c r="AW203" s="195"/>
      <c r="AX203" s="195"/>
      <c r="AY203" s="195"/>
      <c r="AZ203" s="195"/>
      <c r="BA203" s="195"/>
      <c r="BB203" s="195"/>
      <c r="BC203" s="195"/>
      <c r="BD203" s="195"/>
      <c r="BE203" s="195"/>
      <c r="BF203" s="195"/>
      <c r="BG203" s="195"/>
      <c r="BH203" s="195"/>
    </row>
    <row r="204" spans="1:60" x14ac:dyDescent="0.55000000000000004">
      <c r="A204" s="195"/>
      <c r="B204" s="195"/>
      <c r="C204" s="195"/>
      <c r="D204" s="195"/>
      <c r="E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195"/>
      <c r="AG204" s="195"/>
      <c r="AH204" s="195"/>
      <c r="AI204" s="195"/>
      <c r="AJ204" s="195"/>
      <c r="AK204" s="195"/>
      <c r="AL204" s="195"/>
      <c r="AM204" s="195"/>
      <c r="AN204" s="195"/>
      <c r="AO204" s="195"/>
      <c r="AP204" s="195"/>
      <c r="AQ204" s="195"/>
      <c r="AR204" s="195"/>
      <c r="AS204" s="195"/>
      <c r="AT204" s="195"/>
      <c r="AU204" s="195"/>
      <c r="AV204" s="195"/>
      <c r="AW204" s="195"/>
      <c r="AX204" s="195"/>
      <c r="AY204" s="195"/>
      <c r="AZ204" s="195"/>
      <c r="BA204" s="195"/>
      <c r="BB204" s="195"/>
      <c r="BC204" s="195"/>
      <c r="BD204" s="195"/>
      <c r="BE204" s="195"/>
      <c r="BF204" s="195"/>
      <c r="BG204" s="195"/>
      <c r="BH204" s="195"/>
    </row>
    <row r="205" spans="1:60" x14ac:dyDescent="0.55000000000000004">
      <c r="A205" s="195"/>
      <c r="B205" s="195"/>
      <c r="C205" s="195"/>
      <c r="D205" s="195"/>
      <c r="E205" s="195"/>
      <c r="G205" s="195"/>
      <c r="H205" s="195"/>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195"/>
      <c r="AG205" s="195"/>
      <c r="AH205" s="195"/>
      <c r="AI205" s="195"/>
      <c r="AJ205" s="195"/>
      <c r="AK205" s="195"/>
      <c r="AL205" s="195"/>
      <c r="AM205" s="195"/>
      <c r="AN205" s="195"/>
      <c r="AO205" s="195"/>
      <c r="AP205" s="195"/>
      <c r="AQ205" s="195"/>
      <c r="AR205" s="195"/>
      <c r="AS205" s="195"/>
      <c r="AT205" s="195"/>
      <c r="AU205" s="195"/>
      <c r="AV205" s="195"/>
      <c r="AW205" s="195"/>
      <c r="AX205" s="195"/>
      <c r="AY205" s="195"/>
      <c r="AZ205" s="195"/>
      <c r="BA205" s="195"/>
      <c r="BB205" s="195"/>
      <c r="BC205" s="195"/>
      <c r="BD205" s="195"/>
      <c r="BE205" s="195"/>
      <c r="BF205" s="195"/>
      <c r="BG205" s="195"/>
      <c r="BH205" s="195"/>
    </row>
    <row r="206" spans="1:60" x14ac:dyDescent="0.55000000000000004">
      <c r="A206" s="195"/>
      <c r="B206" s="195"/>
      <c r="C206" s="195"/>
      <c r="D206" s="195"/>
      <c r="E206" s="195"/>
      <c r="G206" s="195"/>
      <c r="H206" s="195"/>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195"/>
      <c r="AG206" s="195"/>
      <c r="AH206" s="195"/>
      <c r="AI206" s="195"/>
      <c r="AJ206" s="195"/>
      <c r="AK206" s="195"/>
      <c r="AL206" s="195"/>
      <c r="AM206" s="195"/>
      <c r="AN206" s="195"/>
      <c r="AO206" s="195"/>
      <c r="AP206" s="195"/>
      <c r="AQ206" s="195"/>
      <c r="AR206" s="195"/>
      <c r="AS206" s="195"/>
      <c r="AT206" s="195"/>
      <c r="AU206" s="195"/>
      <c r="AV206" s="195"/>
      <c r="AW206" s="195"/>
      <c r="AX206" s="195"/>
      <c r="AY206" s="195"/>
      <c r="AZ206" s="195"/>
      <c r="BA206" s="195"/>
      <c r="BB206" s="195"/>
      <c r="BC206" s="195"/>
      <c r="BD206" s="195"/>
      <c r="BE206" s="195"/>
      <c r="BF206" s="195"/>
      <c r="BG206" s="195"/>
      <c r="BH206" s="195"/>
    </row>
    <row r="207" spans="1:60" x14ac:dyDescent="0.55000000000000004">
      <c r="A207" s="195"/>
      <c r="B207" s="195"/>
      <c r="C207" s="195"/>
      <c r="D207" s="195"/>
      <c r="E207" s="195"/>
      <c r="G207" s="195"/>
      <c r="H207" s="195"/>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c r="AT207" s="195"/>
      <c r="AU207" s="195"/>
      <c r="AV207" s="195"/>
      <c r="AW207" s="195"/>
      <c r="AX207" s="195"/>
      <c r="AY207" s="195"/>
      <c r="AZ207" s="195"/>
      <c r="BA207" s="195"/>
      <c r="BB207" s="195"/>
      <c r="BC207" s="195"/>
      <c r="BD207" s="195"/>
      <c r="BE207" s="195"/>
      <c r="BF207" s="195"/>
      <c r="BG207" s="195"/>
      <c r="BH207" s="195"/>
    </row>
    <row r="208" spans="1:60" x14ac:dyDescent="0.55000000000000004">
      <c r="A208" s="195"/>
      <c r="B208" s="195"/>
      <c r="C208" s="195"/>
      <c r="D208" s="195"/>
      <c r="E208" s="195"/>
      <c r="G208" s="195"/>
      <c r="H208" s="195"/>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195"/>
      <c r="AG208" s="195"/>
      <c r="AH208" s="195"/>
      <c r="AI208" s="195"/>
      <c r="AJ208" s="195"/>
      <c r="AK208" s="195"/>
      <c r="AL208" s="195"/>
      <c r="AM208" s="195"/>
      <c r="AN208" s="195"/>
      <c r="AO208" s="195"/>
      <c r="AP208" s="195"/>
      <c r="AQ208" s="195"/>
      <c r="AR208" s="195"/>
      <c r="AS208" s="195"/>
      <c r="AT208" s="195"/>
      <c r="AU208" s="195"/>
      <c r="AV208" s="195"/>
      <c r="AW208" s="195"/>
      <c r="AX208" s="195"/>
      <c r="AY208" s="195"/>
      <c r="AZ208" s="195"/>
      <c r="BA208" s="195"/>
      <c r="BB208" s="195"/>
      <c r="BC208" s="195"/>
      <c r="BD208" s="195"/>
      <c r="BE208" s="195"/>
      <c r="BF208" s="195"/>
      <c r="BG208" s="195"/>
      <c r="BH208" s="195"/>
    </row>
    <row r="209" spans="1:60" x14ac:dyDescent="0.55000000000000004">
      <c r="A209" s="195"/>
      <c r="B209" s="195"/>
      <c r="C209" s="195"/>
      <c r="D209" s="195"/>
      <c r="E209" s="195"/>
      <c r="G209" s="195"/>
      <c r="H209" s="195"/>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195"/>
      <c r="AG209" s="195"/>
      <c r="AH209" s="195"/>
      <c r="AI209" s="195"/>
      <c r="AJ209" s="195"/>
      <c r="AK209" s="195"/>
      <c r="AL209" s="195"/>
      <c r="AM209" s="195"/>
      <c r="AN209" s="195"/>
      <c r="AO209" s="195"/>
      <c r="AP209" s="195"/>
      <c r="AQ209" s="195"/>
      <c r="AR209" s="195"/>
      <c r="AS209" s="195"/>
      <c r="AT209" s="195"/>
      <c r="AU209" s="195"/>
      <c r="AV209" s="195"/>
      <c r="AW209" s="195"/>
      <c r="AX209" s="195"/>
      <c r="AY209" s="195"/>
      <c r="AZ209" s="195"/>
      <c r="BA209" s="195"/>
      <c r="BB209" s="195"/>
      <c r="BC209" s="195"/>
      <c r="BD209" s="195"/>
      <c r="BE209" s="195"/>
      <c r="BF209" s="195"/>
      <c r="BG209" s="195"/>
      <c r="BH209" s="195"/>
    </row>
    <row r="210" spans="1:60" x14ac:dyDescent="0.55000000000000004">
      <c r="A210" s="195"/>
      <c r="B210" s="195"/>
      <c r="C210" s="195"/>
      <c r="D210" s="195"/>
      <c r="E210" s="195"/>
      <c r="G210" s="195"/>
      <c r="H210" s="195"/>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195"/>
      <c r="AG210" s="195"/>
      <c r="AH210" s="195"/>
      <c r="AI210" s="195"/>
      <c r="AJ210" s="195"/>
      <c r="AK210" s="195"/>
      <c r="AL210" s="195"/>
      <c r="AM210" s="195"/>
      <c r="AN210" s="195"/>
      <c r="AO210" s="195"/>
      <c r="AP210" s="195"/>
      <c r="AQ210" s="195"/>
      <c r="AR210" s="195"/>
      <c r="AS210" s="195"/>
      <c r="AT210" s="195"/>
      <c r="AU210" s="195"/>
      <c r="AV210" s="195"/>
      <c r="AW210" s="195"/>
      <c r="AX210" s="195"/>
      <c r="AY210" s="195"/>
      <c r="AZ210" s="195"/>
      <c r="BA210" s="195"/>
      <c r="BB210" s="195"/>
      <c r="BC210" s="195"/>
      <c r="BD210" s="195"/>
      <c r="BE210" s="195"/>
      <c r="BF210" s="195"/>
      <c r="BG210" s="195"/>
      <c r="BH210" s="195"/>
    </row>
    <row r="211" spans="1:60" x14ac:dyDescent="0.55000000000000004">
      <c r="A211" s="195"/>
      <c r="B211" s="195"/>
      <c r="C211" s="195"/>
      <c r="D211" s="195"/>
      <c r="E211" s="195"/>
      <c r="G211" s="195"/>
      <c r="H211" s="195"/>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195"/>
      <c r="AG211" s="195"/>
      <c r="AH211" s="195"/>
      <c r="AI211" s="195"/>
      <c r="AJ211" s="195"/>
      <c r="AK211" s="195"/>
      <c r="AL211" s="195"/>
      <c r="AM211" s="195"/>
      <c r="AN211" s="195"/>
      <c r="AO211" s="195"/>
      <c r="AP211" s="195"/>
      <c r="AQ211" s="195"/>
      <c r="AR211" s="195"/>
      <c r="AS211" s="195"/>
      <c r="AT211" s="195"/>
      <c r="AU211" s="195"/>
      <c r="AV211" s="195"/>
      <c r="AW211" s="195"/>
      <c r="AX211" s="195"/>
      <c r="AY211" s="195"/>
      <c r="AZ211" s="195"/>
      <c r="BA211" s="195"/>
      <c r="BB211" s="195"/>
      <c r="BC211" s="195"/>
      <c r="BD211" s="195"/>
      <c r="BE211" s="195"/>
      <c r="BF211" s="195"/>
      <c r="BG211" s="195"/>
      <c r="BH211" s="195"/>
    </row>
    <row r="212" spans="1:60" x14ac:dyDescent="0.55000000000000004">
      <c r="A212" s="195"/>
      <c r="B212" s="195"/>
      <c r="C212" s="195"/>
      <c r="D212" s="195"/>
      <c r="E212" s="195"/>
      <c r="G212" s="195"/>
      <c r="H212" s="195"/>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195"/>
      <c r="AG212" s="195"/>
      <c r="AH212" s="195"/>
      <c r="AI212" s="195"/>
      <c r="AJ212" s="195"/>
      <c r="AK212" s="195"/>
      <c r="AL212" s="195"/>
      <c r="AM212" s="195"/>
      <c r="AN212" s="195"/>
      <c r="AO212" s="195"/>
      <c r="AP212" s="195"/>
      <c r="AQ212" s="195"/>
      <c r="AR212" s="195"/>
      <c r="AS212" s="195"/>
      <c r="AT212" s="195"/>
      <c r="AU212" s="195"/>
      <c r="AV212" s="195"/>
      <c r="AW212" s="195"/>
      <c r="AX212" s="195"/>
      <c r="AY212" s="195"/>
      <c r="AZ212" s="195"/>
      <c r="BA212" s="195"/>
      <c r="BB212" s="195"/>
      <c r="BC212" s="195"/>
      <c r="BD212" s="195"/>
      <c r="BE212" s="195"/>
      <c r="BF212" s="195"/>
      <c r="BG212" s="195"/>
      <c r="BH212" s="195"/>
    </row>
    <row r="213" spans="1:60" x14ac:dyDescent="0.55000000000000004">
      <c r="A213" s="195"/>
      <c r="B213" s="195"/>
      <c r="C213" s="195"/>
      <c r="D213" s="195"/>
      <c r="E213" s="195"/>
      <c r="G213" s="195"/>
      <c r="H213" s="195"/>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195"/>
      <c r="AG213" s="195"/>
      <c r="AH213" s="195"/>
      <c r="AI213" s="195"/>
      <c r="AJ213" s="195"/>
      <c r="AK213" s="195"/>
      <c r="AL213" s="195"/>
      <c r="AM213" s="195"/>
      <c r="AN213" s="195"/>
      <c r="AO213" s="195"/>
      <c r="AP213" s="195"/>
      <c r="AQ213" s="195"/>
      <c r="AR213" s="195"/>
      <c r="AS213" s="195"/>
      <c r="AT213" s="195"/>
      <c r="AU213" s="195"/>
      <c r="AV213" s="195"/>
      <c r="AW213" s="195"/>
      <c r="AX213" s="195"/>
      <c r="AY213" s="195"/>
      <c r="AZ213" s="195"/>
      <c r="BA213" s="195"/>
      <c r="BB213" s="195"/>
      <c r="BC213" s="195"/>
      <c r="BD213" s="195"/>
      <c r="BE213" s="195"/>
      <c r="BF213" s="195"/>
      <c r="BG213" s="195"/>
      <c r="BH213" s="195"/>
    </row>
    <row r="214" spans="1:60" x14ac:dyDescent="0.55000000000000004">
      <c r="A214" s="195"/>
      <c r="B214" s="195"/>
      <c r="C214" s="195"/>
      <c r="D214" s="195"/>
      <c r="E214" s="195"/>
      <c r="G214" s="195"/>
      <c r="H214" s="195"/>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195"/>
      <c r="AG214" s="195"/>
      <c r="AH214" s="195"/>
      <c r="AI214" s="195"/>
      <c r="AJ214" s="195"/>
      <c r="AK214" s="195"/>
      <c r="AL214" s="195"/>
      <c r="AM214" s="195"/>
      <c r="AN214" s="195"/>
      <c r="AO214" s="195"/>
      <c r="AP214" s="195"/>
      <c r="AQ214" s="195"/>
      <c r="AR214" s="195"/>
      <c r="AS214" s="195"/>
      <c r="AT214" s="195"/>
      <c r="AU214" s="195"/>
      <c r="AV214" s="195"/>
      <c r="AW214" s="195"/>
      <c r="AX214" s="195"/>
      <c r="AY214" s="195"/>
      <c r="AZ214" s="195"/>
      <c r="BA214" s="195"/>
      <c r="BB214" s="195"/>
      <c r="BC214" s="195"/>
      <c r="BD214" s="195"/>
      <c r="BE214" s="195"/>
      <c r="BF214" s="195"/>
      <c r="BG214" s="195"/>
      <c r="BH214" s="195"/>
    </row>
    <row r="215" spans="1:60" x14ac:dyDescent="0.55000000000000004">
      <c r="A215" s="195"/>
      <c r="B215" s="195"/>
      <c r="C215" s="195"/>
      <c r="D215" s="195"/>
      <c r="E215" s="195"/>
      <c r="G215" s="195"/>
      <c r="H215" s="195"/>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195"/>
      <c r="AG215" s="195"/>
      <c r="AH215" s="195"/>
      <c r="AI215" s="195"/>
      <c r="AJ215" s="195"/>
      <c r="AK215" s="195"/>
      <c r="AL215" s="195"/>
      <c r="AM215" s="195"/>
      <c r="AN215" s="195"/>
      <c r="AO215" s="195"/>
      <c r="AP215" s="195"/>
      <c r="AQ215" s="195"/>
      <c r="AR215" s="195"/>
      <c r="AS215" s="195"/>
      <c r="AT215" s="195"/>
      <c r="AU215" s="195"/>
      <c r="AV215" s="195"/>
      <c r="AW215" s="195"/>
      <c r="AX215" s="195"/>
      <c r="AY215" s="195"/>
      <c r="AZ215" s="195"/>
      <c r="BA215" s="195"/>
      <c r="BB215" s="195"/>
      <c r="BC215" s="195"/>
      <c r="BD215" s="195"/>
      <c r="BE215" s="195"/>
      <c r="BF215" s="195"/>
      <c r="BG215" s="195"/>
      <c r="BH215" s="195"/>
    </row>
    <row r="216" spans="1:60" x14ac:dyDescent="0.55000000000000004">
      <c r="A216" s="195"/>
      <c r="B216" s="195"/>
      <c r="C216" s="195"/>
      <c r="D216" s="195"/>
      <c r="E216" s="195"/>
      <c r="G216" s="195"/>
      <c r="H216" s="195"/>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195"/>
      <c r="AG216" s="195"/>
      <c r="AH216" s="195"/>
      <c r="AI216" s="195"/>
      <c r="AJ216" s="195"/>
      <c r="AK216" s="195"/>
      <c r="AL216" s="195"/>
      <c r="AM216" s="195"/>
      <c r="AN216" s="195"/>
      <c r="AO216" s="195"/>
      <c r="AP216" s="195"/>
      <c r="AQ216" s="195"/>
      <c r="AR216" s="195"/>
      <c r="AS216" s="195"/>
      <c r="AT216" s="195"/>
      <c r="AU216" s="195"/>
      <c r="AV216" s="195"/>
      <c r="AW216" s="195"/>
      <c r="AX216" s="195"/>
      <c r="AY216" s="195"/>
      <c r="AZ216" s="195"/>
      <c r="BA216" s="195"/>
      <c r="BB216" s="195"/>
      <c r="BC216" s="195"/>
      <c r="BD216" s="195"/>
      <c r="BE216" s="195"/>
      <c r="BF216" s="195"/>
      <c r="BG216" s="195"/>
      <c r="BH216" s="195"/>
    </row>
    <row r="217" spans="1:60" x14ac:dyDescent="0.55000000000000004">
      <c r="A217" s="195"/>
      <c r="B217" s="195"/>
      <c r="C217" s="195"/>
      <c r="D217" s="195"/>
      <c r="E217" s="195"/>
      <c r="G217" s="195"/>
      <c r="H217" s="195"/>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195"/>
      <c r="AG217" s="195"/>
      <c r="AH217" s="195"/>
      <c r="AI217" s="195"/>
      <c r="AJ217" s="195"/>
      <c r="AK217" s="195"/>
      <c r="AL217" s="195"/>
      <c r="AM217" s="195"/>
      <c r="AN217" s="195"/>
      <c r="AO217" s="195"/>
      <c r="AP217" s="195"/>
      <c r="AQ217" s="195"/>
      <c r="AR217" s="195"/>
      <c r="AS217" s="195"/>
      <c r="AT217" s="195"/>
      <c r="AU217" s="195"/>
      <c r="AV217" s="195"/>
      <c r="AW217" s="195"/>
      <c r="AX217" s="195"/>
      <c r="AY217" s="195"/>
      <c r="AZ217" s="195"/>
      <c r="BA217" s="195"/>
      <c r="BB217" s="195"/>
      <c r="BC217" s="195"/>
      <c r="BD217" s="195"/>
      <c r="BE217" s="195"/>
      <c r="BF217" s="195"/>
      <c r="BG217" s="195"/>
      <c r="BH217" s="195"/>
    </row>
    <row r="218" spans="1:60" x14ac:dyDescent="0.55000000000000004">
      <c r="A218" s="195"/>
      <c r="B218" s="195"/>
      <c r="C218" s="195"/>
      <c r="D218" s="195"/>
      <c r="E218" s="195"/>
      <c r="G218" s="195"/>
      <c r="H218" s="195"/>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195"/>
      <c r="AG218" s="195"/>
      <c r="AH218" s="195"/>
      <c r="AI218" s="195"/>
      <c r="AJ218" s="195"/>
      <c r="AK218" s="195"/>
      <c r="AL218" s="195"/>
      <c r="AM218" s="195"/>
      <c r="AN218" s="195"/>
      <c r="AO218" s="195"/>
      <c r="AP218" s="195"/>
      <c r="AQ218" s="195"/>
      <c r="AR218" s="195"/>
      <c r="AS218" s="195"/>
      <c r="AT218" s="195"/>
      <c r="AU218" s="195"/>
      <c r="AV218" s="195"/>
      <c r="AW218" s="195"/>
      <c r="AX218" s="195"/>
      <c r="AY218" s="195"/>
      <c r="AZ218" s="195"/>
      <c r="BA218" s="195"/>
      <c r="BB218" s="195"/>
      <c r="BC218" s="195"/>
      <c r="BD218" s="195"/>
      <c r="BE218" s="195"/>
      <c r="BF218" s="195"/>
      <c r="BG218" s="195"/>
      <c r="BH218" s="195"/>
    </row>
    <row r="219" spans="1:60" x14ac:dyDescent="0.55000000000000004">
      <c r="A219" s="195"/>
      <c r="B219" s="195"/>
      <c r="C219" s="195"/>
      <c r="D219" s="195"/>
      <c r="E219" s="195"/>
      <c r="G219" s="195"/>
      <c r="H219" s="195"/>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195"/>
      <c r="AG219" s="195"/>
      <c r="AH219" s="195"/>
      <c r="AI219" s="195"/>
      <c r="AJ219" s="195"/>
      <c r="AK219" s="195"/>
      <c r="AL219" s="195"/>
      <c r="AM219" s="195"/>
      <c r="AN219" s="195"/>
      <c r="AO219" s="195"/>
      <c r="AP219" s="195"/>
      <c r="AQ219" s="195"/>
      <c r="AR219" s="195"/>
      <c r="AS219" s="195"/>
      <c r="AT219" s="195"/>
      <c r="AU219" s="195"/>
      <c r="AV219" s="195"/>
      <c r="AW219" s="195"/>
      <c r="AX219" s="195"/>
      <c r="AY219" s="195"/>
      <c r="AZ219" s="195"/>
      <c r="BA219" s="195"/>
      <c r="BB219" s="195"/>
      <c r="BC219" s="195"/>
      <c r="BD219" s="195"/>
      <c r="BE219" s="195"/>
      <c r="BF219" s="195"/>
      <c r="BG219" s="195"/>
      <c r="BH219" s="195"/>
    </row>
    <row r="220" spans="1:60" x14ac:dyDescent="0.55000000000000004">
      <c r="A220" s="195"/>
      <c r="B220" s="195"/>
      <c r="C220" s="195"/>
      <c r="D220" s="195"/>
      <c r="E220" s="195"/>
      <c r="G220" s="195"/>
      <c r="H220" s="195"/>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195"/>
      <c r="AG220" s="195"/>
      <c r="AH220" s="195"/>
      <c r="AI220" s="195"/>
      <c r="AJ220" s="195"/>
      <c r="AK220" s="195"/>
      <c r="AL220" s="195"/>
      <c r="AM220" s="195"/>
      <c r="AN220" s="195"/>
      <c r="AO220" s="195"/>
      <c r="AP220" s="195"/>
      <c r="AQ220" s="195"/>
      <c r="AR220" s="195"/>
      <c r="AS220" s="195"/>
      <c r="AT220" s="195"/>
      <c r="AU220" s="195"/>
      <c r="AV220" s="195"/>
      <c r="AW220" s="195"/>
      <c r="AX220" s="195"/>
      <c r="AY220" s="195"/>
      <c r="AZ220" s="195"/>
      <c r="BA220" s="195"/>
      <c r="BB220" s="195"/>
      <c r="BC220" s="195"/>
      <c r="BD220" s="195"/>
      <c r="BE220" s="195"/>
      <c r="BF220" s="195"/>
      <c r="BG220" s="195"/>
      <c r="BH220" s="195"/>
    </row>
    <row r="221" spans="1:60" x14ac:dyDescent="0.55000000000000004">
      <c r="A221" s="195"/>
      <c r="B221" s="195"/>
      <c r="C221" s="195"/>
      <c r="D221" s="195"/>
      <c r="E221" s="195"/>
      <c r="G221" s="195"/>
      <c r="H221" s="195"/>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195"/>
      <c r="AG221" s="195"/>
      <c r="AH221" s="195"/>
      <c r="AI221" s="195"/>
      <c r="AJ221" s="195"/>
      <c r="AK221" s="195"/>
      <c r="AL221" s="195"/>
      <c r="AM221" s="195"/>
      <c r="AN221" s="195"/>
      <c r="AO221" s="195"/>
      <c r="AP221" s="195"/>
      <c r="AQ221" s="195"/>
      <c r="AR221" s="195"/>
      <c r="AS221" s="195"/>
      <c r="AT221" s="195"/>
      <c r="AU221" s="195"/>
      <c r="AV221" s="195"/>
      <c r="AW221" s="195"/>
      <c r="AX221" s="195"/>
      <c r="AY221" s="195"/>
      <c r="AZ221" s="195"/>
      <c r="BA221" s="195"/>
      <c r="BB221" s="195"/>
      <c r="BC221" s="195"/>
      <c r="BD221" s="195"/>
      <c r="BE221" s="195"/>
      <c r="BF221" s="195"/>
      <c r="BG221" s="195"/>
      <c r="BH221" s="195"/>
    </row>
    <row r="222" spans="1:60" x14ac:dyDescent="0.55000000000000004">
      <c r="A222" s="195"/>
      <c r="B222" s="195"/>
      <c r="C222" s="195"/>
      <c r="D222" s="195"/>
      <c r="E222" s="195"/>
      <c r="G222" s="195"/>
      <c r="H222" s="195"/>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195"/>
      <c r="AG222" s="195"/>
      <c r="AH222" s="195"/>
      <c r="AI222" s="195"/>
      <c r="AJ222" s="195"/>
      <c r="AK222" s="195"/>
      <c r="AL222" s="195"/>
      <c r="AM222" s="195"/>
      <c r="AN222" s="195"/>
      <c r="AO222" s="195"/>
      <c r="AP222" s="195"/>
      <c r="AQ222" s="195"/>
      <c r="AR222" s="195"/>
      <c r="AS222" s="195"/>
      <c r="AT222" s="195"/>
      <c r="AU222" s="195"/>
      <c r="AV222" s="195"/>
      <c r="AW222" s="195"/>
      <c r="AX222" s="195"/>
      <c r="AY222" s="195"/>
      <c r="AZ222" s="195"/>
      <c r="BA222" s="195"/>
      <c r="BB222" s="195"/>
      <c r="BC222" s="195"/>
      <c r="BD222" s="195"/>
      <c r="BE222" s="195"/>
      <c r="BF222" s="195"/>
      <c r="BG222" s="195"/>
      <c r="BH222" s="195"/>
    </row>
    <row r="223" spans="1:60" x14ac:dyDescent="0.55000000000000004">
      <c r="A223" s="195"/>
      <c r="B223" s="195"/>
      <c r="C223" s="195"/>
      <c r="D223" s="195"/>
      <c r="E223" s="195"/>
      <c r="G223" s="195"/>
      <c r="H223" s="195"/>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195"/>
      <c r="AG223" s="195"/>
      <c r="AH223" s="195"/>
      <c r="AI223" s="195"/>
      <c r="AJ223" s="195"/>
      <c r="AK223" s="195"/>
      <c r="AL223" s="195"/>
      <c r="AM223" s="195"/>
      <c r="AN223" s="195"/>
      <c r="AO223" s="195"/>
      <c r="AP223" s="195"/>
      <c r="AQ223" s="195"/>
      <c r="AR223" s="195"/>
      <c r="AS223" s="195"/>
      <c r="AT223" s="195"/>
      <c r="AU223" s="195"/>
      <c r="AV223" s="195"/>
      <c r="AW223" s="195"/>
      <c r="AX223" s="195"/>
      <c r="AY223" s="195"/>
      <c r="AZ223" s="195"/>
      <c r="BA223" s="195"/>
      <c r="BB223" s="195"/>
      <c r="BC223" s="195"/>
      <c r="BD223" s="195"/>
      <c r="BE223" s="195"/>
      <c r="BF223" s="195"/>
      <c r="BG223" s="195"/>
      <c r="BH223" s="195"/>
    </row>
    <row r="224" spans="1:60" x14ac:dyDescent="0.55000000000000004">
      <c r="A224" s="195"/>
      <c r="B224" s="195"/>
      <c r="C224" s="195"/>
      <c r="D224" s="195"/>
      <c r="E224" s="195"/>
      <c r="G224" s="195"/>
      <c r="H224" s="195"/>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195"/>
      <c r="AG224" s="195"/>
      <c r="AH224" s="195"/>
      <c r="AI224" s="195"/>
      <c r="AJ224" s="195"/>
      <c r="AK224" s="195"/>
      <c r="AL224" s="195"/>
      <c r="AM224" s="195"/>
      <c r="AN224" s="195"/>
      <c r="AO224" s="195"/>
      <c r="AP224" s="195"/>
      <c r="AQ224" s="195"/>
      <c r="AR224" s="195"/>
      <c r="AS224" s="195"/>
      <c r="AT224" s="195"/>
      <c r="AU224" s="195"/>
      <c r="AV224" s="195"/>
      <c r="AW224" s="195"/>
      <c r="AX224" s="195"/>
      <c r="AY224" s="195"/>
      <c r="AZ224" s="195"/>
      <c r="BA224" s="195"/>
      <c r="BB224" s="195"/>
      <c r="BC224" s="195"/>
      <c r="BD224" s="195"/>
      <c r="BE224" s="195"/>
      <c r="BF224" s="195"/>
      <c r="BG224" s="195"/>
      <c r="BH224" s="195"/>
    </row>
    <row r="225" spans="1:60" x14ac:dyDescent="0.55000000000000004">
      <c r="A225" s="195"/>
      <c r="B225" s="195"/>
      <c r="C225" s="195"/>
      <c r="D225" s="195"/>
      <c r="E225" s="195"/>
      <c r="G225" s="195"/>
      <c r="H225" s="195"/>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195"/>
      <c r="AG225" s="195"/>
      <c r="AH225" s="195"/>
      <c r="AI225" s="195"/>
      <c r="AJ225" s="195"/>
      <c r="AK225" s="195"/>
      <c r="AL225" s="195"/>
      <c r="AM225" s="195"/>
      <c r="AN225" s="195"/>
      <c r="AO225" s="195"/>
      <c r="AP225" s="195"/>
      <c r="AQ225" s="195"/>
      <c r="AR225" s="195"/>
      <c r="AS225" s="195"/>
      <c r="AT225" s="195"/>
      <c r="AU225" s="195"/>
      <c r="AV225" s="195"/>
      <c r="AW225" s="195"/>
      <c r="AX225" s="195"/>
      <c r="AY225" s="195"/>
      <c r="AZ225" s="195"/>
      <c r="BA225" s="195"/>
      <c r="BB225" s="195"/>
      <c r="BC225" s="195"/>
      <c r="BD225" s="195"/>
      <c r="BE225" s="195"/>
      <c r="BF225" s="195"/>
      <c r="BG225" s="195"/>
      <c r="BH225" s="195"/>
    </row>
    <row r="226" spans="1:60" x14ac:dyDescent="0.55000000000000004">
      <c r="A226" s="195"/>
      <c r="B226" s="195"/>
      <c r="C226" s="195"/>
      <c r="D226" s="195"/>
      <c r="E226" s="195"/>
      <c r="G226" s="195"/>
      <c r="H226" s="195"/>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195"/>
      <c r="AG226" s="195"/>
      <c r="AH226" s="195"/>
      <c r="AI226" s="195"/>
      <c r="AJ226" s="195"/>
      <c r="AK226" s="195"/>
      <c r="AL226" s="195"/>
      <c r="AM226" s="195"/>
      <c r="AN226" s="195"/>
      <c r="AO226" s="195"/>
      <c r="AP226" s="195"/>
      <c r="AQ226" s="195"/>
      <c r="AR226" s="195"/>
      <c r="AS226" s="195"/>
      <c r="AT226" s="195"/>
      <c r="AU226" s="195"/>
      <c r="AV226" s="195"/>
      <c r="AW226" s="195"/>
      <c r="AX226" s="195"/>
      <c r="AY226" s="195"/>
      <c r="AZ226" s="195"/>
      <c r="BA226" s="195"/>
      <c r="BB226" s="195"/>
      <c r="BC226" s="195"/>
      <c r="BD226" s="195"/>
      <c r="BE226" s="195"/>
      <c r="BF226" s="195"/>
      <c r="BG226" s="195"/>
      <c r="BH226" s="195"/>
    </row>
    <row r="227" spans="1:60" x14ac:dyDescent="0.55000000000000004">
      <c r="A227" s="195"/>
      <c r="B227" s="195"/>
      <c r="C227" s="195"/>
      <c r="D227" s="195"/>
      <c r="E227" s="195"/>
      <c r="G227" s="195"/>
      <c r="H227" s="195"/>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195"/>
      <c r="AG227" s="195"/>
      <c r="AH227" s="195"/>
      <c r="AI227" s="195"/>
      <c r="AJ227" s="195"/>
      <c r="AK227" s="195"/>
      <c r="AL227" s="195"/>
      <c r="AM227" s="195"/>
      <c r="AN227" s="195"/>
      <c r="AO227" s="195"/>
      <c r="AP227" s="195"/>
      <c r="AQ227" s="195"/>
      <c r="AR227" s="195"/>
      <c r="AS227" s="195"/>
      <c r="AT227" s="195"/>
      <c r="AU227" s="195"/>
      <c r="AV227" s="195"/>
      <c r="AW227" s="195"/>
      <c r="AX227" s="195"/>
      <c r="AY227" s="195"/>
      <c r="AZ227" s="195"/>
      <c r="BA227" s="195"/>
      <c r="BB227" s="195"/>
      <c r="BC227" s="195"/>
      <c r="BD227" s="195"/>
      <c r="BE227" s="195"/>
      <c r="BF227" s="195"/>
      <c r="BG227" s="195"/>
      <c r="BH227" s="195"/>
    </row>
    <row r="228" spans="1:60" x14ac:dyDescent="0.55000000000000004">
      <c r="A228" s="195"/>
      <c r="B228" s="195"/>
      <c r="C228" s="195"/>
      <c r="D228" s="195"/>
      <c r="E228" s="195"/>
      <c r="G228" s="195"/>
      <c r="H228" s="195"/>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195"/>
      <c r="AG228" s="195"/>
      <c r="AH228" s="195"/>
      <c r="AI228" s="195"/>
      <c r="AJ228" s="195"/>
      <c r="AK228" s="195"/>
      <c r="AL228" s="195"/>
      <c r="AM228" s="195"/>
      <c r="AN228" s="195"/>
      <c r="AO228" s="195"/>
      <c r="AP228" s="195"/>
      <c r="AQ228" s="195"/>
      <c r="AR228" s="195"/>
      <c r="AS228" s="195"/>
      <c r="AT228" s="195"/>
      <c r="AU228" s="195"/>
      <c r="AV228" s="195"/>
      <c r="AW228" s="195"/>
      <c r="AX228" s="195"/>
      <c r="AY228" s="195"/>
      <c r="AZ228" s="195"/>
      <c r="BA228" s="195"/>
      <c r="BB228" s="195"/>
      <c r="BC228" s="195"/>
      <c r="BD228" s="195"/>
      <c r="BE228" s="195"/>
      <c r="BF228" s="195"/>
      <c r="BG228" s="195"/>
      <c r="BH228" s="195"/>
    </row>
    <row r="229" spans="1:60" x14ac:dyDescent="0.55000000000000004">
      <c r="A229" s="195"/>
      <c r="B229" s="195"/>
      <c r="C229" s="195"/>
      <c r="D229" s="195"/>
      <c r="E229" s="195"/>
      <c r="G229" s="195"/>
      <c r="H229" s="195"/>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95"/>
      <c r="BA229" s="195"/>
      <c r="BB229" s="195"/>
      <c r="BC229" s="195"/>
      <c r="BD229" s="195"/>
      <c r="BE229" s="195"/>
      <c r="BF229" s="195"/>
      <c r="BG229" s="195"/>
      <c r="BH229" s="195"/>
    </row>
    <row r="230" spans="1:60" x14ac:dyDescent="0.55000000000000004">
      <c r="A230" s="195"/>
      <c r="B230" s="195"/>
      <c r="C230" s="195"/>
      <c r="D230" s="195"/>
      <c r="E230" s="195"/>
      <c r="G230" s="195"/>
      <c r="H230" s="195"/>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195"/>
      <c r="AG230" s="195"/>
      <c r="AH230" s="195"/>
      <c r="AI230" s="195"/>
      <c r="AJ230" s="195"/>
      <c r="AK230" s="195"/>
      <c r="AL230" s="195"/>
      <c r="AM230" s="195"/>
      <c r="AN230" s="195"/>
      <c r="AO230" s="195"/>
      <c r="AP230" s="195"/>
      <c r="AQ230" s="195"/>
      <c r="AR230" s="195"/>
      <c r="AS230" s="195"/>
      <c r="AT230" s="195"/>
      <c r="AU230" s="195"/>
      <c r="AV230" s="195"/>
      <c r="AW230" s="195"/>
      <c r="AX230" s="195"/>
      <c r="AY230" s="195"/>
      <c r="AZ230" s="195"/>
      <c r="BA230" s="195"/>
      <c r="BB230" s="195"/>
      <c r="BC230" s="195"/>
      <c r="BD230" s="195"/>
      <c r="BE230" s="195"/>
      <c r="BF230" s="195"/>
      <c r="BG230" s="195"/>
      <c r="BH230" s="195"/>
    </row>
    <row r="231" spans="1:60" x14ac:dyDescent="0.55000000000000004">
      <c r="A231" s="195"/>
      <c r="B231" s="195"/>
      <c r="C231" s="195"/>
      <c r="D231" s="195"/>
      <c r="E231" s="195"/>
      <c r="G231" s="195"/>
      <c r="H231" s="195"/>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195"/>
      <c r="AG231" s="195"/>
      <c r="AH231" s="195"/>
      <c r="AI231" s="195"/>
      <c r="AJ231" s="195"/>
      <c r="AK231" s="195"/>
      <c r="AL231" s="195"/>
      <c r="AM231" s="195"/>
      <c r="AN231" s="195"/>
      <c r="AO231" s="195"/>
      <c r="AP231" s="195"/>
      <c r="AQ231" s="195"/>
      <c r="AR231" s="195"/>
      <c r="AS231" s="195"/>
      <c r="AT231" s="195"/>
      <c r="AU231" s="195"/>
      <c r="AV231" s="195"/>
      <c r="AW231" s="195"/>
      <c r="AX231" s="195"/>
      <c r="AY231" s="195"/>
      <c r="AZ231" s="195"/>
      <c r="BA231" s="195"/>
      <c r="BB231" s="195"/>
      <c r="BC231" s="195"/>
      <c r="BD231" s="195"/>
      <c r="BE231" s="195"/>
      <c r="BF231" s="195"/>
      <c r="BG231" s="195"/>
      <c r="BH231" s="195"/>
    </row>
    <row r="232" spans="1:60" x14ac:dyDescent="0.55000000000000004">
      <c r="A232" s="195"/>
      <c r="B232" s="195"/>
      <c r="C232" s="195"/>
      <c r="D232" s="195"/>
      <c r="E232" s="195"/>
      <c r="G232" s="195"/>
      <c r="H232" s="195"/>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195"/>
      <c r="AG232" s="195"/>
      <c r="AH232" s="195"/>
      <c r="AI232" s="195"/>
      <c r="AJ232" s="195"/>
      <c r="AK232" s="195"/>
      <c r="AL232" s="195"/>
      <c r="AM232" s="195"/>
      <c r="AN232" s="195"/>
      <c r="AO232" s="195"/>
      <c r="AP232" s="195"/>
      <c r="AQ232" s="195"/>
      <c r="AR232" s="195"/>
      <c r="AS232" s="195"/>
      <c r="AT232" s="195"/>
      <c r="AU232" s="195"/>
      <c r="AV232" s="195"/>
      <c r="AW232" s="195"/>
      <c r="AX232" s="195"/>
      <c r="AY232" s="195"/>
      <c r="AZ232" s="195"/>
      <c r="BA232" s="195"/>
      <c r="BB232" s="195"/>
      <c r="BC232" s="195"/>
      <c r="BD232" s="195"/>
      <c r="BE232" s="195"/>
      <c r="BF232" s="195"/>
      <c r="BG232" s="195"/>
      <c r="BH232" s="195"/>
    </row>
    <row r="233" spans="1:60" x14ac:dyDescent="0.55000000000000004">
      <c r="A233" s="195"/>
      <c r="B233" s="195"/>
      <c r="C233" s="195"/>
      <c r="D233" s="195"/>
      <c r="E233" s="195"/>
      <c r="G233" s="195"/>
      <c r="H233" s="195"/>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195"/>
      <c r="AG233" s="195"/>
      <c r="AH233" s="195"/>
      <c r="AI233" s="195"/>
      <c r="AJ233" s="195"/>
      <c r="AK233" s="195"/>
      <c r="AL233" s="195"/>
      <c r="AM233" s="195"/>
      <c r="AN233" s="195"/>
      <c r="AO233" s="195"/>
      <c r="AP233" s="195"/>
      <c r="AQ233" s="195"/>
      <c r="AR233" s="195"/>
      <c r="AS233" s="195"/>
      <c r="AT233" s="195"/>
      <c r="AU233" s="195"/>
      <c r="AV233" s="195"/>
      <c r="AW233" s="195"/>
      <c r="AX233" s="195"/>
      <c r="AY233" s="195"/>
      <c r="AZ233" s="195"/>
      <c r="BA233" s="195"/>
      <c r="BB233" s="195"/>
      <c r="BC233" s="195"/>
      <c r="BD233" s="195"/>
      <c r="BE233" s="195"/>
      <c r="BF233" s="195"/>
      <c r="BG233" s="195"/>
      <c r="BH233" s="195"/>
    </row>
    <row r="234" spans="1:60" x14ac:dyDescent="0.55000000000000004">
      <c r="A234" s="195"/>
      <c r="B234" s="195"/>
      <c r="C234" s="195"/>
      <c r="D234" s="195"/>
      <c r="E234" s="195"/>
      <c r="G234" s="195"/>
      <c r="H234" s="195"/>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195"/>
      <c r="AG234" s="195"/>
      <c r="AH234" s="195"/>
      <c r="AI234" s="195"/>
      <c r="AJ234" s="195"/>
      <c r="AK234" s="195"/>
      <c r="AL234" s="195"/>
      <c r="AM234" s="195"/>
      <c r="AN234" s="195"/>
      <c r="AO234" s="195"/>
      <c r="AP234" s="195"/>
      <c r="AQ234" s="195"/>
      <c r="AR234" s="195"/>
      <c r="AS234" s="195"/>
      <c r="AT234" s="195"/>
      <c r="AU234" s="195"/>
      <c r="AV234" s="195"/>
      <c r="AW234" s="195"/>
      <c r="AX234" s="195"/>
      <c r="AY234" s="195"/>
      <c r="AZ234" s="195"/>
      <c r="BA234" s="195"/>
      <c r="BB234" s="195"/>
      <c r="BC234" s="195"/>
      <c r="BD234" s="195"/>
      <c r="BE234" s="195"/>
      <c r="BF234" s="195"/>
      <c r="BG234" s="195"/>
      <c r="BH234" s="195"/>
    </row>
    <row r="235" spans="1:60" x14ac:dyDescent="0.55000000000000004">
      <c r="A235" s="195"/>
      <c r="B235" s="195"/>
      <c r="C235" s="195"/>
      <c r="D235" s="195"/>
      <c r="E235" s="195"/>
      <c r="G235" s="195"/>
      <c r="H235" s="195"/>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c r="AU235" s="195"/>
      <c r="AV235" s="195"/>
      <c r="AW235" s="195"/>
      <c r="AX235" s="195"/>
      <c r="AY235" s="195"/>
      <c r="AZ235" s="195"/>
      <c r="BA235" s="195"/>
      <c r="BB235" s="195"/>
      <c r="BC235" s="195"/>
      <c r="BD235" s="195"/>
      <c r="BE235" s="195"/>
      <c r="BF235" s="195"/>
      <c r="BG235" s="195"/>
      <c r="BH235" s="195"/>
    </row>
    <row r="236" spans="1:60" x14ac:dyDescent="0.55000000000000004">
      <c r="A236" s="195"/>
      <c r="B236" s="195"/>
      <c r="C236" s="195"/>
      <c r="D236" s="195"/>
      <c r="E236" s="195"/>
      <c r="G236" s="195"/>
      <c r="H236" s="195"/>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c r="AU236" s="195"/>
      <c r="AV236" s="195"/>
      <c r="AW236" s="195"/>
      <c r="AX236" s="195"/>
      <c r="AY236" s="195"/>
      <c r="AZ236" s="195"/>
      <c r="BA236" s="195"/>
      <c r="BB236" s="195"/>
      <c r="BC236" s="195"/>
      <c r="BD236" s="195"/>
      <c r="BE236" s="195"/>
      <c r="BF236" s="195"/>
      <c r="BG236" s="195"/>
      <c r="BH236" s="195"/>
    </row>
    <row r="237" spans="1:60" x14ac:dyDescent="0.55000000000000004">
      <c r="A237" s="195"/>
      <c r="B237" s="195"/>
      <c r="C237" s="195"/>
      <c r="D237" s="195"/>
      <c r="E237" s="195"/>
      <c r="G237" s="195"/>
      <c r="H237" s="195"/>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c r="AU237" s="195"/>
      <c r="AV237" s="195"/>
      <c r="AW237" s="195"/>
      <c r="AX237" s="195"/>
      <c r="AY237" s="195"/>
      <c r="AZ237" s="195"/>
      <c r="BA237" s="195"/>
      <c r="BB237" s="195"/>
      <c r="BC237" s="195"/>
      <c r="BD237" s="195"/>
      <c r="BE237" s="195"/>
      <c r="BF237" s="195"/>
      <c r="BG237" s="195"/>
      <c r="BH237" s="195"/>
    </row>
    <row r="238" spans="1:60" x14ac:dyDescent="0.55000000000000004">
      <c r="A238" s="195"/>
      <c r="B238" s="195"/>
      <c r="C238" s="195"/>
      <c r="D238" s="195"/>
      <c r="E238" s="195"/>
      <c r="G238" s="195"/>
      <c r="H238" s="195"/>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195"/>
      <c r="AG238" s="195"/>
      <c r="AH238" s="195"/>
      <c r="AI238" s="195"/>
      <c r="AJ238" s="195"/>
      <c r="AK238" s="195"/>
      <c r="AL238" s="195"/>
      <c r="AM238" s="195"/>
      <c r="AN238" s="195"/>
      <c r="AO238" s="195"/>
      <c r="AP238" s="195"/>
      <c r="AQ238" s="195"/>
      <c r="AR238" s="195"/>
      <c r="AS238" s="195"/>
      <c r="AT238" s="195"/>
      <c r="AU238" s="195"/>
      <c r="AV238" s="195"/>
      <c r="AW238" s="195"/>
      <c r="AX238" s="195"/>
      <c r="AY238" s="195"/>
      <c r="AZ238" s="195"/>
      <c r="BA238" s="195"/>
      <c r="BB238" s="195"/>
      <c r="BC238" s="195"/>
      <c r="BD238" s="195"/>
      <c r="BE238" s="195"/>
      <c r="BF238" s="195"/>
      <c r="BG238" s="195"/>
      <c r="BH238" s="195"/>
    </row>
    <row r="239" spans="1:60" x14ac:dyDescent="0.55000000000000004">
      <c r="A239" s="195"/>
      <c r="B239" s="195"/>
      <c r="C239" s="195"/>
      <c r="D239" s="195"/>
      <c r="E239" s="195"/>
      <c r="G239" s="195"/>
      <c r="H239" s="195"/>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195"/>
      <c r="AG239" s="195"/>
      <c r="AH239" s="195"/>
      <c r="AI239" s="195"/>
      <c r="AJ239" s="195"/>
      <c r="AK239" s="195"/>
      <c r="AL239" s="195"/>
      <c r="AM239" s="195"/>
      <c r="AN239" s="195"/>
      <c r="AO239" s="195"/>
      <c r="AP239" s="195"/>
      <c r="AQ239" s="195"/>
      <c r="AR239" s="195"/>
      <c r="AS239" s="195"/>
      <c r="AT239" s="195"/>
      <c r="AU239" s="195"/>
      <c r="AV239" s="195"/>
      <c r="AW239" s="195"/>
      <c r="AX239" s="195"/>
      <c r="AY239" s="195"/>
      <c r="AZ239" s="195"/>
      <c r="BA239" s="195"/>
      <c r="BB239" s="195"/>
      <c r="BC239" s="195"/>
      <c r="BD239" s="195"/>
      <c r="BE239" s="195"/>
      <c r="BF239" s="195"/>
      <c r="BG239" s="195"/>
      <c r="BH239" s="195"/>
    </row>
    <row r="240" spans="1:60" x14ac:dyDescent="0.55000000000000004">
      <c r="A240" s="195"/>
      <c r="B240" s="195"/>
      <c r="C240" s="195"/>
      <c r="D240" s="195"/>
      <c r="E240" s="195"/>
      <c r="G240" s="195"/>
      <c r="H240" s="195"/>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195"/>
      <c r="AG240" s="195"/>
      <c r="AH240" s="195"/>
      <c r="AI240" s="195"/>
      <c r="AJ240" s="195"/>
      <c r="AK240" s="195"/>
      <c r="AL240" s="195"/>
      <c r="AM240" s="195"/>
      <c r="AN240" s="195"/>
      <c r="AO240" s="195"/>
      <c r="AP240" s="195"/>
      <c r="AQ240" s="195"/>
      <c r="AR240" s="195"/>
      <c r="AS240" s="195"/>
      <c r="AT240" s="195"/>
      <c r="AU240" s="195"/>
      <c r="AV240" s="195"/>
      <c r="AW240" s="195"/>
      <c r="AX240" s="195"/>
      <c r="AY240" s="195"/>
      <c r="AZ240" s="195"/>
      <c r="BA240" s="195"/>
      <c r="BB240" s="195"/>
      <c r="BC240" s="195"/>
      <c r="BD240" s="195"/>
      <c r="BE240" s="195"/>
      <c r="BF240" s="195"/>
      <c r="BG240" s="195"/>
      <c r="BH240" s="195"/>
    </row>
    <row r="241" spans="1:60" x14ac:dyDescent="0.55000000000000004">
      <c r="A241" s="195"/>
      <c r="B241" s="195"/>
      <c r="C241" s="195"/>
      <c r="D241" s="195"/>
      <c r="E241" s="195"/>
      <c r="G241" s="195"/>
      <c r="H241" s="195"/>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195"/>
      <c r="AG241" s="195"/>
      <c r="AH241" s="195"/>
      <c r="AI241" s="195"/>
      <c r="AJ241" s="195"/>
      <c r="AK241" s="195"/>
      <c r="AL241" s="195"/>
      <c r="AM241" s="195"/>
      <c r="AN241" s="195"/>
      <c r="AO241" s="195"/>
      <c r="AP241" s="195"/>
      <c r="AQ241" s="195"/>
      <c r="AR241" s="195"/>
      <c r="AS241" s="195"/>
      <c r="AT241" s="195"/>
      <c r="AU241" s="195"/>
      <c r="AV241" s="195"/>
      <c r="AW241" s="195"/>
      <c r="AX241" s="195"/>
      <c r="AY241" s="195"/>
      <c r="AZ241" s="195"/>
      <c r="BA241" s="195"/>
      <c r="BB241" s="195"/>
      <c r="BC241" s="195"/>
      <c r="BD241" s="195"/>
      <c r="BE241" s="195"/>
      <c r="BF241" s="195"/>
      <c r="BG241" s="195"/>
      <c r="BH241" s="195"/>
    </row>
    <row r="242" spans="1:60" x14ac:dyDescent="0.55000000000000004">
      <c r="A242" s="195"/>
      <c r="B242" s="195"/>
      <c r="C242" s="195"/>
      <c r="D242" s="195"/>
      <c r="E242" s="195"/>
      <c r="G242" s="195"/>
      <c r="H242" s="195"/>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c r="AU242" s="195"/>
      <c r="AV242" s="195"/>
      <c r="AW242" s="195"/>
      <c r="AX242" s="195"/>
      <c r="AY242" s="195"/>
      <c r="AZ242" s="195"/>
      <c r="BA242" s="195"/>
      <c r="BB242" s="195"/>
      <c r="BC242" s="195"/>
      <c r="BD242" s="195"/>
      <c r="BE242" s="195"/>
      <c r="BF242" s="195"/>
      <c r="BG242" s="195"/>
      <c r="BH242" s="195"/>
    </row>
    <row r="243" spans="1:60" x14ac:dyDescent="0.55000000000000004">
      <c r="A243" s="195"/>
      <c r="B243" s="195"/>
      <c r="C243" s="195"/>
      <c r="D243" s="195"/>
      <c r="E243" s="195"/>
      <c r="G243" s="195"/>
      <c r="H243" s="195"/>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c r="AU243" s="195"/>
      <c r="AV243" s="195"/>
      <c r="AW243" s="195"/>
      <c r="AX243" s="195"/>
      <c r="AY243" s="195"/>
      <c r="AZ243" s="195"/>
      <c r="BA243" s="195"/>
      <c r="BB243" s="195"/>
      <c r="BC243" s="195"/>
      <c r="BD243" s="195"/>
      <c r="BE243" s="195"/>
      <c r="BF243" s="195"/>
      <c r="BG243" s="195"/>
      <c r="BH243" s="195"/>
    </row>
    <row r="244" spans="1:60" x14ac:dyDescent="0.55000000000000004">
      <c r="A244" s="195"/>
      <c r="B244" s="195"/>
      <c r="C244" s="195"/>
      <c r="D244" s="195"/>
      <c r="E244" s="195"/>
      <c r="G244" s="195"/>
      <c r="H244" s="195"/>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c r="AW244" s="195"/>
      <c r="AX244" s="195"/>
      <c r="AY244" s="195"/>
      <c r="AZ244" s="195"/>
      <c r="BA244" s="195"/>
      <c r="BB244" s="195"/>
      <c r="BC244" s="195"/>
      <c r="BD244" s="195"/>
      <c r="BE244" s="195"/>
      <c r="BF244" s="195"/>
      <c r="BG244" s="195"/>
      <c r="BH244" s="195"/>
    </row>
    <row r="245" spans="1:60" x14ac:dyDescent="0.55000000000000004">
      <c r="A245" s="195"/>
      <c r="B245" s="195"/>
      <c r="C245" s="195"/>
      <c r="D245" s="195"/>
      <c r="E245" s="195"/>
      <c r="G245" s="195"/>
      <c r="H245" s="195"/>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c r="AU245" s="195"/>
      <c r="AV245" s="195"/>
      <c r="AW245" s="195"/>
      <c r="AX245" s="195"/>
      <c r="AY245" s="195"/>
      <c r="AZ245" s="195"/>
      <c r="BA245" s="195"/>
      <c r="BB245" s="195"/>
      <c r="BC245" s="195"/>
      <c r="BD245" s="195"/>
      <c r="BE245" s="195"/>
      <c r="BF245" s="195"/>
      <c r="BG245" s="195"/>
      <c r="BH245" s="195"/>
    </row>
    <row r="246" spans="1:60" x14ac:dyDescent="0.55000000000000004">
      <c r="A246" s="195"/>
      <c r="B246" s="195"/>
      <c r="C246" s="195"/>
      <c r="D246" s="195"/>
      <c r="E246" s="195"/>
      <c r="G246" s="195"/>
      <c r="H246" s="195"/>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c r="AU246" s="195"/>
      <c r="AV246" s="195"/>
      <c r="AW246" s="195"/>
      <c r="AX246" s="195"/>
      <c r="AY246" s="195"/>
      <c r="AZ246" s="195"/>
      <c r="BA246" s="195"/>
      <c r="BB246" s="195"/>
      <c r="BC246" s="195"/>
      <c r="BD246" s="195"/>
      <c r="BE246" s="195"/>
      <c r="BF246" s="195"/>
      <c r="BG246" s="195"/>
      <c r="BH246" s="195"/>
    </row>
    <row r="247" spans="1:60" x14ac:dyDescent="0.55000000000000004">
      <c r="A247" s="195"/>
      <c r="B247" s="195"/>
      <c r="C247" s="195"/>
      <c r="D247" s="195"/>
      <c r="E247" s="195"/>
      <c r="G247" s="195"/>
      <c r="H247" s="195"/>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195"/>
      <c r="AG247" s="195"/>
      <c r="AH247" s="195"/>
      <c r="AI247" s="195"/>
      <c r="AJ247" s="195"/>
      <c r="AK247" s="195"/>
      <c r="AL247" s="195"/>
      <c r="AM247" s="195"/>
      <c r="AN247" s="195"/>
      <c r="AO247" s="195"/>
      <c r="AP247" s="195"/>
      <c r="AQ247" s="195"/>
      <c r="AR247" s="195"/>
      <c r="AS247" s="195"/>
      <c r="AT247" s="195"/>
      <c r="AU247" s="195"/>
      <c r="AV247" s="195"/>
      <c r="AW247" s="195"/>
      <c r="AX247" s="195"/>
      <c r="AY247" s="195"/>
      <c r="AZ247" s="195"/>
      <c r="BA247" s="195"/>
      <c r="BB247" s="195"/>
      <c r="BC247" s="195"/>
      <c r="BD247" s="195"/>
      <c r="BE247" s="195"/>
      <c r="BF247" s="195"/>
      <c r="BG247" s="195"/>
      <c r="BH247" s="195"/>
    </row>
    <row r="248" spans="1:60" x14ac:dyDescent="0.55000000000000004">
      <c r="A248" s="195"/>
      <c r="B248" s="195"/>
      <c r="C248" s="195"/>
      <c r="D248" s="195"/>
      <c r="E248" s="195"/>
      <c r="G248" s="195"/>
      <c r="H248" s="195"/>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c r="AU248" s="195"/>
      <c r="AV248" s="195"/>
      <c r="AW248" s="195"/>
      <c r="AX248" s="195"/>
      <c r="AY248" s="195"/>
      <c r="AZ248" s="195"/>
      <c r="BA248" s="195"/>
      <c r="BB248" s="195"/>
      <c r="BC248" s="195"/>
      <c r="BD248" s="195"/>
      <c r="BE248" s="195"/>
      <c r="BF248" s="195"/>
      <c r="BG248" s="195"/>
      <c r="BH248" s="195"/>
    </row>
    <row r="249" spans="1:60" x14ac:dyDescent="0.55000000000000004">
      <c r="A249" s="195"/>
      <c r="B249" s="195"/>
      <c r="C249" s="195"/>
      <c r="D249" s="195"/>
      <c r="E249" s="195"/>
      <c r="G249" s="195"/>
      <c r="H249" s="195"/>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c r="AU249" s="195"/>
      <c r="AV249" s="195"/>
      <c r="AW249" s="195"/>
      <c r="AX249" s="195"/>
      <c r="AY249" s="195"/>
      <c r="AZ249" s="195"/>
      <c r="BA249" s="195"/>
      <c r="BB249" s="195"/>
      <c r="BC249" s="195"/>
      <c r="BD249" s="195"/>
      <c r="BE249" s="195"/>
      <c r="BF249" s="195"/>
      <c r="BG249" s="195"/>
      <c r="BH249" s="195"/>
    </row>
    <row r="250" spans="1:60" x14ac:dyDescent="0.55000000000000004">
      <c r="A250" s="195"/>
      <c r="B250" s="195"/>
      <c r="C250" s="195"/>
      <c r="D250" s="195"/>
      <c r="E250" s="195"/>
      <c r="G250" s="195"/>
      <c r="H250" s="195"/>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195"/>
      <c r="AG250" s="195"/>
      <c r="AH250" s="195"/>
      <c r="AI250" s="195"/>
      <c r="AJ250" s="195"/>
      <c r="AK250" s="195"/>
      <c r="AL250" s="195"/>
      <c r="AM250" s="195"/>
      <c r="AN250" s="195"/>
      <c r="AO250" s="195"/>
      <c r="AP250" s="195"/>
      <c r="AQ250" s="195"/>
      <c r="AR250" s="195"/>
      <c r="AS250" s="195"/>
      <c r="AT250" s="195"/>
      <c r="AU250" s="195"/>
      <c r="AV250" s="195"/>
      <c r="AW250" s="195"/>
      <c r="AX250" s="195"/>
      <c r="AY250" s="195"/>
      <c r="AZ250" s="195"/>
      <c r="BA250" s="195"/>
      <c r="BB250" s="195"/>
      <c r="BC250" s="195"/>
      <c r="BD250" s="195"/>
      <c r="BE250" s="195"/>
      <c r="BF250" s="195"/>
      <c r="BG250" s="195"/>
      <c r="BH250" s="195"/>
    </row>
    <row r="251" spans="1:60" x14ac:dyDescent="0.55000000000000004">
      <c r="A251" s="195"/>
      <c r="B251" s="195"/>
      <c r="C251" s="195"/>
      <c r="D251" s="195"/>
      <c r="E251" s="195"/>
      <c r="G251" s="195"/>
      <c r="H251" s="195"/>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195"/>
      <c r="AG251" s="195"/>
      <c r="AH251" s="195"/>
      <c r="AI251" s="195"/>
      <c r="AJ251" s="195"/>
      <c r="AK251" s="195"/>
      <c r="AL251" s="195"/>
      <c r="AM251" s="195"/>
      <c r="AN251" s="195"/>
      <c r="AO251" s="195"/>
      <c r="AP251" s="195"/>
      <c r="AQ251" s="195"/>
      <c r="AR251" s="195"/>
      <c r="AS251" s="195"/>
      <c r="AT251" s="195"/>
      <c r="AU251" s="195"/>
      <c r="AV251" s="195"/>
      <c r="AW251" s="195"/>
      <c r="AX251" s="195"/>
      <c r="AY251" s="195"/>
      <c r="AZ251" s="195"/>
      <c r="BA251" s="195"/>
      <c r="BB251" s="195"/>
      <c r="BC251" s="195"/>
      <c r="BD251" s="195"/>
      <c r="BE251" s="195"/>
      <c r="BF251" s="195"/>
      <c r="BG251" s="195"/>
      <c r="BH251" s="195"/>
    </row>
    <row r="252" spans="1:60" x14ac:dyDescent="0.55000000000000004">
      <c r="A252" s="195"/>
      <c r="B252" s="195"/>
      <c r="C252" s="195"/>
      <c r="D252" s="195"/>
      <c r="E252" s="195"/>
      <c r="G252" s="195"/>
      <c r="H252" s="195"/>
      <c r="I252" s="195"/>
      <c r="J252" s="195"/>
      <c r="K252" s="195"/>
      <c r="L252" s="195"/>
      <c r="M252" s="195"/>
      <c r="N252" s="195"/>
      <c r="O252" s="195"/>
      <c r="P252" s="195"/>
      <c r="Q252" s="195"/>
      <c r="R252" s="195"/>
      <c r="S252" s="195"/>
      <c r="T252" s="195"/>
      <c r="U252" s="195"/>
      <c r="V252" s="195"/>
      <c r="W252" s="195"/>
      <c r="X252" s="195"/>
      <c r="Y252" s="195"/>
      <c r="Z252" s="195"/>
      <c r="AA252" s="195"/>
      <c r="AB252" s="195"/>
      <c r="AC252" s="195"/>
      <c r="AD252" s="195"/>
      <c r="AE252" s="195"/>
      <c r="AF252" s="195"/>
      <c r="AG252" s="195"/>
      <c r="AH252" s="195"/>
      <c r="AI252" s="195"/>
      <c r="AJ252" s="195"/>
      <c r="AK252" s="195"/>
      <c r="AL252" s="195"/>
      <c r="AM252" s="195"/>
      <c r="AN252" s="195"/>
      <c r="AO252" s="195"/>
      <c r="AP252" s="195"/>
      <c r="AQ252" s="195"/>
      <c r="AR252" s="195"/>
      <c r="AS252" s="195"/>
      <c r="AT252" s="195"/>
      <c r="AU252" s="195"/>
      <c r="AV252" s="195"/>
      <c r="AW252" s="195"/>
      <c r="AX252" s="195"/>
      <c r="AY252" s="195"/>
      <c r="AZ252" s="195"/>
      <c r="BA252" s="195"/>
      <c r="BB252" s="195"/>
      <c r="BC252" s="195"/>
      <c r="BD252" s="195"/>
      <c r="BE252" s="195"/>
      <c r="BF252" s="195"/>
      <c r="BG252" s="195"/>
      <c r="BH252" s="195"/>
    </row>
    <row r="253" spans="1:60" x14ac:dyDescent="0.55000000000000004">
      <c r="A253" s="195"/>
      <c r="B253" s="195"/>
      <c r="C253" s="195"/>
      <c r="D253" s="195"/>
      <c r="E253" s="195"/>
      <c r="G253" s="195"/>
      <c r="H253" s="195"/>
      <c r="I253" s="195"/>
      <c r="J253" s="195"/>
      <c r="K253" s="195"/>
      <c r="L253" s="195"/>
      <c r="M253" s="195"/>
      <c r="N253" s="195"/>
      <c r="O253" s="195"/>
      <c r="P253" s="195"/>
      <c r="Q253" s="195"/>
      <c r="R253" s="195"/>
      <c r="S253" s="195"/>
      <c r="T253" s="195"/>
      <c r="U253" s="195"/>
      <c r="V253" s="195"/>
      <c r="W253" s="195"/>
      <c r="X253" s="195"/>
      <c r="Y253" s="195"/>
      <c r="Z253" s="195"/>
      <c r="AA253" s="195"/>
      <c r="AB253" s="195"/>
      <c r="AC253" s="195"/>
      <c r="AD253" s="195"/>
      <c r="AE253" s="195"/>
      <c r="AF253" s="195"/>
      <c r="AG253" s="195"/>
      <c r="AH253" s="195"/>
      <c r="AI253" s="195"/>
      <c r="AJ253" s="195"/>
      <c r="AK253" s="195"/>
      <c r="AL253" s="195"/>
      <c r="AM253" s="195"/>
      <c r="AN253" s="195"/>
      <c r="AO253" s="195"/>
      <c r="AP253" s="195"/>
      <c r="AQ253" s="195"/>
      <c r="AR253" s="195"/>
      <c r="AS253" s="195"/>
      <c r="AT253" s="195"/>
      <c r="AU253" s="195"/>
      <c r="AV253" s="195"/>
      <c r="AW253" s="195"/>
      <c r="AX253" s="195"/>
      <c r="AY253" s="195"/>
      <c r="AZ253" s="195"/>
      <c r="BA253" s="195"/>
      <c r="BB253" s="195"/>
      <c r="BC253" s="195"/>
      <c r="BD253" s="195"/>
      <c r="BE253" s="195"/>
      <c r="BF253" s="195"/>
      <c r="BG253" s="195"/>
      <c r="BH253" s="195"/>
    </row>
    <row r="254" spans="1:60" x14ac:dyDescent="0.55000000000000004">
      <c r="A254" s="195"/>
      <c r="B254" s="195"/>
      <c r="C254" s="195"/>
      <c r="D254" s="195"/>
      <c r="E254" s="195"/>
      <c r="G254" s="195"/>
      <c r="H254" s="195"/>
      <c r="I254" s="195"/>
      <c r="J254" s="195"/>
      <c r="K254" s="195"/>
      <c r="L254" s="195"/>
      <c r="M254" s="195"/>
      <c r="N254" s="195"/>
      <c r="O254" s="195"/>
      <c r="P254" s="195"/>
      <c r="Q254" s="195"/>
      <c r="R254" s="195"/>
      <c r="S254" s="195"/>
      <c r="T254" s="195"/>
      <c r="U254" s="195"/>
      <c r="V254" s="195"/>
      <c r="W254" s="195"/>
      <c r="X254" s="195"/>
      <c r="Y254" s="195"/>
      <c r="Z254" s="195"/>
      <c r="AA254" s="195"/>
      <c r="AB254" s="195"/>
      <c r="AC254" s="195"/>
      <c r="AD254" s="195"/>
      <c r="AE254" s="195"/>
      <c r="AF254" s="195"/>
      <c r="AG254" s="195"/>
      <c r="AH254" s="195"/>
      <c r="AI254" s="195"/>
      <c r="AJ254" s="195"/>
      <c r="AK254" s="195"/>
      <c r="AL254" s="195"/>
      <c r="AM254" s="195"/>
      <c r="AN254" s="195"/>
      <c r="AO254" s="195"/>
      <c r="AP254" s="195"/>
      <c r="AQ254" s="195"/>
      <c r="AR254" s="195"/>
      <c r="AS254" s="195"/>
      <c r="AT254" s="195"/>
      <c r="AU254" s="195"/>
      <c r="AV254" s="195"/>
      <c r="AW254" s="195"/>
      <c r="AX254" s="195"/>
      <c r="AY254" s="195"/>
      <c r="AZ254" s="195"/>
      <c r="BA254" s="195"/>
      <c r="BB254" s="195"/>
      <c r="BC254" s="195"/>
      <c r="BD254" s="195"/>
      <c r="BE254" s="195"/>
      <c r="BF254" s="195"/>
      <c r="BG254" s="195"/>
      <c r="BH254" s="195"/>
    </row>
    <row r="255" spans="1:60" x14ac:dyDescent="0.55000000000000004">
      <c r="A255" s="195"/>
      <c r="B255" s="195"/>
      <c r="C255" s="195"/>
      <c r="D255" s="195"/>
      <c r="E255" s="195"/>
      <c r="G255" s="195"/>
      <c r="H255" s="195"/>
      <c r="I255" s="195"/>
      <c r="J255" s="195"/>
      <c r="K255" s="195"/>
      <c r="L255" s="195"/>
      <c r="M255" s="195"/>
      <c r="N255" s="195"/>
      <c r="O255" s="195"/>
      <c r="P255" s="195"/>
      <c r="Q255" s="195"/>
      <c r="R255" s="195"/>
      <c r="S255" s="195"/>
      <c r="T255" s="195"/>
      <c r="U255" s="195"/>
      <c r="V255" s="195"/>
      <c r="W255" s="195"/>
      <c r="X255" s="195"/>
      <c r="Y255" s="195"/>
      <c r="Z255" s="195"/>
      <c r="AA255" s="195"/>
      <c r="AB255" s="195"/>
      <c r="AC255" s="195"/>
      <c r="AD255" s="195"/>
      <c r="AE255" s="195"/>
      <c r="AF255" s="195"/>
      <c r="AG255" s="195"/>
      <c r="AH255" s="195"/>
      <c r="AI255" s="195"/>
      <c r="AJ255" s="195"/>
      <c r="AK255" s="195"/>
      <c r="AL255" s="195"/>
      <c r="AM255" s="195"/>
      <c r="AN255" s="195"/>
      <c r="AO255" s="195"/>
      <c r="AP255" s="195"/>
      <c r="AQ255" s="195"/>
      <c r="AR255" s="195"/>
      <c r="AS255" s="195"/>
      <c r="AT255" s="195"/>
      <c r="AU255" s="195"/>
      <c r="AV255" s="195"/>
      <c r="AW255" s="195"/>
      <c r="AX255" s="195"/>
      <c r="AY255" s="195"/>
      <c r="AZ255" s="195"/>
      <c r="BA255" s="195"/>
      <c r="BB255" s="195"/>
      <c r="BC255" s="195"/>
      <c r="BD255" s="195"/>
      <c r="BE255" s="195"/>
      <c r="BF255" s="195"/>
      <c r="BG255" s="195"/>
      <c r="BH255" s="195"/>
    </row>
    <row r="256" spans="1:60" x14ac:dyDescent="0.55000000000000004">
      <c r="A256" s="195"/>
      <c r="B256" s="195"/>
      <c r="C256" s="195"/>
      <c r="D256" s="195"/>
      <c r="E256" s="195"/>
      <c r="G256" s="195"/>
      <c r="H256" s="195"/>
      <c r="I256" s="195"/>
      <c r="J256" s="195"/>
      <c r="K256" s="195"/>
      <c r="L256" s="195"/>
      <c r="M256" s="195"/>
      <c r="N256" s="195"/>
      <c r="O256" s="195"/>
      <c r="P256" s="195"/>
      <c r="Q256" s="195"/>
      <c r="R256" s="195"/>
      <c r="S256" s="195"/>
      <c r="T256" s="195"/>
      <c r="U256" s="195"/>
      <c r="V256" s="195"/>
      <c r="W256" s="195"/>
      <c r="X256" s="195"/>
      <c r="Y256" s="195"/>
      <c r="Z256" s="195"/>
      <c r="AA256" s="195"/>
      <c r="AB256" s="195"/>
      <c r="AC256" s="195"/>
      <c r="AD256" s="195"/>
      <c r="AE256" s="195"/>
      <c r="AF256" s="195"/>
      <c r="AG256" s="195"/>
      <c r="AH256" s="195"/>
      <c r="AI256" s="195"/>
      <c r="AJ256" s="195"/>
      <c r="AK256" s="195"/>
      <c r="AL256" s="195"/>
      <c r="AM256" s="195"/>
      <c r="AN256" s="195"/>
      <c r="AO256" s="195"/>
      <c r="AP256" s="195"/>
      <c r="AQ256" s="195"/>
      <c r="AR256" s="195"/>
      <c r="AS256" s="195"/>
      <c r="AT256" s="195"/>
      <c r="AU256" s="195"/>
      <c r="AV256" s="195"/>
      <c r="AW256" s="195"/>
      <c r="AX256" s="195"/>
      <c r="AY256" s="195"/>
      <c r="AZ256" s="195"/>
      <c r="BA256" s="195"/>
      <c r="BB256" s="195"/>
      <c r="BC256" s="195"/>
      <c r="BD256" s="195"/>
      <c r="BE256" s="195"/>
      <c r="BF256" s="195"/>
      <c r="BG256" s="195"/>
      <c r="BH256" s="195"/>
    </row>
    <row r="257" spans="1:60" x14ac:dyDescent="0.55000000000000004">
      <c r="A257" s="195"/>
      <c r="B257" s="195"/>
      <c r="C257" s="195"/>
      <c r="D257" s="195"/>
      <c r="E257" s="195"/>
      <c r="G257" s="195"/>
      <c r="H257" s="195"/>
      <c r="I257" s="195"/>
      <c r="J257" s="195"/>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c r="AV257" s="195"/>
      <c r="AW257" s="195"/>
      <c r="AX257" s="195"/>
      <c r="AY257" s="195"/>
      <c r="AZ257" s="195"/>
      <c r="BA257" s="195"/>
      <c r="BB257" s="195"/>
      <c r="BC257" s="195"/>
      <c r="BD257" s="195"/>
      <c r="BE257" s="195"/>
      <c r="BF257" s="195"/>
      <c r="BG257" s="195"/>
      <c r="BH257" s="195"/>
    </row>
    <row r="258" spans="1:60" x14ac:dyDescent="0.55000000000000004">
      <c r="A258" s="195"/>
      <c r="B258" s="195"/>
      <c r="C258" s="195"/>
      <c r="D258" s="195"/>
      <c r="E258" s="195"/>
      <c r="G258" s="195"/>
      <c r="H258" s="195"/>
      <c r="I258" s="195"/>
      <c r="J258" s="195"/>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c r="AV258" s="195"/>
      <c r="AW258" s="195"/>
      <c r="AX258" s="195"/>
      <c r="AY258" s="195"/>
      <c r="AZ258" s="195"/>
      <c r="BA258" s="195"/>
      <c r="BB258" s="195"/>
      <c r="BC258" s="195"/>
      <c r="BD258" s="195"/>
      <c r="BE258" s="195"/>
      <c r="BF258" s="195"/>
      <c r="BG258" s="195"/>
      <c r="BH258" s="195"/>
    </row>
    <row r="259" spans="1:60" x14ac:dyDescent="0.55000000000000004">
      <c r="A259" s="195"/>
      <c r="B259" s="195"/>
      <c r="C259" s="195"/>
      <c r="D259" s="195"/>
      <c r="E259" s="195"/>
      <c r="G259" s="195"/>
      <c r="H259" s="195"/>
      <c r="I259" s="195"/>
      <c r="J259" s="195"/>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c r="AV259" s="195"/>
      <c r="AW259" s="195"/>
      <c r="AX259" s="195"/>
      <c r="AY259" s="195"/>
      <c r="AZ259" s="195"/>
      <c r="BA259" s="195"/>
      <c r="BB259" s="195"/>
      <c r="BC259" s="195"/>
      <c r="BD259" s="195"/>
      <c r="BE259" s="195"/>
      <c r="BF259" s="195"/>
      <c r="BG259" s="195"/>
      <c r="BH259" s="195"/>
    </row>
    <row r="260" spans="1:60" x14ac:dyDescent="0.55000000000000004">
      <c r="A260" s="195"/>
      <c r="B260" s="195"/>
      <c r="C260" s="195"/>
      <c r="D260" s="195"/>
      <c r="E260" s="195"/>
      <c r="G260" s="195"/>
      <c r="H260" s="195"/>
      <c r="I260" s="195"/>
      <c r="J260" s="195"/>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c r="AV260" s="195"/>
      <c r="AW260" s="195"/>
      <c r="AX260" s="195"/>
      <c r="AY260" s="195"/>
      <c r="AZ260" s="195"/>
      <c r="BA260" s="195"/>
      <c r="BB260" s="195"/>
      <c r="BC260" s="195"/>
      <c r="BD260" s="195"/>
      <c r="BE260" s="195"/>
      <c r="BF260" s="195"/>
      <c r="BG260" s="195"/>
      <c r="BH260" s="195"/>
    </row>
    <row r="261" spans="1:60" x14ac:dyDescent="0.55000000000000004">
      <c r="A261" s="195"/>
      <c r="B261" s="195"/>
      <c r="C261" s="195"/>
      <c r="D261" s="195"/>
      <c r="E261" s="195"/>
      <c r="G261" s="195"/>
      <c r="H261" s="195"/>
      <c r="I261" s="195"/>
      <c r="J261" s="195"/>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c r="AV261" s="195"/>
      <c r="AW261" s="195"/>
      <c r="AX261" s="195"/>
      <c r="AY261" s="195"/>
      <c r="AZ261" s="195"/>
      <c r="BA261" s="195"/>
      <c r="BB261" s="195"/>
      <c r="BC261" s="195"/>
      <c r="BD261" s="195"/>
      <c r="BE261" s="195"/>
      <c r="BF261" s="195"/>
      <c r="BG261" s="195"/>
      <c r="BH261" s="195"/>
    </row>
    <row r="262" spans="1:60" x14ac:dyDescent="0.55000000000000004">
      <c r="A262" s="195"/>
      <c r="B262" s="195"/>
      <c r="C262" s="195"/>
      <c r="D262" s="195"/>
      <c r="E262" s="195"/>
      <c r="G262" s="195"/>
      <c r="H262" s="195"/>
      <c r="I262" s="195"/>
      <c r="J262" s="195"/>
      <c r="K262" s="195"/>
      <c r="L262" s="195"/>
      <c r="M262" s="195"/>
      <c r="N262" s="195"/>
      <c r="O262" s="195"/>
      <c r="P262" s="195"/>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c r="AV262" s="195"/>
      <c r="AW262" s="195"/>
      <c r="AX262" s="195"/>
      <c r="AY262" s="195"/>
      <c r="AZ262" s="195"/>
      <c r="BA262" s="195"/>
      <c r="BB262" s="195"/>
      <c r="BC262" s="195"/>
      <c r="BD262" s="195"/>
      <c r="BE262" s="195"/>
      <c r="BF262" s="195"/>
      <c r="BG262" s="195"/>
      <c r="BH262" s="195"/>
    </row>
    <row r="263" spans="1:60" x14ac:dyDescent="0.55000000000000004">
      <c r="A263" s="195"/>
      <c r="B263" s="195"/>
      <c r="C263" s="195"/>
      <c r="D263" s="195"/>
      <c r="E263" s="195"/>
      <c r="G263" s="195"/>
      <c r="H263" s="195"/>
      <c r="I263" s="195"/>
      <c r="J263" s="195"/>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c r="AV263" s="195"/>
      <c r="AW263" s="195"/>
      <c r="AX263" s="195"/>
      <c r="AY263" s="195"/>
      <c r="AZ263" s="195"/>
      <c r="BA263" s="195"/>
      <c r="BB263" s="195"/>
      <c r="BC263" s="195"/>
      <c r="BD263" s="195"/>
      <c r="BE263" s="195"/>
      <c r="BF263" s="195"/>
      <c r="BG263" s="195"/>
      <c r="BH263" s="195"/>
    </row>
    <row r="264" spans="1:60" x14ac:dyDescent="0.55000000000000004">
      <c r="A264" s="195"/>
      <c r="B264" s="195"/>
      <c r="C264" s="195"/>
      <c r="D264" s="195"/>
      <c r="E264" s="195"/>
      <c r="G264" s="195"/>
      <c r="H264" s="195"/>
      <c r="I264" s="195"/>
      <c r="J264" s="195"/>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c r="AV264" s="195"/>
      <c r="AW264" s="195"/>
      <c r="AX264" s="195"/>
      <c r="AY264" s="195"/>
      <c r="AZ264" s="195"/>
      <c r="BA264" s="195"/>
      <c r="BB264" s="195"/>
      <c r="BC264" s="195"/>
      <c r="BD264" s="195"/>
      <c r="BE264" s="195"/>
      <c r="BF264" s="195"/>
      <c r="BG264" s="195"/>
      <c r="BH264" s="195"/>
    </row>
    <row r="265" spans="1:60" x14ac:dyDescent="0.55000000000000004">
      <c r="A265" s="195"/>
      <c r="B265" s="195"/>
      <c r="C265" s="195"/>
      <c r="D265" s="195"/>
      <c r="E265" s="195"/>
      <c r="G265" s="195"/>
      <c r="H265" s="195"/>
      <c r="I265" s="195"/>
      <c r="J265" s="195"/>
      <c r="K265" s="195"/>
      <c r="L265" s="195"/>
      <c r="M265" s="195"/>
      <c r="N265" s="195"/>
      <c r="O265" s="195"/>
      <c r="P265" s="195"/>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c r="AV265" s="195"/>
      <c r="AW265" s="195"/>
      <c r="AX265" s="195"/>
      <c r="AY265" s="195"/>
      <c r="AZ265" s="195"/>
      <c r="BA265" s="195"/>
      <c r="BB265" s="195"/>
      <c r="BC265" s="195"/>
      <c r="BD265" s="195"/>
      <c r="BE265" s="195"/>
      <c r="BF265" s="195"/>
      <c r="BG265" s="195"/>
      <c r="BH265" s="195"/>
    </row>
    <row r="266" spans="1:60" x14ac:dyDescent="0.55000000000000004">
      <c r="A266" s="195"/>
      <c r="B266" s="195"/>
      <c r="C266" s="195"/>
      <c r="D266" s="195"/>
      <c r="E266" s="195"/>
      <c r="G266" s="195"/>
      <c r="H266" s="195"/>
      <c r="I266" s="195"/>
      <c r="J266" s="195"/>
      <c r="K266" s="195"/>
      <c r="L266" s="195"/>
      <c r="M266" s="195"/>
      <c r="N266" s="195"/>
      <c r="O266" s="195"/>
      <c r="P266" s="195"/>
      <c r="Q266" s="195"/>
      <c r="R266" s="195"/>
      <c r="S266" s="195"/>
      <c r="T266" s="195"/>
      <c r="U266" s="195"/>
      <c r="V266" s="195"/>
      <c r="W266" s="195"/>
      <c r="X266" s="195"/>
      <c r="Y266" s="195"/>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c r="AU266" s="195"/>
      <c r="AV266" s="195"/>
      <c r="AW266" s="195"/>
      <c r="AX266" s="195"/>
      <c r="AY266" s="195"/>
      <c r="AZ266" s="195"/>
      <c r="BA266" s="195"/>
      <c r="BB266" s="195"/>
      <c r="BC266" s="195"/>
      <c r="BD266" s="195"/>
      <c r="BE266" s="195"/>
      <c r="BF266" s="195"/>
      <c r="BG266" s="195"/>
      <c r="BH266" s="195"/>
    </row>
    <row r="267" spans="1:60" x14ac:dyDescent="0.55000000000000004">
      <c r="A267" s="195"/>
      <c r="B267" s="195"/>
      <c r="C267" s="195"/>
      <c r="D267" s="195"/>
      <c r="E267" s="195"/>
      <c r="G267" s="195"/>
      <c r="H267" s="195"/>
      <c r="I267" s="195"/>
      <c r="J267" s="195"/>
      <c r="K267" s="195"/>
      <c r="L267" s="195"/>
      <c r="M267" s="195"/>
      <c r="N267" s="195"/>
      <c r="O267" s="195"/>
      <c r="P267" s="195"/>
      <c r="Q267" s="195"/>
      <c r="R267" s="195"/>
      <c r="S267" s="195"/>
      <c r="T267" s="195"/>
      <c r="U267" s="195"/>
      <c r="V267" s="195"/>
      <c r="W267" s="195"/>
      <c r="X267" s="195"/>
      <c r="Y267" s="195"/>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c r="AU267" s="195"/>
      <c r="AV267" s="195"/>
      <c r="AW267" s="195"/>
      <c r="AX267" s="195"/>
      <c r="AY267" s="195"/>
      <c r="AZ267" s="195"/>
      <c r="BA267" s="195"/>
      <c r="BB267" s="195"/>
      <c r="BC267" s="195"/>
      <c r="BD267" s="195"/>
      <c r="BE267" s="195"/>
      <c r="BF267" s="195"/>
      <c r="BG267" s="195"/>
      <c r="BH267" s="195"/>
    </row>
    <row r="268" spans="1:60" x14ac:dyDescent="0.55000000000000004">
      <c r="A268" s="195"/>
      <c r="B268" s="195"/>
      <c r="C268" s="195"/>
      <c r="D268" s="195"/>
      <c r="E268" s="195"/>
      <c r="G268" s="195"/>
      <c r="H268" s="195"/>
      <c r="I268" s="195"/>
      <c r="J268" s="195"/>
      <c r="K268" s="195"/>
      <c r="L268" s="195"/>
      <c r="M268" s="195"/>
      <c r="N268" s="195"/>
      <c r="O268" s="195"/>
      <c r="P268" s="195"/>
      <c r="Q268" s="195"/>
      <c r="R268" s="195"/>
      <c r="S268" s="195"/>
      <c r="T268" s="195"/>
      <c r="U268" s="195"/>
      <c r="V268" s="195"/>
      <c r="W268" s="195"/>
      <c r="X268" s="195"/>
      <c r="Y268" s="195"/>
      <c r="Z268" s="195"/>
      <c r="AA268" s="195"/>
      <c r="AB268" s="195"/>
      <c r="AC268" s="195"/>
      <c r="AD268" s="195"/>
      <c r="AE268" s="195"/>
      <c r="AF268" s="195"/>
      <c r="AG268" s="195"/>
      <c r="AH268" s="195"/>
      <c r="AI268" s="195"/>
      <c r="AJ268" s="195"/>
      <c r="AK268" s="195"/>
      <c r="AL268" s="195"/>
      <c r="AM268" s="195"/>
      <c r="AN268" s="195"/>
      <c r="AO268" s="195"/>
      <c r="AP268" s="195"/>
      <c r="AQ268" s="195"/>
      <c r="AR268" s="195"/>
      <c r="AS268" s="195"/>
      <c r="AT268" s="195"/>
      <c r="AU268" s="195"/>
      <c r="AV268" s="195"/>
      <c r="AW268" s="195"/>
      <c r="AX268" s="195"/>
      <c r="AY268" s="195"/>
      <c r="AZ268" s="195"/>
      <c r="BA268" s="195"/>
      <c r="BB268" s="195"/>
      <c r="BC268" s="195"/>
      <c r="BD268" s="195"/>
      <c r="BE268" s="195"/>
      <c r="BF268" s="195"/>
      <c r="BG268" s="195"/>
      <c r="BH268" s="195"/>
    </row>
    <row r="269" spans="1:60" x14ac:dyDescent="0.55000000000000004">
      <c r="A269" s="195"/>
      <c r="B269" s="195"/>
      <c r="C269" s="195"/>
      <c r="D269" s="195"/>
      <c r="E269" s="195"/>
      <c r="G269" s="195"/>
      <c r="H269" s="195"/>
      <c r="I269" s="195"/>
      <c r="J269" s="195"/>
      <c r="K269" s="195"/>
      <c r="L269" s="195"/>
      <c r="M269" s="195"/>
      <c r="N269" s="195"/>
      <c r="O269" s="195"/>
      <c r="P269" s="195"/>
      <c r="Q269" s="195"/>
      <c r="R269" s="195"/>
      <c r="S269" s="195"/>
      <c r="T269" s="195"/>
      <c r="U269" s="195"/>
      <c r="V269" s="195"/>
      <c r="W269" s="195"/>
      <c r="X269" s="195"/>
      <c r="Y269" s="195"/>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c r="AU269" s="195"/>
      <c r="AV269" s="195"/>
      <c r="AW269" s="195"/>
      <c r="AX269" s="195"/>
      <c r="AY269" s="195"/>
      <c r="AZ269" s="195"/>
      <c r="BA269" s="195"/>
      <c r="BB269" s="195"/>
      <c r="BC269" s="195"/>
      <c r="BD269" s="195"/>
      <c r="BE269" s="195"/>
      <c r="BF269" s="195"/>
      <c r="BG269" s="195"/>
      <c r="BH269" s="195"/>
    </row>
    <row r="270" spans="1:60" x14ac:dyDescent="0.55000000000000004">
      <c r="A270" s="195"/>
      <c r="B270" s="195"/>
      <c r="C270" s="195"/>
      <c r="D270" s="195"/>
      <c r="E270" s="195"/>
      <c r="G270" s="195"/>
      <c r="H270" s="195"/>
      <c r="I270" s="195"/>
      <c r="J270" s="195"/>
      <c r="K270" s="195"/>
      <c r="L270" s="195"/>
      <c r="M270" s="195"/>
      <c r="N270" s="195"/>
      <c r="O270" s="195"/>
      <c r="P270" s="195"/>
      <c r="Q270" s="195"/>
      <c r="R270" s="195"/>
      <c r="S270" s="195"/>
      <c r="T270" s="195"/>
      <c r="U270" s="195"/>
      <c r="V270" s="195"/>
      <c r="W270" s="195"/>
      <c r="X270" s="195"/>
      <c r="Y270" s="195"/>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c r="AU270" s="195"/>
      <c r="AV270" s="195"/>
      <c r="AW270" s="195"/>
      <c r="AX270" s="195"/>
      <c r="AY270" s="195"/>
      <c r="AZ270" s="195"/>
      <c r="BA270" s="195"/>
      <c r="BB270" s="195"/>
      <c r="BC270" s="195"/>
      <c r="BD270" s="195"/>
      <c r="BE270" s="195"/>
      <c r="BF270" s="195"/>
      <c r="BG270" s="195"/>
      <c r="BH270" s="195"/>
    </row>
    <row r="271" spans="1:60" x14ac:dyDescent="0.55000000000000004">
      <c r="A271" s="195"/>
      <c r="B271" s="195"/>
      <c r="C271" s="195"/>
      <c r="D271" s="195"/>
      <c r="E271" s="195"/>
      <c r="G271" s="195"/>
      <c r="H271" s="195"/>
      <c r="I271" s="195"/>
      <c r="J271" s="195"/>
      <c r="K271" s="195"/>
      <c r="L271" s="195"/>
      <c r="M271" s="195"/>
      <c r="N271" s="195"/>
      <c r="O271" s="195"/>
      <c r="P271" s="195"/>
      <c r="Q271" s="195"/>
      <c r="R271" s="195"/>
      <c r="S271" s="195"/>
      <c r="T271" s="195"/>
      <c r="U271" s="195"/>
      <c r="V271" s="195"/>
      <c r="W271" s="195"/>
      <c r="X271" s="195"/>
      <c r="Y271" s="195"/>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c r="AU271" s="195"/>
      <c r="AV271" s="195"/>
      <c r="AW271" s="195"/>
      <c r="AX271" s="195"/>
      <c r="AY271" s="195"/>
      <c r="AZ271" s="195"/>
      <c r="BA271" s="195"/>
      <c r="BB271" s="195"/>
      <c r="BC271" s="195"/>
      <c r="BD271" s="195"/>
      <c r="BE271" s="195"/>
      <c r="BF271" s="195"/>
      <c r="BG271" s="195"/>
      <c r="BH271" s="195"/>
    </row>
    <row r="272" spans="1:60" x14ac:dyDescent="0.55000000000000004">
      <c r="A272" s="195"/>
      <c r="B272" s="195"/>
      <c r="C272" s="195"/>
      <c r="D272" s="195"/>
      <c r="E272" s="195"/>
      <c r="G272" s="195"/>
      <c r="H272" s="195"/>
      <c r="I272" s="195"/>
      <c r="J272" s="195"/>
      <c r="K272" s="195"/>
      <c r="L272" s="195"/>
      <c r="M272" s="195"/>
      <c r="N272" s="195"/>
      <c r="O272" s="195"/>
      <c r="P272" s="195"/>
      <c r="Q272" s="195"/>
      <c r="R272" s="195"/>
      <c r="S272" s="195"/>
      <c r="T272" s="195"/>
      <c r="U272" s="195"/>
      <c r="V272" s="195"/>
      <c r="W272" s="195"/>
      <c r="X272" s="195"/>
      <c r="Y272" s="195"/>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c r="AU272" s="195"/>
      <c r="AV272" s="195"/>
      <c r="AW272" s="195"/>
      <c r="AX272" s="195"/>
      <c r="AY272" s="195"/>
      <c r="AZ272" s="195"/>
      <c r="BA272" s="195"/>
      <c r="BB272" s="195"/>
      <c r="BC272" s="195"/>
      <c r="BD272" s="195"/>
      <c r="BE272" s="195"/>
      <c r="BF272" s="195"/>
      <c r="BG272" s="195"/>
      <c r="BH272" s="195"/>
    </row>
    <row r="273" spans="1:60" x14ac:dyDescent="0.55000000000000004">
      <c r="A273" s="195"/>
      <c r="B273" s="195"/>
      <c r="C273" s="195"/>
      <c r="D273" s="195"/>
      <c r="E273" s="195"/>
      <c r="G273" s="195"/>
      <c r="H273" s="195"/>
      <c r="I273" s="195"/>
      <c r="J273" s="195"/>
      <c r="K273" s="195"/>
      <c r="L273" s="195"/>
      <c r="M273" s="195"/>
      <c r="N273" s="195"/>
      <c r="O273" s="195"/>
      <c r="P273" s="195"/>
      <c r="Q273" s="195"/>
      <c r="R273" s="195"/>
      <c r="S273" s="195"/>
      <c r="T273" s="195"/>
      <c r="U273" s="195"/>
      <c r="V273" s="195"/>
      <c r="W273" s="195"/>
      <c r="X273" s="195"/>
      <c r="Y273" s="195"/>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c r="AU273" s="195"/>
      <c r="AV273" s="195"/>
      <c r="AW273" s="195"/>
      <c r="AX273" s="195"/>
      <c r="AY273" s="195"/>
      <c r="AZ273" s="195"/>
      <c r="BA273" s="195"/>
      <c r="BB273" s="195"/>
      <c r="BC273" s="195"/>
      <c r="BD273" s="195"/>
      <c r="BE273" s="195"/>
      <c r="BF273" s="195"/>
      <c r="BG273" s="195"/>
      <c r="BH273" s="195"/>
    </row>
    <row r="274" spans="1:60" x14ac:dyDescent="0.55000000000000004">
      <c r="A274" s="195"/>
      <c r="B274" s="195"/>
      <c r="C274" s="195"/>
      <c r="D274" s="195"/>
      <c r="E274" s="195"/>
      <c r="G274" s="195"/>
      <c r="H274" s="195"/>
      <c r="I274" s="195"/>
      <c r="J274" s="195"/>
      <c r="K274" s="195"/>
      <c r="L274" s="195"/>
      <c r="M274" s="195"/>
      <c r="N274" s="195"/>
      <c r="O274" s="195"/>
      <c r="P274" s="195"/>
      <c r="Q274" s="195"/>
      <c r="R274" s="195"/>
      <c r="S274" s="195"/>
      <c r="T274" s="195"/>
      <c r="U274" s="195"/>
      <c r="V274" s="195"/>
      <c r="W274" s="195"/>
      <c r="X274" s="195"/>
      <c r="Y274" s="195"/>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c r="AU274" s="195"/>
      <c r="AV274" s="195"/>
      <c r="AW274" s="195"/>
      <c r="AX274" s="195"/>
      <c r="AY274" s="195"/>
      <c r="AZ274" s="195"/>
      <c r="BA274" s="195"/>
      <c r="BB274" s="195"/>
      <c r="BC274" s="195"/>
      <c r="BD274" s="195"/>
      <c r="BE274" s="195"/>
      <c r="BF274" s="195"/>
      <c r="BG274" s="195"/>
      <c r="BH274" s="195"/>
    </row>
    <row r="275" spans="1:60" x14ac:dyDescent="0.55000000000000004">
      <c r="A275" s="195"/>
      <c r="B275" s="195"/>
      <c r="C275" s="195"/>
      <c r="D275" s="195"/>
      <c r="E275" s="195"/>
      <c r="G275" s="195"/>
      <c r="H275" s="195"/>
      <c r="I275" s="195"/>
      <c r="J275" s="195"/>
      <c r="K275" s="195"/>
      <c r="L275" s="195"/>
      <c r="M275" s="195"/>
      <c r="N275" s="195"/>
      <c r="O275" s="195"/>
      <c r="P275" s="195"/>
      <c r="Q275" s="195"/>
      <c r="R275" s="195"/>
      <c r="S275" s="195"/>
      <c r="T275" s="195"/>
      <c r="U275" s="195"/>
      <c r="V275" s="195"/>
      <c r="W275" s="195"/>
      <c r="X275" s="195"/>
      <c r="Y275" s="195"/>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c r="AU275" s="195"/>
      <c r="AV275" s="195"/>
      <c r="AW275" s="195"/>
      <c r="AX275" s="195"/>
      <c r="AY275" s="195"/>
      <c r="AZ275" s="195"/>
      <c r="BA275" s="195"/>
      <c r="BB275" s="195"/>
      <c r="BC275" s="195"/>
      <c r="BD275" s="195"/>
      <c r="BE275" s="195"/>
      <c r="BF275" s="195"/>
      <c r="BG275" s="195"/>
      <c r="BH275" s="195"/>
    </row>
    <row r="276" spans="1:60" x14ac:dyDescent="0.55000000000000004">
      <c r="A276" s="195"/>
      <c r="B276" s="195"/>
      <c r="C276" s="195"/>
      <c r="D276" s="195"/>
      <c r="E276" s="195"/>
      <c r="G276" s="195"/>
      <c r="H276" s="195"/>
      <c r="I276" s="195"/>
      <c r="J276" s="195"/>
      <c r="K276" s="195"/>
      <c r="L276" s="195"/>
      <c r="M276" s="195"/>
      <c r="N276" s="195"/>
      <c r="O276" s="195"/>
      <c r="P276" s="195"/>
      <c r="Q276" s="195"/>
      <c r="R276" s="195"/>
      <c r="S276" s="195"/>
      <c r="T276" s="195"/>
      <c r="U276" s="195"/>
      <c r="V276" s="195"/>
      <c r="W276" s="195"/>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5"/>
      <c r="AV276" s="195"/>
      <c r="AW276" s="195"/>
      <c r="AX276" s="195"/>
      <c r="AY276" s="195"/>
      <c r="AZ276" s="195"/>
      <c r="BA276" s="195"/>
      <c r="BB276" s="195"/>
      <c r="BC276" s="195"/>
      <c r="BD276" s="195"/>
      <c r="BE276" s="195"/>
      <c r="BF276" s="195"/>
      <c r="BG276" s="195"/>
      <c r="BH276" s="195"/>
    </row>
    <row r="277" spans="1:60" x14ac:dyDescent="0.55000000000000004">
      <c r="A277" s="195"/>
      <c r="B277" s="195"/>
      <c r="C277" s="195"/>
      <c r="D277" s="195"/>
      <c r="E277" s="195"/>
      <c r="G277" s="195"/>
      <c r="H277" s="195"/>
      <c r="I277" s="195"/>
      <c r="J277" s="195"/>
      <c r="K277" s="195"/>
      <c r="L277" s="195"/>
      <c r="M277" s="195"/>
      <c r="N277" s="195"/>
      <c r="O277" s="195"/>
      <c r="P277" s="195"/>
      <c r="Q277" s="195"/>
      <c r="R277" s="195"/>
      <c r="S277" s="195"/>
      <c r="T277" s="195"/>
      <c r="U277" s="195"/>
      <c r="V277" s="195"/>
      <c r="W277" s="195"/>
      <c r="X277" s="195"/>
      <c r="Y277" s="195"/>
      <c r="Z277" s="195"/>
      <c r="AA277" s="195"/>
      <c r="AB277" s="195"/>
      <c r="AC277" s="195"/>
      <c r="AD277" s="195"/>
      <c r="AE277" s="195"/>
      <c r="AF277" s="195"/>
      <c r="AG277" s="195"/>
      <c r="AH277" s="195"/>
      <c r="AI277" s="195"/>
      <c r="AJ277" s="195"/>
      <c r="AK277" s="195"/>
      <c r="AL277" s="195"/>
      <c r="AM277" s="195"/>
      <c r="AN277" s="195"/>
      <c r="AO277" s="195"/>
      <c r="AP277" s="195"/>
      <c r="AQ277" s="195"/>
      <c r="AR277" s="195"/>
      <c r="AS277" s="195"/>
      <c r="AT277" s="195"/>
      <c r="AU277" s="195"/>
      <c r="AV277" s="195"/>
      <c r="AW277" s="195"/>
      <c r="AX277" s="195"/>
      <c r="AY277" s="195"/>
      <c r="AZ277" s="195"/>
      <c r="BA277" s="195"/>
      <c r="BB277" s="195"/>
      <c r="BC277" s="195"/>
      <c r="BD277" s="195"/>
      <c r="BE277" s="195"/>
      <c r="BF277" s="195"/>
      <c r="BG277" s="195"/>
      <c r="BH277" s="195"/>
    </row>
    <row r="278" spans="1:60" x14ac:dyDescent="0.55000000000000004">
      <c r="A278" s="195"/>
      <c r="B278" s="195"/>
      <c r="C278" s="195"/>
      <c r="D278" s="195"/>
      <c r="E278" s="195"/>
      <c r="G278" s="195"/>
      <c r="H278" s="195"/>
      <c r="I278" s="195"/>
      <c r="J278" s="195"/>
      <c r="K278" s="195"/>
      <c r="L278" s="195"/>
      <c r="M278" s="195"/>
      <c r="N278" s="195"/>
      <c r="O278" s="195"/>
      <c r="P278" s="195"/>
      <c r="Q278" s="195"/>
      <c r="R278" s="195"/>
      <c r="S278" s="195"/>
      <c r="T278" s="195"/>
      <c r="U278" s="195"/>
      <c r="V278" s="195"/>
      <c r="W278" s="195"/>
      <c r="X278" s="195"/>
      <c r="Y278" s="195"/>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c r="AU278" s="195"/>
      <c r="AV278" s="195"/>
      <c r="AW278" s="195"/>
      <c r="AX278" s="195"/>
      <c r="AY278" s="195"/>
      <c r="AZ278" s="195"/>
      <c r="BA278" s="195"/>
      <c r="BB278" s="195"/>
      <c r="BC278" s="195"/>
      <c r="BD278" s="195"/>
      <c r="BE278" s="195"/>
      <c r="BF278" s="195"/>
      <c r="BG278" s="195"/>
      <c r="BH278" s="195"/>
    </row>
    <row r="279" spans="1:60" x14ac:dyDescent="0.55000000000000004">
      <c r="A279" s="195"/>
      <c r="B279" s="195"/>
      <c r="C279" s="195"/>
      <c r="D279" s="195"/>
      <c r="E279" s="195"/>
      <c r="G279" s="195"/>
      <c r="H279" s="195"/>
      <c r="I279" s="195"/>
      <c r="J279" s="195"/>
      <c r="K279" s="195"/>
      <c r="L279" s="195"/>
      <c r="M279" s="195"/>
      <c r="N279" s="195"/>
      <c r="O279" s="195"/>
      <c r="P279" s="195"/>
      <c r="Q279" s="195"/>
      <c r="R279" s="195"/>
      <c r="S279" s="195"/>
      <c r="T279" s="195"/>
      <c r="U279" s="195"/>
      <c r="V279" s="195"/>
      <c r="W279" s="195"/>
      <c r="X279" s="195"/>
      <c r="Y279" s="195"/>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c r="AU279" s="195"/>
      <c r="AV279" s="195"/>
      <c r="AW279" s="195"/>
      <c r="AX279" s="195"/>
      <c r="AY279" s="195"/>
      <c r="AZ279" s="195"/>
      <c r="BA279" s="195"/>
      <c r="BB279" s="195"/>
      <c r="BC279" s="195"/>
      <c r="BD279" s="195"/>
      <c r="BE279" s="195"/>
      <c r="BF279" s="195"/>
      <c r="BG279" s="195"/>
      <c r="BH279" s="195"/>
    </row>
    <row r="280" spans="1:60" x14ac:dyDescent="0.55000000000000004">
      <c r="A280" s="195"/>
      <c r="B280" s="195"/>
      <c r="C280" s="195"/>
      <c r="D280" s="195"/>
      <c r="E280" s="195"/>
      <c r="G280" s="195"/>
      <c r="H280" s="195"/>
      <c r="I280" s="195"/>
      <c r="J280" s="195"/>
      <c r="K280" s="195"/>
      <c r="L280" s="195"/>
      <c r="M280" s="195"/>
      <c r="N280" s="195"/>
      <c r="O280" s="195"/>
      <c r="P280" s="195"/>
      <c r="Q280" s="195"/>
      <c r="R280" s="195"/>
      <c r="S280" s="195"/>
      <c r="T280" s="195"/>
      <c r="U280" s="195"/>
      <c r="V280" s="195"/>
      <c r="W280" s="195"/>
      <c r="X280" s="195"/>
      <c r="Y280" s="195"/>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c r="AU280" s="195"/>
      <c r="AV280" s="195"/>
      <c r="AW280" s="195"/>
      <c r="AX280" s="195"/>
      <c r="AY280" s="195"/>
      <c r="AZ280" s="195"/>
      <c r="BA280" s="195"/>
      <c r="BB280" s="195"/>
      <c r="BC280" s="195"/>
      <c r="BD280" s="195"/>
      <c r="BE280" s="195"/>
      <c r="BF280" s="195"/>
      <c r="BG280" s="195"/>
      <c r="BH280" s="195"/>
    </row>
    <row r="281" spans="1:60" x14ac:dyDescent="0.55000000000000004">
      <c r="A281" s="195"/>
      <c r="B281" s="195"/>
      <c r="C281" s="195"/>
      <c r="D281" s="195"/>
      <c r="E281" s="195"/>
      <c r="G281" s="195"/>
      <c r="H281" s="195"/>
      <c r="I281" s="195"/>
      <c r="J281" s="195"/>
      <c r="K281" s="195"/>
      <c r="L281" s="195"/>
      <c r="M281" s="195"/>
      <c r="N281" s="195"/>
      <c r="O281" s="195"/>
      <c r="P281" s="195"/>
      <c r="Q281" s="195"/>
      <c r="R281" s="195"/>
      <c r="S281" s="195"/>
      <c r="T281" s="195"/>
      <c r="U281" s="195"/>
      <c r="V281" s="195"/>
      <c r="W281" s="195"/>
      <c r="X281" s="195"/>
      <c r="Y281" s="195"/>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c r="AU281" s="195"/>
      <c r="AV281" s="195"/>
      <c r="AW281" s="195"/>
      <c r="AX281" s="195"/>
      <c r="AY281" s="195"/>
      <c r="AZ281" s="195"/>
      <c r="BA281" s="195"/>
      <c r="BB281" s="195"/>
      <c r="BC281" s="195"/>
      <c r="BD281" s="195"/>
      <c r="BE281" s="195"/>
      <c r="BF281" s="195"/>
      <c r="BG281" s="195"/>
      <c r="BH281" s="195"/>
    </row>
    <row r="282" spans="1:60" x14ac:dyDescent="0.55000000000000004">
      <c r="A282" s="195"/>
      <c r="B282" s="195"/>
      <c r="C282" s="195"/>
      <c r="D282" s="195"/>
      <c r="E282" s="195"/>
      <c r="G282" s="195"/>
      <c r="H282" s="195"/>
      <c r="I282" s="195"/>
      <c r="J282" s="195"/>
      <c r="K282" s="195"/>
      <c r="L282" s="195"/>
      <c r="M282" s="195"/>
      <c r="N282" s="195"/>
      <c r="O282" s="195"/>
      <c r="P282" s="195"/>
      <c r="Q282" s="195"/>
      <c r="R282" s="195"/>
      <c r="S282" s="195"/>
      <c r="T282" s="195"/>
      <c r="U282" s="195"/>
      <c r="V282" s="195"/>
      <c r="W282" s="195"/>
      <c r="X282" s="195"/>
      <c r="Y282" s="195"/>
      <c r="Z282" s="195"/>
      <c r="AA282" s="195"/>
      <c r="AB282" s="195"/>
      <c r="AC282" s="195"/>
      <c r="AD282" s="195"/>
      <c r="AE282" s="195"/>
      <c r="AF282" s="195"/>
      <c r="AG282" s="195"/>
      <c r="AH282" s="195"/>
      <c r="AI282" s="195"/>
      <c r="AJ282" s="195"/>
      <c r="AK282" s="195"/>
      <c r="AL282" s="195"/>
      <c r="AM282" s="195"/>
      <c r="AN282" s="195"/>
      <c r="AO282" s="195"/>
      <c r="AP282" s="195"/>
      <c r="AQ282" s="195"/>
      <c r="AR282" s="195"/>
      <c r="AS282" s="195"/>
      <c r="AT282" s="195"/>
      <c r="AU282" s="195"/>
      <c r="AV282" s="195"/>
      <c r="AW282" s="195"/>
      <c r="AX282" s="195"/>
      <c r="AY282" s="195"/>
      <c r="AZ282" s="195"/>
      <c r="BA282" s="195"/>
      <c r="BB282" s="195"/>
      <c r="BC282" s="195"/>
      <c r="BD282" s="195"/>
      <c r="BE282" s="195"/>
      <c r="BF282" s="195"/>
      <c r="BG282" s="195"/>
      <c r="BH282" s="195"/>
    </row>
    <row r="283" spans="1:60" x14ac:dyDescent="0.55000000000000004">
      <c r="A283" s="195"/>
      <c r="B283" s="195"/>
      <c r="C283" s="195"/>
      <c r="D283" s="195"/>
      <c r="E283" s="195"/>
      <c r="G283" s="195"/>
      <c r="H283" s="195"/>
      <c r="I283" s="195"/>
      <c r="J283" s="195"/>
      <c r="K283" s="195"/>
      <c r="L283" s="195"/>
      <c r="M283" s="195"/>
      <c r="N283" s="195"/>
      <c r="O283" s="195"/>
      <c r="P283" s="195"/>
      <c r="Q283" s="195"/>
      <c r="R283" s="195"/>
      <c r="S283" s="195"/>
      <c r="T283" s="195"/>
      <c r="U283" s="195"/>
      <c r="V283" s="195"/>
      <c r="W283" s="195"/>
      <c r="X283" s="195"/>
      <c r="Y283" s="195"/>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c r="AU283" s="195"/>
      <c r="AV283" s="195"/>
      <c r="AW283" s="195"/>
      <c r="AX283" s="195"/>
      <c r="AY283" s="195"/>
      <c r="AZ283" s="195"/>
      <c r="BA283" s="195"/>
      <c r="BB283" s="195"/>
      <c r="BC283" s="195"/>
      <c r="BD283" s="195"/>
      <c r="BE283" s="195"/>
      <c r="BF283" s="195"/>
      <c r="BG283" s="195"/>
      <c r="BH283" s="195"/>
    </row>
    <row r="284" spans="1:60" x14ac:dyDescent="0.55000000000000004">
      <c r="A284" s="195"/>
      <c r="B284" s="195"/>
      <c r="C284" s="195"/>
      <c r="D284" s="195"/>
      <c r="E284" s="195"/>
      <c r="G284" s="195"/>
      <c r="H284" s="195"/>
      <c r="I284" s="195"/>
      <c r="J284" s="195"/>
      <c r="K284" s="195"/>
      <c r="L284" s="195"/>
      <c r="M284" s="195"/>
      <c r="N284" s="195"/>
      <c r="O284" s="195"/>
      <c r="P284" s="195"/>
      <c r="Q284" s="195"/>
      <c r="R284" s="195"/>
      <c r="S284" s="195"/>
      <c r="T284" s="195"/>
      <c r="U284" s="195"/>
      <c r="V284" s="195"/>
      <c r="W284" s="195"/>
      <c r="X284" s="195"/>
      <c r="Y284" s="195"/>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c r="AU284" s="195"/>
      <c r="AV284" s="195"/>
      <c r="AW284" s="195"/>
      <c r="AX284" s="195"/>
      <c r="AY284" s="195"/>
      <c r="AZ284" s="195"/>
      <c r="BA284" s="195"/>
      <c r="BB284" s="195"/>
      <c r="BC284" s="195"/>
      <c r="BD284" s="195"/>
      <c r="BE284" s="195"/>
      <c r="BF284" s="195"/>
      <c r="BG284" s="195"/>
      <c r="BH284" s="195"/>
    </row>
    <row r="285" spans="1:60" x14ac:dyDescent="0.55000000000000004">
      <c r="A285" s="195"/>
      <c r="B285" s="195"/>
      <c r="C285" s="195"/>
      <c r="D285" s="195"/>
      <c r="E285" s="195"/>
      <c r="G285" s="195"/>
      <c r="H285" s="195"/>
      <c r="I285" s="195"/>
      <c r="J285" s="195"/>
      <c r="K285" s="195"/>
      <c r="L285" s="195"/>
      <c r="M285" s="195"/>
      <c r="N285" s="195"/>
      <c r="O285" s="195"/>
      <c r="P285" s="195"/>
      <c r="Q285" s="195"/>
      <c r="R285" s="195"/>
      <c r="S285" s="195"/>
      <c r="T285" s="195"/>
      <c r="U285" s="195"/>
      <c r="V285" s="195"/>
      <c r="W285" s="195"/>
      <c r="X285" s="195"/>
      <c r="Y285" s="195"/>
      <c r="Z285" s="195"/>
      <c r="AA285" s="195"/>
      <c r="AB285" s="195"/>
      <c r="AC285" s="195"/>
      <c r="AD285" s="195"/>
      <c r="AE285" s="195"/>
      <c r="AF285" s="195"/>
      <c r="AG285" s="195"/>
      <c r="AH285" s="195"/>
      <c r="AI285" s="195"/>
      <c r="AJ285" s="195"/>
      <c r="AK285" s="195"/>
      <c r="AL285" s="195"/>
      <c r="AM285" s="195"/>
      <c r="AN285" s="195"/>
      <c r="AO285" s="195"/>
      <c r="AP285" s="195"/>
      <c r="AQ285" s="195"/>
      <c r="AR285" s="195"/>
      <c r="AS285" s="195"/>
      <c r="AT285" s="195"/>
      <c r="AU285" s="195"/>
      <c r="AV285" s="195"/>
      <c r="AW285" s="195"/>
      <c r="AX285" s="195"/>
      <c r="AY285" s="195"/>
      <c r="AZ285" s="195"/>
      <c r="BA285" s="195"/>
      <c r="BB285" s="195"/>
      <c r="BC285" s="195"/>
      <c r="BD285" s="195"/>
      <c r="BE285" s="195"/>
      <c r="BF285" s="195"/>
      <c r="BG285" s="195"/>
      <c r="BH285" s="195"/>
    </row>
    <row r="286" spans="1:60" x14ac:dyDescent="0.55000000000000004">
      <c r="A286" s="195"/>
      <c r="B286" s="195"/>
      <c r="C286" s="195"/>
      <c r="D286" s="195"/>
      <c r="E286" s="195"/>
      <c r="G286" s="195"/>
      <c r="H286" s="195"/>
      <c r="I286" s="195"/>
      <c r="J286" s="195"/>
      <c r="K286" s="195"/>
      <c r="L286" s="195"/>
      <c r="M286" s="195"/>
      <c r="N286" s="195"/>
      <c r="O286" s="195"/>
      <c r="P286" s="195"/>
      <c r="Q286" s="195"/>
      <c r="R286" s="195"/>
      <c r="S286" s="195"/>
      <c r="T286" s="195"/>
      <c r="U286" s="195"/>
      <c r="V286" s="195"/>
      <c r="W286" s="195"/>
      <c r="X286" s="195"/>
      <c r="Y286" s="195"/>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c r="AU286" s="195"/>
      <c r="AV286" s="195"/>
      <c r="AW286" s="195"/>
      <c r="AX286" s="195"/>
      <c r="AY286" s="195"/>
      <c r="AZ286" s="195"/>
      <c r="BA286" s="195"/>
      <c r="BB286" s="195"/>
      <c r="BC286" s="195"/>
      <c r="BD286" s="195"/>
      <c r="BE286" s="195"/>
      <c r="BF286" s="195"/>
      <c r="BG286" s="195"/>
      <c r="BH286" s="195"/>
    </row>
    <row r="287" spans="1:60" x14ac:dyDescent="0.55000000000000004">
      <c r="A287" s="195"/>
      <c r="B287" s="195"/>
      <c r="C287" s="195"/>
      <c r="D287" s="195"/>
      <c r="E287" s="195"/>
      <c r="G287" s="195"/>
      <c r="H287" s="195"/>
      <c r="I287" s="195"/>
      <c r="J287" s="195"/>
      <c r="K287" s="195"/>
      <c r="L287" s="195"/>
      <c r="M287" s="195"/>
      <c r="N287" s="195"/>
      <c r="O287" s="195"/>
      <c r="P287" s="195"/>
      <c r="Q287" s="195"/>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c r="AU287" s="195"/>
      <c r="AV287" s="195"/>
      <c r="AW287" s="195"/>
      <c r="AX287" s="195"/>
      <c r="AY287" s="195"/>
      <c r="AZ287" s="195"/>
      <c r="BA287" s="195"/>
      <c r="BB287" s="195"/>
      <c r="BC287" s="195"/>
      <c r="BD287" s="195"/>
      <c r="BE287" s="195"/>
      <c r="BF287" s="195"/>
      <c r="BG287" s="195"/>
      <c r="BH287" s="195"/>
    </row>
    <row r="288" spans="1:60" x14ac:dyDescent="0.55000000000000004">
      <c r="A288" s="195"/>
      <c r="B288" s="195"/>
      <c r="C288" s="195"/>
      <c r="D288" s="195"/>
      <c r="E288" s="195"/>
      <c r="G288" s="195"/>
      <c r="H288" s="195"/>
      <c r="I288" s="195"/>
      <c r="J288" s="195"/>
      <c r="K288" s="195"/>
      <c r="L288" s="195"/>
      <c r="M288" s="195"/>
      <c r="N288" s="195"/>
      <c r="O288" s="195"/>
      <c r="P288" s="195"/>
      <c r="Q288" s="195"/>
      <c r="R288" s="195"/>
      <c r="S288" s="195"/>
      <c r="T288" s="195"/>
      <c r="U288" s="195"/>
      <c r="V288" s="195"/>
      <c r="W288" s="195"/>
      <c r="X288" s="195"/>
      <c r="Y288" s="195"/>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c r="AU288" s="195"/>
      <c r="AV288" s="195"/>
      <c r="AW288" s="195"/>
      <c r="AX288" s="195"/>
      <c r="AY288" s="195"/>
      <c r="AZ288" s="195"/>
      <c r="BA288" s="195"/>
      <c r="BB288" s="195"/>
      <c r="BC288" s="195"/>
      <c r="BD288" s="195"/>
      <c r="BE288" s="195"/>
      <c r="BF288" s="195"/>
      <c r="BG288" s="195"/>
      <c r="BH288" s="195"/>
    </row>
    <row r="289" spans="1:60" x14ac:dyDescent="0.55000000000000004">
      <c r="A289" s="195"/>
      <c r="B289" s="195"/>
      <c r="C289" s="195"/>
      <c r="D289" s="195"/>
      <c r="E289" s="195"/>
      <c r="G289" s="195"/>
      <c r="H289" s="195"/>
      <c r="I289" s="195"/>
      <c r="J289" s="195"/>
      <c r="K289" s="195"/>
      <c r="L289" s="195"/>
      <c r="M289" s="195"/>
      <c r="N289" s="195"/>
      <c r="O289" s="195"/>
      <c r="P289" s="195"/>
      <c r="Q289" s="195"/>
      <c r="R289" s="195"/>
      <c r="S289" s="195"/>
      <c r="T289" s="195"/>
      <c r="U289" s="195"/>
      <c r="V289" s="195"/>
      <c r="W289" s="195"/>
      <c r="X289" s="195"/>
      <c r="Y289" s="195"/>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c r="AU289" s="195"/>
      <c r="AV289" s="195"/>
      <c r="AW289" s="195"/>
      <c r="AX289" s="195"/>
      <c r="AY289" s="195"/>
      <c r="AZ289" s="195"/>
      <c r="BA289" s="195"/>
      <c r="BB289" s="195"/>
      <c r="BC289" s="195"/>
      <c r="BD289" s="195"/>
      <c r="BE289" s="195"/>
      <c r="BF289" s="195"/>
      <c r="BG289" s="195"/>
      <c r="BH289" s="195"/>
    </row>
    <row r="290" spans="1:60" x14ac:dyDescent="0.55000000000000004">
      <c r="A290" s="195"/>
      <c r="B290" s="195"/>
      <c r="C290" s="195"/>
      <c r="D290" s="195"/>
      <c r="E290" s="195"/>
      <c r="G290" s="195"/>
      <c r="H290" s="195"/>
      <c r="I290" s="195"/>
      <c r="J290" s="195"/>
      <c r="K290" s="195"/>
      <c r="L290" s="195"/>
      <c r="M290" s="195"/>
      <c r="N290" s="195"/>
      <c r="O290" s="195"/>
      <c r="P290" s="195"/>
      <c r="Q290" s="195"/>
      <c r="R290" s="195"/>
      <c r="S290" s="195"/>
      <c r="T290" s="195"/>
      <c r="U290" s="195"/>
      <c r="V290" s="195"/>
      <c r="W290" s="195"/>
      <c r="X290" s="195"/>
      <c r="Y290" s="195"/>
      <c r="Z290" s="195"/>
      <c r="AA290" s="195"/>
      <c r="AB290" s="195"/>
      <c r="AC290" s="195"/>
      <c r="AD290" s="195"/>
      <c r="AE290" s="195"/>
      <c r="AF290" s="195"/>
      <c r="AG290" s="195"/>
      <c r="AH290" s="195"/>
      <c r="AI290" s="195"/>
      <c r="AJ290" s="195"/>
      <c r="AK290" s="195"/>
      <c r="AL290" s="195"/>
      <c r="AM290" s="195"/>
      <c r="AN290" s="195"/>
      <c r="AO290" s="195"/>
      <c r="AP290" s="195"/>
      <c r="AQ290" s="195"/>
      <c r="AR290" s="195"/>
      <c r="AS290" s="195"/>
      <c r="AT290" s="195"/>
      <c r="AU290" s="195"/>
      <c r="AV290" s="195"/>
      <c r="AW290" s="195"/>
      <c r="AX290" s="195"/>
      <c r="AY290" s="195"/>
      <c r="AZ290" s="195"/>
      <c r="BA290" s="195"/>
      <c r="BB290" s="195"/>
      <c r="BC290" s="195"/>
      <c r="BD290" s="195"/>
      <c r="BE290" s="195"/>
      <c r="BF290" s="195"/>
      <c r="BG290" s="195"/>
      <c r="BH290" s="195"/>
    </row>
    <row r="291" spans="1:60" x14ac:dyDescent="0.55000000000000004">
      <c r="A291" s="195"/>
      <c r="B291" s="195"/>
      <c r="C291" s="195"/>
      <c r="D291" s="195"/>
      <c r="E291" s="195"/>
      <c r="G291" s="195"/>
      <c r="H291" s="195"/>
      <c r="I291" s="195"/>
      <c r="J291" s="195"/>
      <c r="K291" s="195"/>
      <c r="L291" s="195"/>
      <c r="M291" s="195"/>
      <c r="N291" s="195"/>
      <c r="O291" s="195"/>
      <c r="P291" s="195"/>
      <c r="Q291" s="195"/>
      <c r="R291" s="195"/>
      <c r="S291" s="195"/>
      <c r="T291" s="195"/>
      <c r="U291" s="195"/>
      <c r="V291" s="195"/>
      <c r="W291" s="195"/>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c r="AU291" s="195"/>
      <c r="AV291" s="195"/>
      <c r="AW291" s="195"/>
      <c r="AX291" s="195"/>
      <c r="AY291" s="195"/>
      <c r="AZ291" s="195"/>
      <c r="BA291" s="195"/>
      <c r="BB291" s="195"/>
      <c r="BC291" s="195"/>
      <c r="BD291" s="195"/>
      <c r="BE291" s="195"/>
      <c r="BF291" s="195"/>
      <c r="BG291" s="195"/>
      <c r="BH291" s="195"/>
    </row>
    <row r="292" spans="1:60" x14ac:dyDescent="0.55000000000000004">
      <c r="A292" s="195"/>
      <c r="B292" s="195"/>
      <c r="C292" s="195"/>
      <c r="D292" s="195"/>
      <c r="E292" s="195"/>
      <c r="G292" s="195"/>
      <c r="H292" s="195"/>
      <c r="I292" s="195"/>
      <c r="J292" s="195"/>
      <c r="K292" s="195"/>
      <c r="L292" s="195"/>
      <c r="M292" s="195"/>
      <c r="N292" s="195"/>
      <c r="O292" s="195"/>
      <c r="P292" s="195"/>
      <c r="Q292" s="195"/>
      <c r="R292" s="195"/>
      <c r="S292" s="195"/>
      <c r="T292" s="195"/>
      <c r="U292" s="195"/>
      <c r="V292" s="195"/>
      <c r="W292" s="195"/>
      <c r="X292" s="195"/>
      <c r="Y292" s="195"/>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c r="AU292" s="195"/>
      <c r="AV292" s="195"/>
      <c r="AW292" s="195"/>
      <c r="AX292" s="195"/>
      <c r="AY292" s="195"/>
      <c r="AZ292" s="195"/>
      <c r="BA292" s="195"/>
      <c r="BB292" s="195"/>
      <c r="BC292" s="195"/>
      <c r="BD292" s="195"/>
      <c r="BE292" s="195"/>
      <c r="BF292" s="195"/>
      <c r="BG292" s="195"/>
      <c r="BH292" s="195"/>
    </row>
    <row r="293" spans="1:60" x14ac:dyDescent="0.55000000000000004">
      <c r="A293" s="195"/>
      <c r="B293" s="195"/>
      <c r="C293" s="195"/>
      <c r="D293" s="195"/>
      <c r="E293" s="195"/>
      <c r="G293" s="195"/>
      <c r="H293" s="195"/>
      <c r="I293" s="195"/>
      <c r="J293" s="195"/>
      <c r="K293" s="195"/>
      <c r="L293" s="195"/>
      <c r="M293" s="195"/>
      <c r="N293" s="195"/>
      <c r="O293" s="195"/>
      <c r="P293" s="195"/>
      <c r="Q293" s="195"/>
      <c r="R293" s="195"/>
      <c r="S293" s="195"/>
      <c r="T293" s="195"/>
      <c r="U293" s="195"/>
      <c r="V293" s="195"/>
      <c r="W293" s="195"/>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c r="AU293" s="195"/>
      <c r="AV293" s="195"/>
      <c r="AW293" s="195"/>
      <c r="AX293" s="195"/>
      <c r="AY293" s="195"/>
      <c r="AZ293" s="195"/>
      <c r="BA293" s="195"/>
      <c r="BB293" s="195"/>
      <c r="BC293" s="195"/>
      <c r="BD293" s="195"/>
      <c r="BE293" s="195"/>
      <c r="BF293" s="195"/>
      <c r="BG293" s="195"/>
      <c r="BH293" s="195"/>
    </row>
    <row r="294" spans="1:60" x14ac:dyDescent="0.55000000000000004">
      <c r="A294" s="195"/>
      <c r="B294" s="195"/>
      <c r="C294" s="195"/>
      <c r="D294" s="195"/>
      <c r="E294" s="195"/>
      <c r="G294" s="195"/>
      <c r="H294" s="195"/>
      <c r="I294" s="195"/>
      <c r="J294" s="195"/>
      <c r="K294" s="195"/>
      <c r="L294" s="195"/>
      <c r="M294" s="195"/>
      <c r="N294" s="195"/>
      <c r="O294" s="195"/>
      <c r="P294" s="195"/>
      <c r="Q294" s="195"/>
      <c r="R294" s="195"/>
      <c r="S294" s="195"/>
      <c r="T294" s="195"/>
      <c r="U294" s="195"/>
      <c r="V294" s="195"/>
      <c r="W294" s="195"/>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5"/>
      <c r="AV294" s="195"/>
      <c r="AW294" s="195"/>
      <c r="AX294" s="195"/>
      <c r="AY294" s="195"/>
      <c r="AZ294" s="195"/>
      <c r="BA294" s="195"/>
      <c r="BB294" s="195"/>
      <c r="BC294" s="195"/>
      <c r="BD294" s="195"/>
      <c r="BE294" s="195"/>
      <c r="BF294" s="195"/>
      <c r="BG294" s="195"/>
      <c r="BH294" s="195"/>
    </row>
    <row r="295" spans="1:60" x14ac:dyDescent="0.55000000000000004">
      <c r="A295" s="195"/>
      <c r="B295" s="195"/>
      <c r="C295" s="195"/>
      <c r="D295" s="195"/>
      <c r="E295" s="195"/>
      <c r="G295" s="195"/>
      <c r="H295" s="195"/>
      <c r="I295" s="195"/>
      <c r="J295" s="195"/>
      <c r="K295" s="195"/>
      <c r="L295" s="195"/>
      <c r="M295" s="195"/>
      <c r="N295" s="195"/>
      <c r="O295" s="195"/>
      <c r="P295" s="195"/>
      <c r="Q295" s="195"/>
      <c r="R295" s="195"/>
      <c r="S295" s="195"/>
      <c r="T295" s="195"/>
      <c r="U295" s="195"/>
      <c r="V295" s="195"/>
      <c r="W295" s="195"/>
      <c r="X295" s="195"/>
      <c r="Y295" s="195"/>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c r="AU295" s="195"/>
      <c r="AV295" s="195"/>
      <c r="AW295" s="195"/>
      <c r="AX295" s="195"/>
      <c r="AY295" s="195"/>
      <c r="AZ295" s="195"/>
      <c r="BA295" s="195"/>
      <c r="BB295" s="195"/>
      <c r="BC295" s="195"/>
      <c r="BD295" s="195"/>
      <c r="BE295" s="195"/>
      <c r="BF295" s="195"/>
      <c r="BG295" s="195"/>
      <c r="BH295" s="195"/>
    </row>
    <row r="296" spans="1:60" x14ac:dyDescent="0.55000000000000004">
      <c r="A296" s="195"/>
      <c r="B296" s="195"/>
      <c r="C296" s="195"/>
      <c r="D296" s="195"/>
      <c r="E296" s="195"/>
      <c r="G296" s="195"/>
      <c r="H296" s="195"/>
      <c r="I296" s="195"/>
      <c r="J296" s="195"/>
      <c r="K296" s="195"/>
      <c r="L296" s="195"/>
      <c r="M296" s="195"/>
      <c r="N296" s="195"/>
      <c r="O296" s="195"/>
      <c r="P296" s="195"/>
      <c r="Q296" s="195"/>
      <c r="R296" s="195"/>
      <c r="S296" s="195"/>
      <c r="T296" s="195"/>
      <c r="U296" s="195"/>
      <c r="V296" s="195"/>
      <c r="W296" s="195"/>
      <c r="X296" s="195"/>
      <c r="Y296" s="195"/>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c r="AU296" s="195"/>
      <c r="AV296" s="195"/>
      <c r="AW296" s="195"/>
      <c r="AX296" s="195"/>
      <c r="AY296" s="195"/>
      <c r="AZ296" s="195"/>
      <c r="BA296" s="195"/>
      <c r="BB296" s="195"/>
      <c r="BC296" s="195"/>
      <c r="BD296" s="195"/>
      <c r="BE296" s="195"/>
      <c r="BF296" s="195"/>
      <c r="BG296" s="195"/>
      <c r="BH296" s="195"/>
    </row>
    <row r="297" spans="1:60" x14ac:dyDescent="0.55000000000000004">
      <c r="A297" s="195"/>
      <c r="B297" s="195"/>
      <c r="C297" s="195"/>
      <c r="D297" s="195"/>
      <c r="E297" s="195"/>
      <c r="G297" s="195"/>
      <c r="H297" s="195"/>
      <c r="I297" s="195"/>
      <c r="J297" s="195"/>
      <c r="K297" s="195"/>
      <c r="L297" s="195"/>
      <c r="M297" s="195"/>
      <c r="N297" s="195"/>
      <c r="O297" s="195"/>
      <c r="P297" s="195"/>
      <c r="Q297" s="195"/>
      <c r="R297" s="195"/>
      <c r="S297" s="195"/>
      <c r="T297" s="195"/>
      <c r="U297" s="195"/>
      <c r="V297" s="195"/>
      <c r="W297" s="195"/>
      <c r="X297" s="195"/>
      <c r="Y297" s="195"/>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c r="AU297" s="195"/>
      <c r="AV297" s="195"/>
      <c r="AW297" s="195"/>
      <c r="AX297" s="195"/>
      <c r="AY297" s="195"/>
      <c r="AZ297" s="195"/>
      <c r="BA297" s="195"/>
      <c r="BB297" s="195"/>
      <c r="BC297" s="195"/>
      <c r="BD297" s="195"/>
      <c r="BE297" s="195"/>
      <c r="BF297" s="195"/>
      <c r="BG297" s="195"/>
      <c r="BH297" s="195"/>
    </row>
    <row r="298" spans="1:60" x14ac:dyDescent="0.55000000000000004">
      <c r="A298" s="195"/>
      <c r="B298" s="195"/>
      <c r="C298" s="195"/>
      <c r="D298" s="195"/>
      <c r="E298" s="195"/>
      <c r="G298" s="195"/>
      <c r="H298" s="195"/>
      <c r="I298" s="195"/>
      <c r="J298" s="195"/>
      <c r="K298" s="195"/>
      <c r="L298" s="195"/>
      <c r="M298" s="195"/>
      <c r="N298" s="195"/>
      <c r="O298" s="195"/>
      <c r="P298" s="195"/>
      <c r="Q298" s="195"/>
      <c r="R298" s="195"/>
      <c r="S298" s="195"/>
      <c r="T298" s="195"/>
      <c r="U298" s="195"/>
      <c r="V298" s="195"/>
      <c r="W298" s="195"/>
      <c r="X298" s="195"/>
      <c r="Y298" s="195"/>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c r="AU298" s="195"/>
      <c r="AV298" s="195"/>
      <c r="AW298" s="195"/>
      <c r="AX298" s="195"/>
      <c r="AY298" s="195"/>
      <c r="AZ298" s="195"/>
      <c r="BA298" s="195"/>
      <c r="BB298" s="195"/>
      <c r="BC298" s="195"/>
      <c r="BD298" s="195"/>
      <c r="BE298" s="195"/>
      <c r="BF298" s="195"/>
      <c r="BG298" s="195"/>
      <c r="BH298" s="195"/>
    </row>
    <row r="299" spans="1:60" x14ac:dyDescent="0.55000000000000004">
      <c r="A299" s="195"/>
      <c r="B299" s="195"/>
      <c r="C299" s="195"/>
      <c r="D299" s="195"/>
      <c r="E299" s="195"/>
      <c r="G299" s="195"/>
      <c r="H299" s="195"/>
      <c r="I299" s="195"/>
      <c r="J299" s="195"/>
      <c r="K299" s="195"/>
      <c r="L299" s="195"/>
      <c r="M299" s="195"/>
      <c r="N299" s="195"/>
      <c r="O299" s="195"/>
      <c r="P299" s="195"/>
      <c r="Q299" s="195"/>
      <c r="R299" s="195"/>
      <c r="S299" s="195"/>
      <c r="T299" s="195"/>
      <c r="U299" s="195"/>
      <c r="V299" s="195"/>
      <c r="W299" s="195"/>
      <c r="X299" s="195"/>
      <c r="Y299" s="195"/>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c r="AU299" s="195"/>
      <c r="AV299" s="195"/>
      <c r="AW299" s="195"/>
      <c r="AX299" s="195"/>
      <c r="AY299" s="195"/>
      <c r="AZ299" s="195"/>
      <c r="BA299" s="195"/>
      <c r="BB299" s="195"/>
      <c r="BC299" s="195"/>
      <c r="BD299" s="195"/>
      <c r="BE299" s="195"/>
      <c r="BF299" s="195"/>
      <c r="BG299" s="195"/>
      <c r="BH299" s="195"/>
    </row>
    <row r="300" spans="1:60" x14ac:dyDescent="0.55000000000000004">
      <c r="A300" s="195"/>
      <c r="B300" s="195"/>
      <c r="C300" s="195"/>
      <c r="D300" s="195"/>
      <c r="E300" s="195"/>
      <c r="G300" s="195"/>
      <c r="H300" s="195"/>
      <c r="I300" s="195"/>
      <c r="J300" s="195"/>
      <c r="K300" s="195"/>
      <c r="L300" s="195"/>
      <c r="M300" s="195"/>
      <c r="N300" s="195"/>
      <c r="O300" s="195"/>
      <c r="P300" s="195"/>
      <c r="Q300" s="195"/>
      <c r="R300" s="195"/>
      <c r="S300" s="195"/>
      <c r="T300" s="195"/>
      <c r="U300" s="195"/>
      <c r="V300" s="195"/>
      <c r="W300" s="195"/>
      <c r="X300" s="195"/>
      <c r="Y300" s="195"/>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c r="AU300" s="195"/>
      <c r="AV300" s="195"/>
      <c r="AW300" s="195"/>
      <c r="AX300" s="195"/>
      <c r="AY300" s="195"/>
      <c r="AZ300" s="195"/>
      <c r="BA300" s="195"/>
      <c r="BB300" s="195"/>
      <c r="BC300" s="195"/>
      <c r="BD300" s="195"/>
      <c r="BE300" s="195"/>
      <c r="BF300" s="195"/>
      <c r="BG300" s="195"/>
      <c r="BH300" s="195"/>
    </row>
    <row r="301" spans="1:60" x14ac:dyDescent="0.55000000000000004">
      <c r="A301" s="195"/>
      <c r="B301" s="195"/>
      <c r="C301" s="195"/>
      <c r="D301" s="195"/>
      <c r="E301" s="195"/>
      <c r="G301" s="195"/>
      <c r="H301" s="195"/>
      <c r="I301" s="195"/>
      <c r="J301" s="195"/>
      <c r="K301" s="195"/>
      <c r="L301" s="195"/>
      <c r="M301" s="195"/>
      <c r="N301" s="195"/>
      <c r="O301" s="195"/>
      <c r="P301" s="195"/>
      <c r="Q301" s="195"/>
      <c r="R301" s="195"/>
      <c r="S301" s="195"/>
      <c r="T301" s="195"/>
      <c r="U301" s="195"/>
      <c r="V301" s="195"/>
      <c r="W301" s="195"/>
      <c r="X301" s="195"/>
      <c r="Y301" s="195"/>
      <c r="Z301" s="195"/>
      <c r="AA301" s="195"/>
      <c r="AB301" s="195"/>
      <c r="AC301" s="195"/>
      <c r="AD301" s="195"/>
      <c r="AE301" s="195"/>
      <c r="AF301" s="195"/>
      <c r="AG301" s="195"/>
      <c r="AH301" s="195"/>
      <c r="AI301" s="195"/>
      <c r="AJ301" s="195"/>
      <c r="AK301" s="195"/>
      <c r="AL301" s="195"/>
      <c r="AM301" s="195"/>
      <c r="AN301" s="195"/>
      <c r="AO301" s="195"/>
      <c r="AP301" s="195"/>
      <c r="AQ301" s="195"/>
      <c r="AR301" s="195"/>
      <c r="AS301" s="195"/>
      <c r="AT301" s="195"/>
      <c r="AU301" s="195"/>
      <c r="AV301" s="195"/>
      <c r="AW301" s="195"/>
      <c r="AX301" s="195"/>
      <c r="AY301" s="195"/>
      <c r="AZ301" s="195"/>
      <c r="BA301" s="195"/>
      <c r="BB301" s="195"/>
      <c r="BC301" s="195"/>
      <c r="BD301" s="195"/>
      <c r="BE301" s="195"/>
      <c r="BF301" s="195"/>
      <c r="BG301" s="195"/>
      <c r="BH301" s="195"/>
    </row>
    <row r="302" spans="1:60" x14ac:dyDescent="0.55000000000000004">
      <c r="A302" s="195"/>
      <c r="B302" s="195"/>
      <c r="C302" s="195"/>
      <c r="D302" s="195"/>
      <c r="E302" s="195"/>
      <c r="G302" s="195"/>
      <c r="H302" s="195"/>
      <c r="I302" s="195"/>
      <c r="J302" s="195"/>
      <c r="K302" s="195"/>
      <c r="L302" s="195"/>
      <c r="M302" s="195"/>
      <c r="N302" s="195"/>
      <c r="O302" s="195"/>
      <c r="P302" s="195"/>
      <c r="Q302" s="195"/>
      <c r="R302" s="195"/>
      <c r="S302" s="195"/>
      <c r="T302" s="195"/>
      <c r="U302" s="195"/>
      <c r="V302" s="195"/>
      <c r="W302" s="195"/>
      <c r="X302" s="195"/>
      <c r="Y302" s="195"/>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c r="AU302" s="195"/>
      <c r="AV302" s="195"/>
      <c r="AW302" s="195"/>
      <c r="AX302" s="195"/>
      <c r="AY302" s="195"/>
      <c r="AZ302" s="195"/>
      <c r="BA302" s="195"/>
      <c r="BB302" s="195"/>
      <c r="BC302" s="195"/>
      <c r="BD302" s="195"/>
      <c r="BE302" s="195"/>
      <c r="BF302" s="195"/>
      <c r="BG302" s="195"/>
      <c r="BH302" s="195"/>
    </row>
    <row r="303" spans="1:60" x14ac:dyDescent="0.55000000000000004">
      <c r="A303" s="195"/>
      <c r="B303" s="195"/>
      <c r="C303" s="195"/>
      <c r="D303" s="195"/>
      <c r="E303" s="195"/>
      <c r="G303" s="195"/>
      <c r="H303" s="195"/>
      <c r="I303" s="195"/>
      <c r="J303" s="195"/>
      <c r="K303" s="195"/>
      <c r="L303" s="195"/>
      <c r="M303" s="195"/>
      <c r="N303" s="195"/>
      <c r="O303" s="195"/>
      <c r="P303" s="195"/>
      <c r="Q303" s="195"/>
      <c r="R303" s="195"/>
      <c r="S303" s="195"/>
      <c r="T303" s="195"/>
      <c r="U303" s="195"/>
      <c r="V303" s="195"/>
      <c r="W303" s="195"/>
      <c r="X303" s="195"/>
      <c r="Y303" s="195"/>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c r="AU303" s="195"/>
      <c r="AV303" s="195"/>
      <c r="AW303" s="195"/>
      <c r="AX303" s="195"/>
      <c r="AY303" s="195"/>
      <c r="AZ303" s="195"/>
      <c r="BA303" s="195"/>
      <c r="BB303" s="195"/>
      <c r="BC303" s="195"/>
      <c r="BD303" s="195"/>
      <c r="BE303" s="195"/>
      <c r="BF303" s="195"/>
      <c r="BG303" s="195"/>
      <c r="BH303" s="195"/>
    </row>
    <row r="304" spans="1:60" x14ac:dyDescent="0.55000000000000004">
      <c r="A304" s="195"/>
      <c r="B304" s="195"/>
      <c r="C304" s="195"/>
      <c r="D304" s="195"/>
      <c r="E304" s="195"/>
      <c r="G304" s="195"/>
      <c r="H304" s="195"/>
      <c r="I304" s="195"/>
      <c r="J304" s="195"/>
      <c r="K304" s="195"/>
      <c r="L304" s="195"/>
      <c r="M304" s="195"/>
      <c r="N304" s="195"/>
      <c r="O304" s="195"/>
      <c r="P304" s="195"/>
      <c r="Q304" s="195"/>
      <c r="R304" s="195"/>
      <c r="S304" s="195"/>
      <c r="T304" s="195"/>
      <c r="U304" s="195"/>
      <c r="V304" s="195"/>
      <c r="W304" s="195"/>
      <c r="X304" s="195"/>
      <c r="Y304" s="195"/>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c r="AU304" s="195"/>
      <c r="AV304" s="195"/>
      <c r="AW304" s="195"/>
      <c r="AX304" s="195"/>
      <c r="AY304" s="195"/>
      <c r="AZ304" s="195"/>
      <c r="BA304" s="195"/>
      <c r="BB304" s="195"/>
      <c r="BC304" s="195"/>
      <c r="BD304" s="195"/>
      <c r="BE304" s="195"/>
      <c r="BF304" s="195"/>
      <c r="BG304" s="195"/>
      <c r="BH304" s="195"/>
    </row>
    <row r="305" spans="1:60" x14ac:dyDescent="0.55000000000000004">
      <c r="A305" s="195"/>
      <c r="B305" s="195"/>
      <c r="C305" s="195"/>
      <c r="D305" s="195"/>
      <c r="E305" s="195"/>
      <c r="G305" s="195"/>
      <c r="H305" s="195"/>
      <c r="I305" s="195"/>
      <c r="J305" s="195"/>
      <c r="K305" s="195"/>
      <c r="L305" s="195"/>
      <c r="M305" s="195"/>
      <c r="N305" s="195"/>
      <c r="O305" s="195"/>
      <c r="P305" s="195"/>
      <c r="Q305" s="195"/>
      <c r="R305" s="195"/>
      <c r="S305" s="195"/>
      <c r="T305" s="195"/>
      <c r="U305" s="195"/>
      <c r="V305" s="195"/>
      <c r="W305" s="195"/>
      <c r="X305" s="195"/>
      <c r="Y305" s="195"/>
      <c r="Z305" s="195"/>
      <c r="AA305" s="195"/>
      <c r="AB305" s="195"/>
      <c r="AC305" s="195"/>
      <c r="AD305" s="195"/>
      <c r="AE305" s="195"/>
      <c r="AF305" s="195"/>
      <c r="AG305" s="195"/>
      <c r="AH305" s="195"/>
      <c r="AI305" s="195"/>
      <c r="AJ305" s="195"/>
      <c r="AK305" s="195"/>
      <c r="AL305" s="195"/>
      <c r="AM305" s="195"/>
      <c r="AN305" s="195"/>
      <c r="AO305" s="195"/>
      <c r="AP305" s="195"/>
      <c r="AQ305" s="195"/>
      <c r="AR305" s="195"/>
      <c r="AS305" s="195"/>
      <c r="AT305" s="195"/>
      <c r="AU305" s="195"/>
      <c r="AV305" s="195"/>
      <c r="AW305" s="195"/>
      <c r="AX305" s="195"/>
      <c r="AY305" s="195"/>
      <c r="AZ305" s="195"/>
      <c r="BA305" s="195"/>
      <c r="BB305" s="195"/>
      <c r="BC305" s="195"/>
      <c r="BD305" s="195"/>
      <c r="BE305" s="195"/>
      <c r="BF305" s="195"/>
      <c r="BG305" s="195"/>
      <c r="BH305" s="195"/>
    </row>
    <row r="306" spans="1:60" x14ac:dyDescent="0.55000000000000004">
      <c r="A306" s="195"/>
      <c r="B306" s="195"/>
      <c r="C306" s="195"/>
      <c r="D306" s="195"/>
      <c r="E306" s="195"/>
      <c r="G306" s="195"/>
      <c r="H306" s="195"/>
      <c r="I306" s="195"/>
      <c r="J306" s="195"/>
      <c r="K306" s="195"/>
      <c r="L306" s="195"/>
      <c r="M306" s="195"/>
      <c r="N306" s="195"/>
      <c r="O306" s="195"/>
      <c r="P306" s="195"/>
      <c r="Q306" s="195"/>
      <c r="R306" s="195"/>
      <c r="S306" s="195"/>
      <c r="T306" s="195"/>
      <c r="U306" s="195"/>
      <c r="V306" s="195"/>
      <c r="W306" s="195"/>
      <c r="X306" s="195"/>
      <c r="Y306" s="195"/>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c r="AU306" s="195"/>
      <c r="AV306" s="195"/>
      <c r="AW306" s="195"/>
      <c r="AX306" s="195"/>
      <c r="AY306" s="195"/>
      <c r="AZ306" s="195"/>
      <c r="BA306" s="195"/>
      <c r="BB306" s="195"/>
      <c r="BC306" s="195"/>
      <c r="BD306" s="195"/>
      <c r="BE306" s="195"/>
      <c r="BF306" s="195"/>
      <c r="BG306" s="195"/>
      <c r="BH306" s="195"/>
    </row>
    <row r="307" spans="1:60" x14ac:dyDescent="0.55000000000000004">
      <c r="A307" s="195"/>
      <c r="B307" s="195"/>
      <c r="C307" s="195"/>
      <c r="D307" s="195"/>
      <c r="E307" s="195"/>
      <c r="G307" s="195"/>
      <c r="H307" s="195"/>
      <c r="I307" s="195"/>
      <c r="J307" s="195"/>
      <c r="K307" s="195"/>
      <c r="L307" s="195"/>
      <c r="M307" s="195"/>
      <c r="N307" s="195"/>
      <c r="O307" s="195"/>
      <c r="P307" s="195"/>
      <c r="Q307" s="195"/>
      <c r="R307" s="195"/>
      <c r="S307" s="195"/>
      <c r="T307" s="195"/>
      <c r="U307" s="195"/>
      <c r="V307" s="195"/>
      <c r="W307" s="195"/>
      <c r="X307" s="195"/>
      <c r="Y307" s="195"/>
      <c r="Z307" s="195"/>
      <c r="AA307" s="195"/>
      <c r="AB307" s="195"/>
      <c r="AC307" s="195"/>
      <c r="AD307" s="195"/>
      <c r="AE307" s="195"/>
      <c r="AF307" s="195"/>
      <c r="AG307" s="195"/>
      <c r="AH307" s="195"/>
      <c r="AI307" s="195"/>
      <c r="AJ307" s="195"/>
      <c r="AK307" s="195"/>
      <c r="AL307" s="195"/>
      <c r="AM307" s="195"/>
      <c r="AN307" s="195"/>
      <c r="AO307" s="195"/>
      <c r="AP307" s="195"/>
      <c r="AQ307" s="195"/>
      <c r="AR307" s="195"/>
      <c r="AS307" s="195"/>
      <c r="AT307" s="195"/>
      <c r="AU307" s="195"/>
      <c r="AV307" s="195"/>
      <c r="AW307" s="195"/>
      <c r="AX307" s="195"/>
      <c r="AY307" s="195"/>
      <c r="AZ307" s="195"/>
      <c r="BA307" s="195"/>
      <c r="BB307" s="195"/>
      <c r="BC307" s="195"/>
      <c r="BD307" s="195"/>
      <c r="BE307" s="195"/>
      <c r="BF307" s="195"/>
      <c r="BG307" s="195"/>
      <c r="BH307" s="195"/>
    </row>
    <row r="308" spans="1:60" x14ac:dyDescent="0.55000000000000004">
      <c r="A308" s="195"/>
      <c r="B308" s="195"/>
      <c r="C308" s="195"/>
      <c r="D308" s="195"/>
      <c r="E308" s="195"/>
      <c r="G308" s="195"/>
      <c r="H308" s="195"/>
      <c r="I308" s="195"/>
      <c r="J308" s="195"/>
      <c r="K308" s="195"/>
      <c r="L308" s="195"/>
      <c r="M308" s="195"/>
      <c r="N308" s="195"/>
      <c r="O308" s="195"/>
      <c r="P308" s="195"/>
      <c r="Q308" s="195"/>
      <c r="R308" s="195"/>
      <c r="S308" s="195"/>
      <c r="T308" s="195"/>
      <c r="U308" s="195"/>
      <c r="V308" s="195"/>
      <c r="W308" s="195"/>
      <c r="X308" s="195"/>
      <c r="Y308" s="195"/>
      <c r="Z308" s="195"/>
      <c r="AA308" s="195"/>
      <c r="AB308" s="195"/>
      <c r="AC308" s="195"/>
      <c r="AD308" s="195"/>
      <c r="AE308" s="195"/>
      <c r="AF308" s="195"/>
      <c r="AG308" s="195"/>
      <c r="AH308" s="195"/>
      <c r="AI308" s="195"/>
      <c r="AJ308" s="195"/>
      <c r="AK308" s="195"/>
      <c r="AL308" s="195"/>
      <c r="AM308" s="195"/>
      <c r="AN308" s="195"/>
      <c r="AO308" s="195"/>
      <c r="AP308" s="195"/>
      <c r="AQ308" s="195"/>
      <c r="AR308" s="195"/>
      <c r="AS308" s="195"/>
      <c r="AT308" s="195"/>
      <c r="AU308" s="195"/>
      <c r="AV308" s="195"/>
      <c r="AW308" s="195"/>
      <c r="AX308" s="195"/>
      <c r="AY308" s="195"/>
      <c r="AZ308" s="195"/>
      <c r="BA308" s="195"/>
      <c r="BB308" s="195"/>
      <c r="BC308" s="195"/>
      <c r="BD308" s="195"/>
      <c r="BE308" s="195"/>
      <c r="BF308" s="195"/>
      <c r="BG308" s="195"/>
      <c r="BH308" s="195"/>
    </row>
    <row r="309" spans="1:60" x14ac:dyDescent="0.55000000000000004">
      <c r="A309" s="195"/>
      <c r="B309" s="195"/>
      <c r="C309" s="195"/>
      <c r="D309" s="195"/>
      <c r="E309" s="195"/>
      <c r="G309" s="195"/>
      <c r="H309" s="195"/>
      <c r="I309" s="195"/>
      <c r="J309" s="195"/>
      <c r="K309" s="195"/>
      <c r="L309" s="195"/>
      <c r="M309" s="195"/>
      <c r="N309" s="195"/>
      <c r="O309" s="195"/>
      <c r="P309" s="195"/>
      <c r="Q309" s="195"/>
      <c r="R309" s="195"/>
      <c r="S309" s="195"/>
      <c r="T309" s="195"/>
      <c r="U309" s="195"/>
      <c r="V309" s="195"/>
      <c r="W309" s="195"/>
      <c r="X309" s="195"/>
      <c r="Y309" s="195"/>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c r="AU309" s="195"/>
      <c r="AV309" s="195"/>
      <c r="AW309" s="195"/>
      <c r="AX309" s="195"/>
      <c r="AY309" s="195"/>
      <c r="AZ309" s="195"/>
      <c r="BA309" s="195"/>
      <c r="BB309" s="195"/>
      <c r="BC309" s="195"/>
      <c r="BD309" s="195"/>
      <c r="BE309" s="195"/>
      <c r="BF309" s="195"/>
      <c r="BG309" s="195"/>
      <c r="BH309" s="195"/>
    </row>
    <row r="310" spans="1:60" x14ac:dyDescent="0.55000000000000004">
      <c r="A310" s="195"/>
      <c r="B310" s="195"/>
      <c r="C310" s="195"/>
      <c r="D310" s="195"/>
      <c r="E310" s="195"/>
      <c r="G310" s="195"/>
      <c r="H310" s="195"/>
      <c r="I310" s="195"/>
      <c r="J310" s="195"/>
      <c r="K310" s="195"/>
      <c r="L310" s="195"/>
      <c r="M310" s="195"/>
      <c r="N310" s="195"/>
      <c r="O310" s="195"/>
      <c r="P310" s="195"/>
      <c r="Q310" s="195"/>
      <c r="R310" s="195"/>
      <c r="S310" s="195"/>
      <c r="T310" s="195"/>
      <c r="U310" s="195"/>
      <c r="V310" s="195"/>
      <c r="W310" s="195"/>
      <c r="X310" s="195"/>
      <c r="Y310" s="195"/>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c r="AU310" s="195"/>
      <c r="AV310" s="195"/>
      <c r="AW310" s="195"/>
      <c r="AX310" s="195"/>
      <c r="AY310" s="195"/>
      <c r="AZ310" s="195"/>
      <c r="BA310" s="195"/>
      <c r="BB310" s="195"/>
      <c r="BC310" s="195"/>
      <c r="BD310" s="195"/>
      <c r="BE310" s="195"/>
      <c r="BF310" s="195"/>
      <c r="BG310" s="195"/>
      <c r="BH310" s="195"/>
    </row>
    <row r="311" spans="1:60" x14ac:dyDescent="0.55000000000000004">
      <c r="A311" s="195"/>
      <c r="B311" s="195"/>
      <c r="C311" s="195"/>
      <c r="D311" s="195"/>
      <c r="E311" s="195"/>
      <c r="G311" s="195"/>
      <c r="H311" s="195"/>
      <c r="I311" s="195"/>
      <c r="J311" s="195"/>
      <c r="K311" s="195"/>
      <c r="L311" s="195"/>
      <c r="M311" s="195"/>
      <c r="N311" s="195"/>
      <c r="O311" s="195"/>
      <c r="P311" s="195"/>
      <c r="Q311" s="195"/>
      <c r="R311" s="195"/>
      <c r="S311" s="195"/>
      <c r="T311" s="195"/>
      <c r="U311" s="195"/>
      <c r="V311" s="195"/>
      <c r="W311" s="195"/>
      <c r="X311" s="195"/>
      <c r="Y311" s="195"/>
      <c r="Z311" s="195"/>
      <c r="AA311" s="195"/>
      <c r="AB311" s="195"/>
      <c r="AC311" s="195"/>
      <c r="AD311" s="195"/>
      <c r="AE311" s="195"/>
      <c r="AF311" s="195"/>
      <c r="AG311" s="195"/>
      <c r="AH311" s="195"/>
      <c r="AI311" s="195"/>
      <c r="AJ311" s="195"/>
      <c r="AK311" s="195"/>
      <c r="AL311" s="195"/>
      <c r="AM311" s="195"/>
      <c r="AN311" s="195"/>
      <c r="AO311" s="195"/>
      <c r="AP311" s="195"/>
      <c r="AQ311" s="195"/>
      <c r="AR311" s="195"/>
      <c r="AS311" s="195"/>
      <c r="AT311" s="195"/>
      <c r="AU311" s="195"/>
      <c r="AV311" s="195"/>
      <c r="AW311" s="195"/>
      <c r="AX311" s="195"/>
      <c r="AY311" s="195"/>
      <c r="AZ311" s="195"/>
      <c r="BA311" s="195"/>
      <c r="BB311" s="195"/>
      <c r="BC311" s="195"/>
      <c r="BD311" s="195"/>
      <c r="BE311" s="195"/>
      <c r="BF311" s="195"/>
      <c r="BG311" s="195"/>
      <c r="BH311" s="195"/>
    </row>
    <row r="312" spans="1:60" x14ac:dyDescent="0.55000000000000004">
      <c r="A312" s="195"/>
      <c r="B312" s="195"/>
      <c r="C312" s="195"/>
      <c r="D312" s="195"/>
      <c r="E312" s="195"/>
      <c r="G312" s="195"/>
      <c r="H312" s="195"/>
      <c r="I312" s="195"/>
      <c r="J312" s="195"/>
      <c r="K312" s="195"/>
      <c r="L312" s="195"/>
      <c r="M312" s="195"/>
      <c r="N312" s="195"/>
      <c r="O312" s="195"/>
      <c r="P312" s="195"/>
      <c r="Q312" s="195"/>
      <c r="R312" s="195"/>
      <c r="S312" s="195"/>
      <c r="T312" s="195"/>
      <c r="U312" s="195"/>
      <c r="V312" s="195"/>
      <c r="W312" s="195"/>
      <c r="X312" s="195"/>
      <c r="Y312" s="195"/>
      <c r="Z312" s="195"/>
      <c r="AA312" s="195"/>
      <c r="AB312" s="195"/>
      <c r="AC312" s="195"/>
      <c r="AD312" s="195"/>
      <c r="AE312" s="195"/>
      <c r="AF312" s="195"/>
      <c r="AG312" s="195"/>
      <c r="AH312" s="195"/>
      <c r="AI312" s="195"/>
      <c r="AJ312" s="195"/>
      <c r="AK312" s="195"/>
      <c r="AL312" s="195"/>
      <c r="AM312" s="195"/>
      <c r="AN312" s="195"/>
      <c r="AO312" s="195"/>
      <c r="AP312" s="195"/>
      <c r="AQ312" s="195"/>
      <c r="AR312" s="195"/>
      <c r="AS312" s="195"/>
      <c r="AT312" s="195"/>
      <c r="AU312" s="195"/>
      <c r="AV312" s="195"/>
      <c r="AW312" s="195"/>
      <c r="AX312" s="195"/>
      <c r="AY312" s="195"/>
      <c r="AZ312" s="195"/>
      <c r="BA312" s="195"/>
      <c r="BB312" s="195"/>
      <c r="BC312" s="195"/>
      <c r="BD312" s="195"/>
      <c r="BE312" s="195"/>
      <c r="BF312" s="195"/>
      <c r="BG312" s="195"/>
      <c r="BH312" s="195"/>
    </row>
    <row r="313" spans="1:60" x14ac:dyDescent="0.55000000000000004">
      <c r="A313" s="195"/>
      <c r="B313" s="195"/>
      <c r="C313" s="195"/>
      <c r="D313" s="195"/>
      <c r="E313" s="195"/>
      <c r="G313" s="195"/>
      <c r="H313" s="195"/>
      <c r="I313" s="195"/>
      <c r="J313" s="195"/>
      <c r="K313" s="195"/>
      <c r="L313" s="195"/>
      <c r="M313" s="195"/>
      <c r="N313" s="195"/>
      <c r="O313" s="195"/>
      <c r="P313" s="195"/>
      <c r="Q313" s="195"/>
      <c r="R313" s="195"/>
      <c r="S313" s="195"/>
      <c r="T313" s="195"/>
      <c r="U313" s="195"/>
      <c r="V313" s="195"/>
      <c r="W313" s="195"/>
      <c r="X313" s="195"/>
      <c r="Y313" s="195"/>
      <c r="Z313" s="195"/>
      <c r="AA313" s="195"/>
      <c r="AB313" s="195"/>
      <c r="AC313" s="195"/>
      <c r="AD313" s="195"/>
      <c r="AE313" s="195"/>
      <c r="AF313" s="195"/>
      <c r="AG313" s="195"/>
      <c r="AH313" s="195"/>
      <c r="AI313" s="195"/>
      <c r="AJ313" s="195"/>
      <c r="AK313" s="195"/>
      <c r="AL313" s="195"/>
      <c r="AM313" s="195"/>
      <c r="AN313" s="195"/>
      <c r="AO313" s="195"/>
      <c r="AP313" s="195"/>
      <c r="AQ313" s="195"/>
      <c r="AR313" s="195"/>
      <c r="AS313" s="195"/>
      <c r="AT313" s="195"/>
      <c r="AU313" s="195"/>
      <c r="AV313" s="195"/>
      <c r="AW313" s="195"/>
      <c r="AX313" s="195"/>
      <c r="AY313" s="195"/>
      <c r="AZ313" s="195"/>
      <c r="BA313" s="195"/>
      <c r="BB313" s="195"/>
      <c r="BC313" s="195"/>
      <c r="BD313" s="195"/>
      <c r="BE313" s="195"/>
      <c r="BF313" s="195"/>
      <c r="BG313" s="195"/>
      <c r="BH313" s="195"/>
    </row>
    <row r="314" spans="1:60" x14ac:dyDescent="0.55000000000000004">
      <c r="A314" s="195"/>
      <c r="B314" s="195"/>
      <c r="C314" s="195"/>
      <c r="D314" s="195"/>
      <c r="E314" s="195"/>
      <c r="G314" s="195"/>
      <c r="H314" s="195"/>
      <c r="I314" s="195"/>
      <c r="J314" s="195"/>
      <c r="K314" s="195"/>
      <c r="L314" s="195"/>
      <c r="M314" s="195"/>
      <c r="N314" s="195"/>
      <c r="O314" s="195"/>
      <c r="P314" s="195"/>
      <c r="Q314" s="195"/>
      <c r="R314" s="195"/>
      <c r="S314" s="195"/>
      <c r="T314" s="195"/>
      <c r="U314" s="195"/>
      <c r="V314" s="195"/>
      <c r="W314" s="195"/>
      <c r="X314" s="195"/>
      <c r="Y314" s="195"/>
      <c r="Z314" s="195"/>
      <c r="AA314" s="195"/>
      <c r="AB314" s="195"/>
      <c r="AC314" s="195"/>
      <c r="AD314" s="195"/>
      <c r="AE314" s="195"/>
      <c r="AF314" s="195"/>
      <c r="AG314" s="195"/>
      <c r="AH314" s="195"/>
      <c r="AI314" s="195"/>
      <c r="AJ314" s="195"/>
      <c r="AK314" s="195"/>
      <c r="AL314" s="195"/>
      <c r="AM314" s="195"/>
      <c r="AN314" s="195"/>
      <c r="AO314" s="195"/>
      <c r="AP314" s="195"/>
      <c r="AQ314" s="195"/>
      <c r="AR314" s="195"/>
      <c r="AS314" s="195"/>
      <c r="AT314" s="195"/>
      <c r="AU314" s="195"/>
      <c r="AV314" s="195"/>
      <c r="AW314" s="195"/>
      <c r="AX314" s="195"/>
      <c r="AY314" s="195"/>
      <c r="AZ314" s="195"/>
      <c r="BA314" s="195"/>
      <c r="BB314" s="195"/>
      <c r="BC314" s="195"/>
      <c r="BD314" s="195"/>
      <c r="BE314" s="195"/>
      <c r="BF314" s="195"/>
      <c r="BG314" s="195"/>
      <c r="BH314" s="195"/>
    </row>
  </sheetData>
  <sheetProtection algorithmName="SHA-512" hashValue="jK664JVJMDizaacZmz+s5tWjTNE1f5ev2nbBUYlpRgobt9UtNMfjSvT8i8b9zOkVPRA7t/KFsOouCS5HdzqmZw==" saltValue="Bxi1uujfloSaHkSWZnuG8w==" spinCount="100000" sheet="1" objects="1" scenarios="1" formatColumns="0" formatRows="0" autoFilter="0"/>
  <protectedRanges>
    <protectedRange sqref="A3:BG11" name="MaterialDatabase_Table1"/>
    <protectedRange sqref="BI3:BJ11" name="MaterialDatabase_Table2"/>
  </protectedRanges>
  <mergeCells count="12">
    <mergeCell ref="BI1:BJ1"/>
    <mergeCell ref="BB1:BG1"/>
    <mergeCell ref="H1:K1"/>
    <mergeCell ref="B1:F1"/>
    <mergeCell ref="L1:Q1"/>
    <mergeCell ref="R1:T1"/>
    <mergeCell ref="U1:W1"/>
    <mergeCell ref="X1:AC1"/>
    <mergeCell ref="AD1:AI1"/>
    <mergeCell ref="AJ1:AO1"/>
    <mergeCell ref="AP1:AU1"/>
    <mergeCell ref="AV1:BA1"/>
  </mergeCells>
  <phoneticPr fontId="21" type="noConversion"/>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34A0-2468-4A9A-B47D-A67DA7F2D46F}">
  <sheetPr codeName="Sheet3">
    <tabColor theme="0" tint="-4.9989318521683403E-2"/>
  </sheetPr>
  <dimension ref="A1:AY305"/>
  <sheetViews>
    <sheetView zoomScale="85" zoomScaleNormal="85" workbookViewId="0">
      <selection activeCell="AB53" sqref="AB53"/>
    </sheetView>
  </sheetViews>
  <sheetFormatPr defaultColWidth="8.83984375" defaultRowHeight="15" customHeight="1" x14ac:dyDescent="0.55000000000000004"/>
  <cols>
    <col min="1" max="1" width="14.26171875" style="17" customWidth="1"/>
    <col min="2" max="2" width="6.1015625" style="17" customWidth="1"/>
    <col min="3" max="8" width="6.47265625" style="17" customWidth="1"/>
    <col min="9" max="9" width="2" style="17" customWidth="1"/>
    <col min="10" max="10" width="14.26171875" style="17" customWidth="1"/>
    <col min="11" max="11" width="6.1015625" style="17" customWidth="1"/>
    <col min="12" max="17" width="6.47265625" style="17" customWidth="1"/>
    <col min="18" max="18" width="2.578125" style="17" customWidth="1"/>
    <col min="19" max="19" width="14.26171875" style="17" customWidth="1"/>
    <col min="20" max="20" width="6.1015625" style="17" customWidth="1"/>
    <col min="21" max="26" width="6.47265625" style="17" customWidth="1"/>
    <col min="27" max="27" width="2.41796875" style="17" customWidth="1"/>
    <col min="28" max="28" width="17.62890625" style="17" bestFit="1" customWidth="1"/>
    <col min="29" max="29" width="3.41796875" style="17" customWidth="1"/>
    <col min="30" max="35" width="6.41796875" style="17" customWidth="1"/>
    <col min="36" max="36" width="2.41796875" style="17" customWidth="1"/>
    <col min="37" max="37" width="9.15625" style="17" customWidth="1"/>
    <col min="38" max="38" width="4.5234375" style="17" customWidth="1"/>
    <col min="39" max="44" width="6.47265625" style="17" customWidth="1"/>
    <col min="45" max="45" width="2.15625" style="17" customWidth="1"/>
    <col min="46" max="51" width="10.62890625" style="17" customWidth="1"/>
    <col min="52" max="52" width="2.41796875" style="17" customWidth="1"/>
    <col min="53" max="53" width="8.83984375" style="17" customWidth="1"/>
    <col min="54" max="16384" width="8.83984375" style="17"/>
  </cols>
  <sheetData>
    <row r="1" spans="1:44" ht="14.5" customHeight="1" x14ac:dyDescent="0.55000000000000004">
      <c r="A1" s="169" t="s">
        <v>123</v>
      </c>
      <c r="B1" s="169"/>
      <c r="C1" s="34">
        <f>VLOOKUP(S1,Table1[],8,FALSE)</f>
        <v>120</v>
      </c>
      <c r="D1" s="121"/>
      <c r="E1" s="162" t="s">
        <v>124</v>
      </c>
      <c r="F1" s="162"/>
      <c r="G1" s="162"/>
      <c r="H1" s="181">
        <f>VLOOKUP(S1,Table1[],5,FALSE)</f>
        <v>59600000</v>
      </c>
      <c r="I1" s="181"/>
      <c r="J1" s="160" t="s">
        <v>125</v>
      </c>
      <c r="K1" s="160"/>
      <c r="L1" s="160"/>
      <c r="M1" s="182">
        <f>VLOOKUP(S1,Table1[],2,FALSE)</f>
        <v>-3.4235426595296127E-4</v>
      </c>
      <c r="N1" s="182"/>
      <c r="O1" s="36" t="s">
        <v>126</v>
      </c>
      <c r="P1" s="175" t="s">
        <v>127</v>
      </c>
      <c r="Q1" s="175"/>
      <c r="S1" s="205" t="s">
        <v>111</v>
      </c>
      <c r="T1" s="205"/>
      <c r="U1" s="205"/>
      <c r="V1" s="205"/>
      <c r="W1" s="205"/>
      <c r="X1" s="205"/>
      <c r="Y1" s="206" t="s">
        <v>116</v>
      </c>
      <c r="Z1" s="206"/>
      <c r="AB1" s="85"/>
      <c r="AC1" s="85"/>
      <c r="AD1" s="85"/>
      <c r="AE1" s="85"/>
      <c r="AF1" s="85"/>
      <c r="AG1" s="85"/>
      <c r="AH1" s="85"/>
      <c r="AI1" s="85"/>
      <c r="AK1" s="172" t="str">
        <f>_xlfn.CONCAT("Stripline Parameters and Loss Decomposition vs Temperature")</f>
        <v>Stripline Parameters and Loss Decomposition vs Temperature</v>
      </c>
      <c r="AL1" s="173"/>
      <c r="AM1" s="173"/>
      <c r="AN1" s="173"/>
      <c r="AO1" s="173"/>
      <c r="AP1" s="173"/>
      <c r="AQ1" s="173"/>
      <c r="AR1" s="174"/>
    </row>
    <row r="2" spans="1:44" ht="14.5" customHeight="1" x14ac:dyDescent="0.55000000000000004">
      <c r="A2" s="169" t="s">
        <v>128</v>
      </c>
      <c r="B2" s="169"/>
      <c r="C2" s="34">
        <f>VLOOKUP(S1,Table1[],9,FALSE)</f>
        <v>17</v>
      </c>
      <c r="E2" s="169" t="s">
        <v>129</v>
      </c>
      <c r="F2" s="169"/>
      <c r="G2" s="169"/>
      <c r="H2" s="183">
        <f>VLOOKUP(S1,Table1[],7,FALSE)</f>
        <v>25</v>
      </c>
      <c r="I2" s="183"/>
      <c r="J2" s="160" t="s">
        <v>130</v>
      </c>
      <c r="K2" s="160"/>
      <c r="L2" s="160"/>
      <c r="M2" s="182">
        <f>VLOOKUP(S1,Table1[],3,FALSE)</f>
        <v>7.1961230343190593E-3</v>
      </c>
      <c r="N2" s="182"/>
      <c r="O2" s="37" t="s">
        <v>131</v>
      </c>
      <c r="P2" s="175" t="s">
        <v>132</v>
      </c>
      <c r="Q2" s="175"/>
      <c r="S2" s="205"/>
      <c r="T2" s="205"/>
      <c r="U2" s="205"/>
      <c r="V2" s="205"/>
      <c r="W2" s="205"/>
      <c r="X2" s="205"/>
      <c r="Y2" s="206"/>
      <c r="Z2" s="206"/>
      <c r="AD2" s="168" t="str">
        <f>_xlfn.CONCAT("w = ", C3, "µm")</f>
        <v>w = 100µm</v>
      </c>
      <c r="AG2" s="165" t="str">
        <f>_xlfn.CONCAT("h1 = ", $C$1, "µm")</f>
        <v>h1 = 120µm</v>
      </c>
      <c r="AH2" s="166"/>
      <c r="AK2" s="170" t="s">
        <v>133</v>
      </c>
      <c r="AL2" s="171"/>
      <c r="AM2" s="38">
        <f t="shared" ref="AM2:AR2" si="0">L24</f>
        <v>1</v>
      </c>
      <c r="AN2" s="38">
        <f t="shared" si="0"/>
        <v>3</v>
      </c>
      <c r="AO2" s="38">
        <f t="shared" si="0"/>
        <v>5</v>
      </c>
      <c r="AP2" s="38">
        <f t="shared" si="0"/>
        <v>10</v>
      </c>
      <c r="AQ2" s="38">
        <f t="shared" si="0"/>
        <v>15</v>
      </c>
      <c r="AR2" s="39">
        <f t="shared" si="0"/>
        <v>20</v>
      </c>
    </row>
    <row r="3" spans="1:44" ht="14.5" customHeight="1" x14ac:dyDescent="0.55000000000000004">
      <c r="A3" s="160" t="s">
        <v>134</v>
      </c>
      <c r="B3" s="160"/>
      <c r="C3" s="34">
        <f>VLOOKUP(S1,Table1[],10,FALSE)</f>
        <v>100</v>
      </c>
      <c r="D3" s="162" t="s">
        <v>135</v>
      </c>
      <c r="E3" s="162"/>
      <c r="F3" s="162"/>
      <c r="G3" s="162"/>
      <c r="H3" s="184">
        <f>VLOOKUP(Y1,Table2[],2,FALSE)</f>
        <v>0.39802631578947373</v>
      </c>
      <c r="I3" s="184"/>
      <c r="J3" s="160" t="s">
        <v>136</v>
      </c>
      <c r="K3" s="160"/>
      <c r="L3" s="160"/>
      <c r="M3" s="182">
        <f>VLOOKUP(S1,Table1[],4,FALSE)</f>
        <v>4.0400000000000002E-3</v>
      </c>
      <c r="N3" s="182"/>
      <c r="O3" s="35" t="s">
        <v>137</v>
      </c>
      <c r="P3" s="175" t="s">
        <v>138</v>
      </c>
      <c r="Q3" s="175"/>
      <c r="S3" s="205"/>
      <c r="T3" s="205"/>
      <c r="U3" s="205"/>
      <c r="V3" s="205"/>
      <c r="W3" s="205"/>
      <c r="X3" s="205"/>
      <c r="Y3" s="206"/>
      <c r="Z3" s="206"/>
      <c r="AD3" s="168"/>
      <c r="AG3" s="167"/>
      <c r="AH3" s="166"/>
      <c r="AK3" s="23" t="s">
        <v>139</v>
      </c>
      <c r="AL3" s="157">
        <f>AL26</f>
        <v>-40</v>
      </c>
      <c r="AM3" s="134">
        <f t="shared" ref="AM3:AR3" si="1">($M$1*($AL$3-$H$2)+1)*AVERAGE(C$28,L$28)</f>
        <v>3.8408450002633345</v>
      </c>
      <c r="AN3" s="134">
        <f t="shared" si="1"/>
        <v>3.8298989770405441</v>
      </c>
      <c r="AO3" s="134">
        <f t="shared" si="1"/>
        <v>3.7970401887170397</v>
      </c>
      <c r="AP3" s="134">
        <f t="shared" si="1"/>
        <v>3.7786381613284696</v>
      </c>
      <c r="AQ3" s="134">
        <f t="shared" si="1"/>
        <v>3.7459413354714504</v>
      </c>
      <c r="AR3" s="135">
        <f t="shared" si="1"/>
        <v>3.7132146106270532</v>
      </c>
    </row>
    <row r="4" spans="1:44" ht="14.5" customHeight="1" x14ac:dyDescent="0.55000000000000004">
      <c r="A4" s="162" t="s">
        <v>140</v>
      </c>
      <c r="B4" s="162"/>
      <c r="C4" s="34">
        <f>VLOOKUP(S1,Table1[],11,FALSE)</f>
        <v>120</v>
      </c>
      <c r="D4" s="121"/>
      <c r="M4" s="120"/>
      <c r="AB4" s="87" t="str">
        <f>_xlfn.CONCAT("t = ", C2, "µm")</f>
        <v>t = 17µm</v>
      </c>
      <c r="AC4" s="86"/>
      <c r="AD4" s="85"/>
      <c r="AF4" s="85"/>
      <c r="AH4" s="88"/>
      <c r="AK4" s="23" t="s">
        <v>141</v>
      </c>
      <c r="AL4" s="158"/>
      <c r="AM4" s="136">
        <f t="shared" ref="AM4:AR4" si="2">($M$2*($AL$3-$H$2)+1)*U$28</f>
        <v>2.8741608149540103E-3</v>
      </c>
      <c r="AN4" s="136">
        <f t="shared" si="2"/>
        <v>2.9806112155078626E-3</v>
      </c>
      <c r="AO4" s="136">
        <f t="shared" si="2"/>
        <v>3.2467372168924935E-3</v>
      </c>
      <c r="AP4" s="136">
        <f t="shared" si="2"/>
        <v>3.6612145385368916E-3</v>
      </c>
      <c r="AQ4" s="136">
        <f t="shared" si="2"/>
        <v>3.9805657401984487E-3</v>
      </c>
      <c r="AR4" s="137">
        <f t="shared" si="2"/>
        <v>4.3112412224310158E-3</v>
      </c>
    </row>
    <row r="5" spans="1:44" ht="14.5" customHeight="1" x14ac:dyDescent="0.55000000000000004">
      <c r="AE5" s="168" t="str">
        <f>_xlfn.CONCAT("s = ", C4, "µm")</f>
        <v>s = 120µm</v>
      </c>
      <c r="AG5" s="165" t="str">
        <f>_xlfn.CONCAT("h2 = ", $C$1, "µm")</f>
        <v>h2 = 120µm</v>
      </c>
      <c r="AH5" s="166"/>
      <c r="AK5" s="23" t="s">
        <v>142</v>
      </c>
      <c r="AL5" s="158"/>
      <c r="AM5" s="20">
        <f t="shared" ref="AM5:AR5" si="3">IF(AM$2=0,$C$2,SQRT(1/(($H$1/(1+$M$3*($AL$26-$H$2)))*PI()*(AM$2*1000000000)*0.999991*0.0000004*PI()))*1000000)</f>
        <v>1.7703148922213725</v>
      </c>
      <c r="AN5" s="20">
        <f t="shared" si="3"/>
        <v>1.0220917795744127</v>
      </c>
      <c r="AO5" s="20">
        <f t="shared" si="3"/>
        <v>0.79170888811744067</v>
      </c>
      <c r="AP5" s="20">
        <f t="shared" si="3"/>
        <v>0.55982272351350393</v>
      </c>
      <c r="AQ5" s="20">
        <f t="shared" si="3"/>
        <v>0.45709333967442356</v>
      </c>
      <c r="AR5" s="25">
        <f t="shared" si="3"/>
        <v>0.39585444405872033</v>
      </c>
    </row>
    <row r="6" spans="1:44" ht="14.5" customHeight="1" x14ac:dyDescent="0.55000000000000004">
      <c r="A6" s="163" t="s">
        <v>220</v>
      </c>
      <c r="B6" s="163"/>
      <c r="C6" s="163"/>
      <c r="D6" s="163"/>
      <c r="E6" s="163"/>
      <c r="F6" s="163"/>
      <c r="G6" s="163"/>
      <c r="H6" s="163"/>
      <c r="AE6" s="168"/>
      <c r="AG6" s="167"/>
      <c r="AH6" s="166"/>
      <c r="AK6" s="23" t="s">
        <v>143</v>
      </c>
      <c r="AL6" s="158"/>
      <c r="AM6" s="20">
        <f t="shared" ref="AM6:AR6" si="4">0.76*(1/(($H$1/(1+$M$3*($AL$26-$H$2)))*AM5*$C$3*0.000000000001))</f>
        <v>53.11533721847222</v>
      </c>
      <c r="AN6" s="20">
        <f t="shared" si="4"/>
        <v>91.99846272354803</v>
      </c>
      <c r="AO6" s="20">
        <f t="shared" si="4"/>
        <v>118.76950466832845</v>
      </c>
      <c r="AP6" s="20">
        <f t="shared" si="4"/>
        <v>167.96544429828472</v>
      </c>
      <c r="AQ6" s="20">
        <f t="shared" si="4"/>
        <v>205.71481647533386</v>
      </c>
      <c r="AR6" s="25">
        <f t="shared" si="4"/>
        <v>237.5390093366569</v>
      </c>
    </row>
    <row r="7" spans="1:44" ht="14.7" thickBot="1" x14ac:dyDescent="0.6">
      <c r="A7" s="164"/>
      <c r="B7" s="164"/>
      <c r="C7" s="164"/>
      <c r="D7" s="164"/>
      <c r="E7" s="164"/>
      <c r="F7" s="164"/>
      <c r="G7" s="164"/>
      <c r="H7" s="164"/>
      <c r="I7" s="19"/>
      <c r="AB7" s="85"/>
      <c r="AC7" s="85"/>
      <c r="AD7" s="85"/>
      <c r="AE7" s="85"/>
      <c r="AF7" s="85"/>
      <c r="AG7" s="85"/>
      <c r="AH7" s="85"/>
      <c r="AI7" s="85"/>
      <c r="AK7" s="41" t="s">
        <v>146</v>
      </c>
      <c r="AL7" s="159"/>
      <c r="AM7" s="42">
        <f t="shared" ref="AM7:AR7" si="5">2*(60/SQRT(AM$3)*LN(1.9*(2*$C$1+$C$2)/(0.8*$C$3+$C$2)))*(1-0.347*(EXP(-2.9*($C$4/(2*$C$1+$C$2)))))</f>
        <v>90.09595111261531</v>
      </c>
      <c r="AN7" s="42">
        <f t="shared" si="5"/>
        <v>90.224608387742606</v>
      </c>
      <c r="AO7" s="42">
        <f t="shared" si="5"/>
        <v>90.614159834917331</v>
      </c>
      <c r="AP7" s="42">
        <f t="shared" si="5"/>
        <v>90.834538042594843</v>
      </c>
      <c r="AQ7" s="42">
        <f t="shared" si="5"/>
        <v>91.230105931956942</v>
      </c>
      <c r="AR7" s="43">
        <f t="shared" si="5"/>
        <v>91.631256029968824</v>
      </c>
    </row>
    <row r="8" spans="1:44" ht="14.7" thickBot="1" x14ac:dyDescent="0.6">
      <c r="A8" s="172" t="s">
        <v>148</v>
      </c>
      <c r="B8" s="173"/>
      <c r="C8" s="173"/>
      <c r="D8" s="173"/>
      <c r="E8" s="173"/>
      <c r="F8" s="173"/>
      <c r="G8" s="173"/>
      <c r="H8" s="174"/>
      <c r="AK8" s="44" t="s">
        <v>139</v>
      </c>
      <c r="AL8" s="157">
        <f>AL27</f>
        <v>0</v>
      </c>
      <c r="AM8" s="134">
        <f t="shared" ref="AM8:AR8" si="6">($M$1*($AL$8-$H$2)+1)*AVERAGE(C$28,L$28)</f>
        <v>3.7893927810727845</v>
      </c>
      <c r="AN8" s="134">
        <f t="shared" si="6"/>
        <v>3.7785933915168268</v>
      </c>
      <c r="AO8" s="134">
        <f t="shared" si="6"/>
        <v>3.7461747817423245</v>
      </c>
      <c r="AP8" s="134">
        <f t="shared" si="6"/>
        <v>3.7280192691562735</v>
      </c>
      <c r="AQ8" s="134">
        <f t="shared" si="6"/>
        <v>3.6957604521881096</v>
      </c>
      <c r="AR8" s="135">
        <f t="shared" si="6"/>
        <v>3.6634721367614231</v>
      </c>
    </row>
    <row r="9" spans="1:44" ht="14.4" x14ac:dyDescent="0.55000000000000004">
      <c r="A9" s="45" t="s">
        <v>150</v>
      </c>
      <c r="B9" s="24" t="s">
        <v>151</v>
      </c>
      <c r="C9" s="46">
        <f>VLOOKUP($S$1,Table1[],12,FALSE)</f>
        <v>1</v>
      </c>
      <c r="D9" s="46">
        <f>VLOOKUP($S$1,Table1[],13,FALSE)</f>
        <v>3</v>
      </c>
      <c r="E9" s="46">
        <f>VLOOKUP($S$1,Table1[],14,FALSE)</f>
        <v>5</v>
      </c>
      <c r="F9" s="46">
        <f>VLOOKUP($S$1,Table1[],15,FALSE)</f>
        <v>10</v>
      </c>
      <c r="G9" s="46">
        <f>VLOOKUP($S$1,Table1[],16,FALSE)</f>
        <v>15</v>
      </c>
      <c r="H9" s="47">
        <f>VLOOKUP($S$1,Table1[],17,FALSE)</f>
        <v>20</v>
      </c>
      <c r="AB9" s="172" t="str">
        <f>_xlfn.CONCAT("Stripline Loss Decomposition at ",$H$2,"°C")</f>
        <v>Stripline Loss Decomposition at 25°C</v>
      </c>
      <c r="AC9" s="173"/>
      <c r="AD9" s="173"/>
      <c r="AE9" s="173"/>
      <c r="AF9" s="173"/>
      <c r="AG9" s="173"/>
      <c r="AH9" s="173"/>
      <c r="AI9" s="174"/>
      <c r="AK9" s="23" t="s">
        <v>141</v>
      </c>
      <c r="AL9" s="158"/>
      <c r="AM9" s="136">
        <f t="shared" ref="AM9:AR9" si="7">($M$2*($AL$8-$H$2)+1)*U$28</f>
        <v>4.4285233903669265E-3</v>
      </c>
      <c r="AN9" s="136">
        <f t="shared" si="7"/>
        <v>4.5925427751953313E-3</v>
      </c>
      <c r="AO9" s="136">
        <f t="shared" si="7"/>
        <v>5.0025912372663435E-3</v>
      </c>
      <c r="AP9" s="136">
        <f t="shared" si="7"/>
        <v>5.6412202604333109E-3</v>
      </c>
      <c r="AQ9" s="136">
        <f t="shared" si="7"/>
        <v>6.1332784149185247E-3</v>
      </c>
      <c r="AR9" s="137">
        <f t="shared" si="7"/>
        <v>6.6427850855503897E-3</v>
      </c>
    </row>
    <row r="10" spans="1:44" ht="14.4" x14ac:dyDescent="0.55000000000000004">
      <c r="A10" s="48">
        <f>VLOOKUP($S$1,Table1[],18,FALSE)</f>
        <v>122</v>
      </c>
      <c r="B10" s="49">
        <f>VLOOKUP($S$1,Table1[],21,FALSE)</f>
        <v>0.53</v>
      </c>
      <c r="C10" s="50">
        <f>VLOOKUP($S$1,Table1[],24,FALSE)</f>
        <v>4.05</v>
      </c>
      <c r="D10" s="50">
        <f>VLOOKUP($S$1,Table1[],25,FALSE)</f>
        <v>4.04</v>
      </c>
      <c r="E10" s="50">
        <f>VLOOKUP($S$1,Table1[],26,FALSE)</f>
        <v>4.01</v>
      </c>
      <c r="F10" s="50">
        <f>VLOOKUP($S$1,Table1[],27,FALSE)</f>
        <v>3.96</v>
      </c>
      <c r="G10" s="50">
        <f>VLOOKUP($S$1,Table1[],28,FALSE)</f>
        <v>3.93</v>
      </c>
      <c r="H10" s="51">
        <f>VLOOKUP($S$1,Table1[],29,FALSE)</f>
        <v>3.9</v>
      </c>
      <c r="AB10" s="170" t="s">
        <v>133</v>
      </c>
      <c r="AC10" s="171"/>
      <c r="AD10" s="38">
        <f t="shared" ref="AD10:AI10" si="8">L24</f>
        <v>1</v>
      </c>
      <c r="AE10" s="38">
        <f t="shared" si="8"/>
        <v>3</v>
      </c>
      <c r="AF10" s="38">
        <f t="shared" si="8"/>
        <v>5</v>
      </c>
      <c r="AG10" s="38">
        <f t="shared" si="8"/>
        <v>10</v>
      </c>
      <c r="AH10" s="38">
        <f t="shared" si="8"/>
        <v>15</v>
      </c>
      <c r="AI10" s="39">
        <f t="shared" si="8"/>
        <v>20</v>
      </c>
      <c r="AK10" s="23" t="s">
        <v>142</v>
      </c>
      <c r="AL10" s="158"/>
      <c r="AM10" s="20">
        <f t="shared" ref="AM10:AR10" si="9">IF(AM$2=0,$C$2,SQRT(1/(($H$1/(1+$M$3*($AL$27-$H$2)))*PI()*(AM$2*1000000000)*0.999991*0.0000004*PI()))*1000000)</f>
        <v>1.9546940994170934</v>
      </c>
      <c r="AN10" s="20">
        <f t="shared" si="9"/>
        <v>1.128543164481832</v>
      </c>
      <c r="AO10" s="20">
        <f t="shared" si="9"/>
        <v>0.87416577630287073</v>
      </c>
      <c r="AP10" s="20">
        <f t="shared" si="9"/>
        <v>0.61812854830496244</v>
      </c>
      <c r="AQ10" s="20">
        <f t="shared" si="9"/>
        <v>0.50469984626482056</v>
      </c>
      <c r="AR10" s="25">
        <f t="shared" si="9"/>
        <v>0.43708288815143537</v>
      </c>
    </row>
    <row r="11" spans="1:44" ht="14.4" x14ac:dyDescent="0.55000000000000004">
      <c r="A11" s="48">
        <f>VLOOKUP($S$1,Table1[],19,FALSE)</f>
        <v>127</v>
      </c>
      <c r="B11" s="49">
        <f>VLOOKUP($S$1,Table1[],22,FALSE)</f>
        <v>0.55000000000000004</v>
      </c>
      <c r="C11" s="50">
        <f>VLOOKUP($S$1,Table1[],30,FALSE)</f>
        <v>3.98</v>
      </c>
      <c r="D11" s="50">
        <f>VLOOKUP($S$1,Table1[],31,FALSE)</f>
        <v>3.97</v>
      </c>
      <c r="E11" s="50">
        <f>VLOOKUP($S$1,Table1[],32,FALSE)</f>
        <v>3.94</v>
      </c>
      <c r="F11" s="50">
        <f>VLOOKUP($S$1,Table1[],33,FALSE)</f>
        <v>3.9</v>
      </c>
      <c r="G11" s="50">
        <f>VLOOKUP($S$1,Table1[],34,FALSE)</f>
        <v>3.87</v>
      </c>
      <c r="H11" s="51">
        <f>VLOOKUP($S$1,Table1[],35,FALSE)</f>
        <v>3.84</v>
      </c>
      <c r="AB11" s="23" t="s">
        <v>154</v>
      </c>
      <c r="AC11" s="157">
        <f>H2</f>
        <v>25</v>
      </c>
      <c r="AD11" s="20">
        <f t="shared" ref="AD11:AI11" si="10">IF(AD$10=0,$C$2,SQRT(1/(($H$1/(1+$M$3*($AC$11-$H$2)))*PI()*(AD$10*1000000000)*0.999991*0.0000004*PI()))*1000000)</f>
        <v>2.0615741316329186</v>
      </c>
      <c r="AE11" s="20">
        <f t="shared" si="10"/>
        <v>1.1902503798526345</v>
      </c>
      <c r="AF11" s="20">
        <f t="shared" si="10"/>
        <v>0.92196397979726119</v>
      </c>
      <c r="AG11" s="20">
        <f t="shared" si="10"/>
        <v>0.65192698212438038</v>
      </c>
      <c r="AH11" s="20">
        <f t="shared" si="10"/>
        <v>0.53229615191908741</v>
      </c>
      <c r="AI11" s="25">
        <f t="shared" si="10"/>
        <v>0.4609819898986306</v>
      </c>
      <c r="AK11" s="23" t="s">
        <v>143</v>
      </c>
      <c r="AL11" s="158"/>
      <c r="AM11" s="20">
        <f t="shared" ref="AM11:AR11" si="11">0.76*(1/(($H$1/(1+$M$3*($AL$27-$H$2)))*AM10*$C$3*0.000000000001))</f>
        <v>58.647326927933825</v>
      </c>
      <c r="AN11" s="20">
        <f t="shared" si="11"/>
        <v>101.58014996728375</v>
      </c>
      <c r="AO11" s="20">
        <f t="shared" si="11"/>
        <v>131.13940970951393</v>
      </c>
      <c r="AP11" s="20">
        <f t="shared" si="11"/>
        <v>185.45913177279652</v>
      </c>
      <c r="AQ11" s="20">
        <f t="shared" si="11"/>
        <v>227.14012049146945</v>
      </c>
      <c r="AR11" s="25">
        <f t="shared" si="11"/>
        <v>262.27881941902785</v>
      </c>
    </row>
    <row r="12" spans="1:44" ht="14.7" thickBot="1" x14ac:dyDescent="0.6">
      <c r="A12" s="52">
        <f>VLOOKUP($S$1,Table1[],20,FALSE)</f>
        <v>140</v>
      </c>
      <c r="B12" s="53">
        <f>VLOOKUP($S$1,Table1[],23,FALSE)</f>
        <v>0.57999999999999996</v>
      </c>
      <c r="C12" s="54">
        <f>VLOOKUP($S$1,Table1[],36,FALSE)</f>
        <v>3.89</v>
      </c>
      <c r="D12" s="54">
        <f>VLOOKUP($S$1,Table1[],37,FALSE)</f>
        <v>3.88</v>
      </c>
      <c r="E12" s="54">
        <f>VLOOKUP($S$1,Table1[],38,FALSE)</f>
        <v>3.85</v>
      </c>
      <c r="F12" s="54">
        <f>VLOOKUP($S$1,Table1[],39,FALSE)</f>
        <v>3.81</v>
      </c>
      <c r="G12" s="54">
        <f>VLOOKUP($S$1,Table1[],40,FALSE)</f>
        <v>3.78</v>
      </c>
      <c r="H12" s="55">
        <f>VLOOKUP($S$1,Table1[],41,FALSE)</f>
        <v>3.75</v>
      </c>
      <c r="AB12" s="23" t="s">
        <v>156</v>
      </c>
      <c r="AC12" s="158"/>
      <c r="AD12" s="20">
        <f t="shared" ref="AD12:AI12" si="12">0.76*(1/(($H$1/(1+$M$3*($AC$11-$H$2)))*MIN($C$2,AD11)*$C$3*0.000000000001))</f>
        <v>61.854083521356216</v>
      </c>
      <c r="AE12" s="20">
        <f t="shared" si="12"/>
        <v>107.13441531459782</v>
      </c>
      <c r="AF12" s="20">
        <f t="shared" si="12"/>
        <v>138.30993543970203</v>
      </c>
      <c r="AG12" s="20">
        <f t="shared" si="12"/>
        <v>195.59978650977382</v>
      </c>
      <c r="AH12" s="20">
        <f t="shared" si="12"/>
        <v>239.55983537313517</v>
      </c>
      <c r="AI12" s="25">
        <f t="shared" si="12"/>
        <v>276.61987087940406</v>
      </c>
      <c r="AK12" s="41" t="s">
        <v>146</v>
      </c>
      <c r="AL12" s="159"/>
      <c r="AM12" s="42">
        <f t="shared" ref="AM12:AR12" si="13">2*(60/SQRT(AM$8)*LN(1.9*(2*$C$1+$C$2)/(0.8*$C$3+$C$2)))*(1-0.347*(EXP(-2.9*($C$4/(2*$C$1+$C$2)))))</f>
        <v>90.705548375513132</v>
      </c>
      <c r="AN12" s="42">
        <f t="shared" si="13"/>
        <v>90.835076157270294</v>
      </c>
      <c r="AO12" s="42">
        <f t="shared" si="13"/>
        <v>91.227263344375885</v>
      </c>
      <c r="AP12" s="42">
        <f t="shared" si="13"/>
        <v>91.44913265071591</v>
      </c>
      <c r="AQ12" s="42">
        <f t="shared" si="13"/>
        <v>91.847376987794789</v>
      </c>
      <c r="AR12" s="43">
        <f t="shared" si="13"/>
        <v>92.251241303246388</v>
      </c>
    </row>
    <row r="13" spans="1:44" ht="14.7" thickBot="1" x14ac:dyDescent="0.6">
      <c r="AB13" s="26" t="s">
        <v>158</v>
      </c>
      <c r="AC13" s="161"/>
      <c r="AD13" s="27">
        <f t="shared" ref="AD13:AI13" si="14">2*_xlfn.LET(
   _xlpm.k, _xlfn.SECH((PI()*$C$3)/(4*$C$1)),
   _xlpm.k_, TANH((PI()*$C$3)/(4*$C$1)),
   _xlpm.ko, TANH((PI()*$C$3)/(4*$C$1))*_xlfn.COTH(PI()*($C$3+$C$4)/(4*$C$1)),
   _xlpm.ko_, SQRT(1-_xlpm.ko^2),
   _xlpm.dw_t, 1/PI()*(1-0.5*LN((1/(2*(2*$C$1+$C$2)/$C$2+1))^2 + ((1/(4*PI()))/($C$3/$C$2+1.1))^(6/(3 + 2*$C$2/(2*$C$1+$C$2))))),
   _xlpm.w_,  $C$3 + _xlpm.dw_t*$C$2,
   _xlpm.Zo_wt,(60*PI()/(2*PI()*SQRT(AVERAGE(C$28,L$28)))) * LN(1+0.5*(8/PI()*(2*$C$1+$C$2)/_xlpm.w_)*((8/PI()*(2*$C$1+$C$2)/_xlpm.w_)+SQRT((8/PI()*(2*$C$1+$C$2)/_xlpm.w_)^2+6.27))),
   _xlpm.Zo_w0,(30*PI()/SQRT(AVERAGE(C$28,L$28)))*(
     (1+(1/4)*_xlpm.k^2 +(9/64)*_xlpm.k^4 +(25/256)*_xlpm.k^6 +(1225/16384)*_xlpm.k^8 +(3969/65536)*_xlpm.k^10 +(11025/262144)*_xlpm.k_^12)/
     (1+(1/4)*_xlpm.k_^2+(9/64)*_xlpm.k_^4+(25/256)*_xlpm.k_^6+(1225/16384)*_xlpm.k_^8+(3969/65536)*_xlpm.k_^10+(11025/262144)*_xlpm.k^12)),
   _xlpm.Zo_odd_w0s,(30*PI()/SQRT(AVERAGE(C$28,L$28)))*(
     (1+(1/4)*_xlpm.ko_^2+(9/64)*_xlpm.ko_^4+(25/256)*_xlpm.ko_^6+(1225/16384)*_xlpm.ko_^8+(3969/65536)*_xlpm.ko_^10+(11025/262144)*_xlpm.ko_^12)/
     (1+(1/4)*_xlpm.ko^2 +(9/64)*_xlpm.ko^4 +(25/256)*_xlpm.ko^6 +(1225/16384)*_xlpm.ko^8 +(3969/65536)*_xlpm.ko^10 +(11025/262144)*_xlpm.ko^12)),
   _xlpm.Cft_, 0.0000000000885*AVERAGE(C$28,L$28)/PI()*((2/(1-$C$2/(2*$C$1+$C$2)))*LN((1/(1-$C$2/(2*$C$1+$C$2)))+1)-((1/(1-$C$2/(2*$C$1+$C$2)))-1)*LN((1/(1-$C$2/(2*$C$1+$C$2)))^2-1)),
   _xlpm.Cf0_, 0.0000000000885*AVERAGE(C$28,L$28)/PI()*2*LN(2),
   _xlpm.Zo_odd_wts, IF($C$4/$C$2&gt;=5, 1/(1/_xlpm.Zo_wt+(_xlpm.Cft_/_xlpm.Cf0_)*(1/_xlpm.Zo_odd_w0s - 1/_xlpm.Zo_w0)), 1/(1/_xlpm.Zo_odd_w0s + (1/_xlpm.Zo_wt-1/_xlpm.Zo_w0) - 2/(120*PI()*(0.0885*AVERAGE(C$28,L$28)))*(_xlpm.Cft_-_xlpm.Cf0_) + (2*$C$2)/(120*PI()*$C$4))),
   (_xlpm.Zo_odd_wts*46.78/49.23)
)</f>
        <v>92.790017063964314</v>
      </c>
      <c r="AE13" s="27">
        <f t="shared" si="14"/>
        <v>92.922521472953193</v>
      </c>
      <c r="AF13" s="27">
        <f t="shared" si="14"/>
        <v>93.323721360231701</v>
      </c>
      <c r="AG13" s="27">
        <f t="shared" si="14"/>
        <v>93.550689358220438</v>
      </c>
      <c r="AH13" s="27">
        <f t="shared" si="14"/>
        <v>93.958085592463945</v>
      </c>
      <c r="AI13" s="28">
        <f t="shared" si="14"/>
        <v>94.371230955602513</v>
      </c>
      <c r="AK13" s="44" t="s">
        <v>139</v>
      </c>
      <c r="AL13" s="157">
        <f>AL28</f>
        <v>25</v>
      </c>
      <c r="AM13" s="134">
        <f t="shared" ref="AM13:AR13" si="15">($M$1*($AL$13-$H$2)+1)*AVERAGE(C$28,L$28)</f>
        <v>3.7572351440786917</v>
      </c>
      <c r="AN13" s="134">
        <f t="shared" si="15"/>
        <v>3.7465274005645042</v>
      </c>
      <c r="AO13" s="134">
        <f t="shared" si="15"/>
        <v>3.714383902383128</v>
      </c>
      <c r="AP13" s="134">
        <f t="shared" si="15"/>
        <v>3.6963824615486516</v>
      </c>
      <c r="AQ13" s="134">
        <f t="shared" si="15"/>
        <v>3.6643974001360222</v>
      </c>
      <c r="AR13" s="135">
        <f t="shared" si="15"/>
        <v>3.6323830905954049</v>
      </c>
    </row>
    <row r="14" spans="1:44" ht="14.4" x14ac:dyDescent="0.55000000000000004">
      <c r="A14" s="172" t="s">
        <v>160</v>
      </c>
      <c r="B14" s="173"/>
      <c r="C14" s="173"/>
      <c r="D14" s="173"/>
      <c r="E14" s="173"/>
      <c r="F14" s="173"/>
      <c r="G14" s="173"/>
      <c r="H14" s="174"/>
      <c r="AB14" s="23" t="s">
        <v>162</v>
      </c>
      <c r="AC14" s="158">
        <f>H2</f>
        <v>25</v>
      </c>
      <c r="AD14" s="30">
        <f t="shared" ref="AD14:AI14" si="16">20*LOG(EXP(1))*(2*PI()/(2*0.299795637693216))*SQRT(AVERAGE(C28,L28))*(AD10)*U28</f>
        <v>0.95272336963681148</v>
      </c>
      <c r="AE14" s="30">
        <f t="shared" si="16"/>
        <v>2.9598016558868414</v>
      </c>
      <c r="AF14" s="30">
        <f t="shared" si="16"/>
        <v>5.3503489060531626</v>
      </c>
      <c r="AG14" s="30">
        <f t="shared" si="16"/>
        <v>12.037469367047326</v>
      </c>
      <c r="AH14" s="30">
        <f t="shared" si="16"/>
        <v>19.546045672950971</v>
      </c>
      <c r="AI14" s="31">
        <f t="shared" si="16"/>
        <v>28.102807443751743</v>
      </c>
      <c r="AK14" s="23" t="s">
        <v>141</v>
      </c>
      <c r="AL14" s="158"/>
      <c r="AM14" s="136">
        <f t="shared" ref="AM14:AR14" si="17">($M$2*($AL$13-$H$2)+1)*U$28</f>
        <v>5.3999999999999994E-3</v>
      </c>
      <c r="AN14" s="136">
        <f t="shared" si="17"/>
        <v>5.5999999999999999E-3</v>
      </c>
      <c r="AO14" s="136">
        <f t="shared" si="17"/>
        <v>6.1000000000000004E-3</v>
      </c>
      <c r="AP14" s="136">
        <f t="shared" si="17"/>
        <v>6.8787238366185728E-3</v>
      </c>
      <c r="AQ14" s="136">
        <f t="shared" si="17"/>
        <v>7.4787238366185727E-3</v>
      </c>
      <c r="AR14" s="137">
        <f t="shared" si="17"/>
        <v>8.0999999999999996E-3</v>
      </c>
    </row>
    <row r="15" spans="1:44" ht="14.4" x14ac:dyDescent="0.55000000000000004">
      <c r="A15" s="45" t="s">
        <v>150</v>
      </c>
      <c r="B15" s="24" t="s">
        <v>151</v>
      </c>
      <c r="C15" s="46">
        <f>VLOOKUP($S$1,Table1[],12,FALSE)</f>
        <v>1</v>
      </c>
      <c r="D15" s="46">
        <f>VLOOKUP($S$1,Table1[],13,FALSE)</f>
        <v>3</v>
      </c>
      <c r="E15" s="46">
        <f>VLOOKUP($S$1,Table1[],14,FALSE)</f>
        <v>5</v>
      </c>
      <c r="F15" s="46">
        <f>VLOOKUP($S$1,Table1[],15,FALSE)</f>
        <v>10</v>
      </c>
      <c r="G15" s="46">
        <f>VLOOKUP($S$1,Table1[],16,FALSE)</f>
        <v>15</v>
      </c>
      <c r="H15" s="47">
        <f>VLOOKUP($S$1,Table1[],17,FALSE)</f>
        <v>20</v>
      </c>
      <c r="AB15" s="23" t="s">
        <v>164</v>
      </c>
      <c r="AC15" s="158"/>
      <c r="AD15" s="30">
        <f t="shared" ref="AD15:AI15" si="18">20*LOG(EXP(1))*AD12/(AD13)</f>
        <v>5.7900381973181609</v>
      </c>
      <c r="AE15" s="30">
        <f t="shared" si="18"/>
        <v>10.014339829683564</v>
      </c>
      <c r="AF15" s="30">
        <f t="shared" si="18"/>
        <v>12.872877523174772</v>
      </c>
      <c r="AG15" s="30">
        <f t="shared" si="18"/>
        <v>18.160829925554019</v>
      </c>
      <c r="AH15" s="30">
        <f t="shared" si="18"/>
        <v>22.145941763749324</v>
      </c>
      <c r="AI15" s="31">
        <f t="shared" si="18"/>
        <v>25.459980184900452</v>
      </c>
      <c r="AK15" s="23" t="s">
        <v>142</v>
      </c>
      <c r="AL15" s="158"/>
      <c r="AM15" s="20">
        <f t="shared" ref="AM15:AR15" si="19">IF(AM$2=0,$C$2,SQRT(1/(($H$1/(1+$M$3*($AL$28-$H$2)))*PI()*(AM$2*1000000000)*0.999991*0.0000004*PI()))*1000000)</f>
        <v>2.0615741316329186</v>
      </c>
      <c r="AN15" s="20">
        <f t="shared" si="19"/>
        <v>1.1902503798526345</v>
      </c>
      <c r="AO15" s="20">
        <f t="shared" si="19"/>
        <v>0.92196397979726119</v>
      </c>
      <c r="AP15" s="20">
        <f t="shared" si="19"/>
        <v>0.65192698212438038</v>
      </c>
      <c r="AQ15" s="20">
        <f t="shared" si="19"/>
        <v>0.53229615191908741</v>
      </c>
      <c r="AR15" s="25">
        <f t="shared" si="19"/>
        <v>0.4609819898986306</v>
      </c>
    </row>
    <row r="16" spans="1:44" ht="14.4" x14ac:dyDescent="0.55000000000000004">
      <c r="A16" s="48">
        <f>VLOOKUP($S$1,Table1[],18,FALSE)</f>
        <v>122</v>
      </c>
      <c r="B16" s="49">
        <f>VLOOKUP($S$1,Table1[],21,FALSE)</f>
        <v>0.53</v>
      </c>
      <c r="C16" s="56">
        <f>VLOOKUP($S$1,Table1[],42,FALSE)</f>
        <v>5.4000000000000003E-3</v>
      </c>
      <c r="D16" s="56">
        <f>VLOOKUP($S$1,Table1[],43,FALSE)</f>
        <v>5.5999999999999999E-3</v>
      </c>
      <c r="E16" s="56">
        <f>VLOOKUP($S$1,Table1[],44,FALSE)</f>
        <v>6.1000000000000004E-3</v>
      </c>
      <c r="F16" s="56">
        <f>VLOOKUP($S$1,Table1[],45,FALSE)</f>
        <v>6.8999999999999999E-3</v>
      </c>
      <c r="G16" s="56">
        <f>VLOOKUP($S$1,Table1[],46,FALSE)</f>
        <v>7.4999999999999997E-3</v>
      </c>
      <c r="H16" s="57">
        <f>VLOOKUP($S$1,Table1[],47,FALSE)</f>
        <v>8.0999999999999996E-3</v>
      </c>
      <c r="AB16" s="23" t="s">
        <v>166</v>
      </c>
      <c r="AC16" s="158"/>
      <c r="AD16" s="30">
        <f t="shared" ref="AD16:AI16" si="20">AD15*(1+(2/PI())*ATAN(1.4*($H$3/AD$11)^2))</f>
        <v>5.9822240718452653</v>
      </c>
      <c r="AE16" s="30">
        <f t="shared" si="20"/>
        <v>11.004410714837475</v>
      </c>
      <c r="AF16" s="30">
        <f t="shared" si="20"/>
        <v>14.964592232898681</v>
      </c>
      <c r="AG16" s="30">
        <f t="shared" si="20"/>
        <v>23.721724052266172</v>
      </c>
      <c r="AH16" s="30">
        <f t="shared" si="20"/>
        <v>31.509606223387348</v>
      </c>
      <c r="AI16" s="31">
        <f t="shared" si="20"/>
        <v>38.536645972570135</v>
      </c>
      <c r="AK16" s="23" t="s">
        <v>143</v>
      </c>
      <c r="AL16" s="158"/>
      <c r="AM16" s="20">
        <f t="shared" ref="AM16:AR16" si="21">0.76*(1/(($H$1/(1+$M$3*($AL$28-$H$2)))*AM15*$C$3*0.000000000001))</f>
        <v>61.854083521356216</v>
      </c>
      <c r="AN16" s="20">
        <f t="shared" si="21"/>
        <v>107.13441531459782</v>
      </c>
      <c r="AO16" s="20">
        <f t="shared" si="21"/>
        <v>138.30993543970203</v>
      </c>
      <c r="AP16" s="20">
        <f t="shared" si="21"/>
        <v>195.59978650977382</v>
      </c>
      <c r="AQ16" s="20">
        <f t="shared" si="21"/>
        <v>239.55983537313517</v>
      </c>
      <c r="AR16" s="25">
        <f t="shared" si="21"/>
        <v>276.61987087940406</v>
      </c>
    </row>
    <row r="17" spans="1:44" ht="14.7" thickBot="1" x14ac:dyDescent="0.6">
      <c r="A17" s="48">
        <f>VLOOKUP($S$1,Table1[],19,FALSE)</f>
        <v>127</v>
      </c>
      <c r="B17" s="49">
        <f>VLOOKUP($S$1,Table1[],22,FALSE)</f>
        <v>0.55000000000000004</v>
      </c>
      <c r="C17" s="56">
        <f>VLOOKUP($S$1,Table1[],48,FALSE)</f>
        <v>5.4000000000000003E-3</v>
      </c>
      <c r="D17" s="56">
        <f>VLOOKUP($S$1,Table1[],49,FALSE)</f>
        <v>5.5999999999999999E-3</v>
      </c>
      <c r="E17" s="56">
        <f>VLOOKUP($S$1,Table1[],50,FALSE)</f>
        <v>6.1000000000000004E-3</v>
      </c>
      <c r="F17" s="56">
        <f>VLOOKUP($S$1,Table1[],51,FALSE)</f>
        <v>6.8999999999999999E-3</v>
      </c>
      <c r="G17" s="56">
        <f>VLOOKUP($S$1,Table1[],52,FALSE)</f>
        <v>7.4999999999999997E-3</v>
      </c>
      <c r="H17" s="57">
        <f>VLOOKUP($S$1,Table1[],53,FALSE)</f>
        <v>8.0999999999999996E-3</v>
      </c>
      <c r="AB17" s="26" t="s">
        <v>167</v>
      </c>
      <c r="AC17" s="161"/>
      <c r="AD17" s="27">
        <f t="shared" ref="AD17:AI17" si="22">AD16+AD14</f>
        <v>6.9349474414820769</v>
      </c>
      <c r="AE17" s="27">
        <f t="shared" si="22"/>
        <v>13.964212370724315</v>
      </c>
      <c r="AF17" s="27">
        <f t="shared" si="22"/>
        <v>20.314941138951845</v>
      </c>
      <c r="AG17" s="27">
        <f t="shared" si="22"/>
        <v>35.759193419313497</v>
      </c>
      <c r="AH17" s="27">
        <f t="shared" si="22"/>
        <v>51.055651896338318</v>
      </c>
      <c r="AI17" s="28">
        <f t="shared" si="22"/>
        <v>66.639453416321885</v>
      </c>
      <c r="AK17" s="41" t="s">
        <v>146</v>
      </c>
      <c r="AL17" s="159"/>
      <c r="AM17" s="42">
        <f t="shared" ref="AM17:AR17" si="23">2*(60/SQRT(AM$13)*LN(1.9*(2*$C$1+$C$2)/(0.8*$C$3+$C$2)))*(1-0.347*(EXP(-2.9*($C$4/(2*$C$1+$C$2)))))</f>
        <v>91.092889235532454</v>
      </c>
      <c r="AN17" s="42">
        <f t="shared" si="23"/>
        <v>91.222970141142369</v>
      </c>
      <c r="AO17" s="42">
        <f t="shared" si="23"/>
        <v>91.616832089329961</v>
      </c>
      <c r="AP17" s="42">
        <f t="shared" si="23"/>
        <v>91.839648846509192</v>
      </c>
      <c r="AQ17" s="42">
        <f t="shared" si="23"/>
        <v>92.239593810581511</v>
      </c>
      <c r="AR17" s="43">
        <f t="shared" si="23"/>
        <v>92.645182752079492</v>
      </c>
    </row>
    <row r="18" spans="1:44" ht="14.7" thickBot="1" x14ac:dyDescent="0.6">
      <c r="A18" s="52">
        <f>VLOOKUP($S$1,Table1[],20,FALSE)</f>
        <v>140</v>
      </c>
      <c r="B18" s="53">
        <f>VLOOKUP($S$1,Table1[],23,FALSE)</f>
        <v>0.57999999999999996</v>
      </c>
      <c r="C18" s="58">
        <f>VLOOKUP($S$1,Table1[],54,FALSE)</f>
        <v>5.4000000000000003E-3</v>
      </c>
      <c r="D18" s="58">
        <f>VLOOKUP($S$1,Table1[],55,FALSE)</f>
        <v>5.5999999999999999E-3</v>
      </c>
      <c r="E18" s="58">
        <f>VLOOKUP($S$1,Table1[],56,FALSE)</f>
        <v>6.1000000000000004E-3</v>
      </c>
      <c r="F18" s="58">
        <f>VLOOKUP($S$1,Table1[],57,FALSE)</f>
        <v>7.0000000000000001E-3</v>
      </c>
      <c r="G18" s="58">
        <f>VLOOKUP($S$1,Table1[],58,FALSE)</f>
        <v>7.6E-3</v>
      </c>
      <c r="H18" s="59">
        <f>VLOOKUP($S$1,Table1[],59,FALSE)</f>
        <v>8.0999999999999996E-3</v>
      </c>
      <c r="AK18" s="23" t="s">
        <v>139</v>
      </c>
      <c r="AL18" s="158">
        <f>AL29</f>
        <v>90</v>
      </c>
      <c r="AM18" s="134">
        <f t="shared" ref="AM18:AR18" si="24">($M$1*($AL$18-$H$2)+1)*AVERAGE(C$28,L$28)</f>
        <v>3.6736252878940494</v>
      </c>
      <c r="AN18" s="134">
        <f t="shared" si="24"/>
        <v>3.6631558240884647</v>
      </c>
      <c r="AO18" s="134">
        <f t="shared" si="24"/>
        <v>3.6317276160492167</v>
      </c>
      <c r="AP18" s="134">
        <f t="shared" si="24"/>
        <v>3.614126761768834</v>
      </c>
      <c r="AQ18" s="134">
        <f t="shared" si="24"/>
        <v>3.5828534648005945</v>
      </c>
      <c r="AR18" s="135">
        <f t="shared" si="24"/>
        <v>3.551551570563757</v>
      </c>
    </row>
    <row r="19" spans="1:44" ht="14.7" thickBot="1" x14ac:dyDescent="0.6">
      <c r="AK19" s="23" t="s">
        <v>141</v>
      </c>
      <c r="AL19" s="158"/>
      <c r="AM19" s="136">
        <f t="shared" ref="AM19:AR19" si="25">($M$2*($AL$18-$H$2)+1)*U$28</f>
        <v>7.9258391850459894E-3</v>
      </c>
      <c r="AN19" s="136">
        <f t="shared" si="25"/>
        <v>8.2193887844921373E-3</v>
      </c>
      <c r="AO19" s="136">
        <f t="shared" si="25"/>
        <v>8.9532627831075077E-3</v>
      </c>
      <c r="AP19" s="136">
        <f t="shared" si="25"/>
        <v>1.0096233134700254E-2</v>
      </c>
      <c r="AQ19" s="136">
        <f t="shared" si="25"/>
        <v>1.0976881933038697E-2</v>
      </c>
      <c r="AR19" s="137">
        <f t="shared" si="25"/>
        <v>1.1888758777568984E-2</v>
      </c>
    </row>
    <row r="20" spans="1:44" ht="14.4" x14ac:dyDescent="0.55000000000000004">
      <c r="A20" s="177" t="s">
        <v>170</v>
      </c>
      <c r="B20" s="178"/>
      <c r="C20" s="13">
        <f t="shared" ref="C20:H20" si="26">INTERCEPT(C10:C12,$B10:$B12)</f>
        <v>5.7352631578947362</v>
      </c>
      <c r="D20" s="13">
        <f t="shared" si="26"/>
        <v>5.7252631578947408</v>
      </c>
      <c r="E20" s="13">
        <f t="shared" si="26"/>
        <v>5.6952631578947361</v>
      </c>
      <c r="F20" s="13">
        <f t="shared" si="26"/>
        <v>5.5500000000000016</v>
      </c>
      <c r="G20" s="13">
        <f t="shared" si="26"/>
        <v>5.5200000000000067</v>
      </c>
      <c r="H20" s="14">
        <f t="shared" si="26"/>
        <v>5.4900000000000011</v>
      </c>
      <c r="S20" s="177" t="s">
        <v>171</v>
      </c>
      <c r="T20" s="178"/>
      <c r="U20" s="130">
        <f t="shared" ref="U20:Z20" si="27">INTERCEPT(C16:C18,$B16:$B18)</f>
        <v>5.3999999999999994E-3</v>
      </c>
      <c r="V20" s="130">
        <f t="shared" si="27"/>
        <v>5.5999999999999999E-3</v>
      </c>
      <c r="W20" s="130">
        <f t="shared" si="27"/>
        <v>6.1000000000000004E-3</v>
      </c>
      <c r="X20" s="130">
        <f t="shared" si="27"/>
        <v>5.7684210526315746E-3</v>
      </c>
      <c r="Y20" s="130">
        <f t="shared" si="27"/>
        <v>6.3684210526315744E-3</v>
      </c>
      <c r="Z20" s="131">
        <f t="shared" si="27"/>
        <v>8.0999999999999996E-3</v>
      </c>
      <c r="AJ20" s="60"/>
      <c r="AK20" s="23" t="s">
        <v>142</v>
      </c>
      <c r="AL20" s="158"/>
      <c r="AM20" s="20">
        <f t="shared" ref="AM20:AR20" si="28">IF(AM$2=0,$C$2,SQRT(1/(($H$1/(1+$M$3*($AL$29-$H$2)))*PI()*(AM$2*1000000000)*0.999991*0.0000004*PI()))*1000000)</f>
        <v>2.3164975680572764</v>
      </c>
      <c r="AN20" s="20">
        <f t="shared" si="28"/>
        <v>1.337430494494982</v>
      </c>
      <c r="AO20" s="20">
        <f t="shared" si="28"/>
        <v>1.035969206377803</v>
      </c>
      <c r="AP20" s="20">
        <f t="shared" si="28"/>
        <v>0.73254085093019039</v>
      </c>
      <c r="AQ20" s="20">
        <f t="shared" si="28"/>
        <v>0.59811710017438746</v>
      </c>
      <c r="AR20" s="25">
        <f t="shared" si="28"/>
        <v>0.51798460318890149</v>
      </c>
    </row>
    <row r="21" spans="1:44" ht="14.7" thickBot="1" x14ac:dyDescent="0.6">
      <c r="A21" s="179" t="s">
        <v>173</v>
      </c>
      <c r="B21" s="180"/>
      <c r="C21" s="15">
        <f t="shared" ref="C21:H21" si="29">SLOPE(C10:C12,$B10:$B12)*100%+C20</f>
        <v>2.5510526315789477</v>
      </c>
      <c r="D21" s="15">
        <f t="shared" si="29"/>
        <v>2.5410526315789435</v>
      </c>
      <c r="E21" s="15">
        <f t="shared" si="29"/>
        <v>2.5110526315789476</v>
      </c>
      <c r="F21" s="15">
        <f t="shared" si="29"/>
        <v>2.5499999999999994</v>
      </c>
      <c r="G21" s="15">
        <f t="shared" si="29"/>
        <v>2.5199999999999947</v>
      </c>
      <c r="H21" s="16">
        <f t="shared" si="29"/>
        <v>2.4899999999999989</v>
      </c>
      <c r="S21" s="179" t="s">
        <v>174</v>
      </c>
      <c r="T21" s="180"/>
      <c r="U21" s="132">
        <f t="shared" ref="U21:Z21" si="30">SLOPE(C16:C18,$B16:$B18)*100%+U20</f>
        <v>5.3999999999999994E-3</v>
      </c>
      <c r="V21" s="132">
        <f t="shared" si="30"/>
        <v>5.5999999999999999E-3</v>
      </c>
      <c r="W21" s="132">
        <f t="shared" si="30"/>
        <v>6.1000000000000004E-3</v>
      </c>
      <c r="X21" s="132">
        <f t="shared" si="30"/>
        <v>7.8736842105263192E-3</v>
      </c>
      <c r="Y21" s="132">
        <f t="shared" si="30"/>
        <v>8.473684210526319E-3</v>
      </c>
      <c r="Z21" s="133">
        <f t="shared" si="30"/>
        <v>8.0999999999999996E-3</v>
      </c>
      <c r="AK21" s="23" t="s">
        <v>143</v>
      </c>
      <c r="AL21" s="158"/>
      <c r="AM21" s="20">
        <f t="shared" ref="AM21:AR21" si="31">0.76*(1/(($H$1/(1+$M$3*($AL$29-$H$2)))*AM20*$C$3*0.000000000001))</f>
        <v>69.502634832801832</v>
      </c>
      <c r="AN21" s="20">
        <f t="shared" si="31"/>
        <v>120.38209479031919</v>
      </c>
      <c r="AO21" s="20">
        <f t="shared" si="31"/>
        <v>155.41261610148965</v>
      </c>
      <c r="AP21" s="20">
        <f t="shared" si="31"/>
        <v>219.78662945460988</v>
      </c>
      <c r="AQ21" s="20">
        <f t="shared" si="31"/>
        <v>269.18254722497704</v>
      </c>
      <c r="AR21" s="25">
        <f t="shared" si="31"/>
        <v>310.82523220297929</v>
      </c>
    </row>
    <row r="22" spans="1:44" ht="14.7" thickBot="1" x14ac:dyDescent="0.6">
      <c r="AK22" s="26" t="s">
        <v>146</v>
      </c>
      <c r="AL22" s="161"/>
      <c r="AM22" s="63">
        <f t="shared" ref="AM22:AR22" si="32">2*(60/SQRT(AM$18)*LN(1.9*(2*$C$1+$C$2)/(0.8*$C$3+$C$2)))*(1-0.347*(EXP(-2.9*($C$4/(2*$C$1+$C$2)))))</f>
        <v>92.12367128880831</v>
      </c>
      <c r="AN22" s="63">
        <f t="shared" si="32"/>
        <v>92.25522415412992</v>
      </c>
      <c r="AO22" s="63">
        <f t="shared" si="32"/>
        <v>92.653542935678118</v>
      </c>
      <c r="AP22" s="63">
        <f t="shared" si="32"/>
        <v>92.878881025931719</v>
      </c>
      <c r="AQ22" s="63">
        <f t="shared" si="32"/>
        <v>93.283351657097541</v>
      </c>
      <c r="AR22" s="64">
        <f t="shared" si="32"/>
        <v>93.69353013138354</v>
      </c>
    </row>
    <row r="23" spans="1:44" ht="14.7" thickBot="1" x14ac:dyDescent="0.6">
      <c r="A23" s="172" t="s">
        <v>177</v>
      </c>
      <c r="B23" s="173"/>
      <c r="C23" s="173"/>
      <c r="D23" s="173"/>
      <c r="E23" s="173"/>
      <c r="F23" s="173"/>
      <c r="G23" s="173"/>
      <c r="H23" s="174"/>
      <c r="J23" s="172" t="s">
        <v>178</v>
      </c>
      <c r="K23" s="173"/>
      <c r="L23" s="173"/>
      <c r="M23" s="173"/>
      <c r="N23" s="173"/>
      <c r="O23" s="173"/>
      <c r="P23" s="173"/>
      <c r="Q23" s="174"/>
      <c r="S23" s="172" t="s">
        <v>179</v>
      </c>
      <c r="T23" s="173"/>
      <c r="U23" s="173"/>
      <c r="V23" s="173"/>
      <c r="W23" s="173"/>
      <c r="X23" s="173"/>
      <c r="Y23" s="173"/>
      <c r="Z23" s="174"/>
    </row>
    <row r="24" spans="1:44" ht="14.4" x14ac:dyDescent="0.55000000000000004">
      <c r="A24" s="45" t="str">
        <f t="shared" ref="A24:H24" si="33">A9</f>
        <v>Thickness (um)</v>
      </c>
      <c r="B24" s="17" t="str">
        <f t="shared" si="33"/>
        <v>RC (%)</v>
      </c>
      <c r="C24" s="65">
        <f t="shared" si="33"/>
        <v>1</v>
      </c>
      <c r="D24" s="65">
        <f t="shared" si="33"/>
        <v>3</v>
      </c>
      <c r="E24" s="65">
        <f t="shared" si="33"/>
        <v>5</v>
      </c>
      <c r="F24" s="65">
        <f t="shared" si="33"/>
        <v>10</v>
      </c>
      <c r="G24" s="65">
        <f t="shared" si="33"/>
        <v>15</v>
      </c>
      <c r="H24" s="66">
        <f t="shared" si="33"/>
        <v>20</v>
      </c>
      <c r="J24" s="45" t="str">
        <f t="shared" ref="J24:Q24" si="34">A9</f>
        <v>Thickness (um)</v>
      </c>
      <c r="K24" s="17" t="str">
        <f t="shared" si="34"/>
        <v>RC (%)</v>
      </c>
      <c r="L24" s="65">
        <f t="shared" si="34"/>
        <v>1</v>
      </c>
      <c r="M24" s="65">
        <f t="shared" si="34"/>
        <v>3</v>
      </c>
      <c r="N24" s="65">
        <f t="shared" si="34"/>
        <v>5</v>
      </c>
      <c r="O24" s="65">
        <f t="shared" si="34"/>
        <v>10</v>
      </c>
      <c r="P24" s="65">
        <f t="shared" si="34"/>
        <v>15</v>
      </c>
      <c r="Q24" s="66">
        <f t="shared" si="34"/>
        <v>20</v>
      </c>
      <c r="S24" s="45" t="str">
        <f t="shared" ref="S24:Z24" si="35">A9</f>
        <v>Thickness (um)</v>
      </c>
      <c r="T24" s="24" t="str">
        <f t="shared" si="35"/>
        <v>RC (%)</v>
      </c>
      <c r="U24" s="65">
        <f t="shared" si="35"/>
        <v>1</v>
      </c>
      <c r="V24" s="65">
        <f t="shared" si="35"/>
        <v>3</v>
      </c>
      <c r="W24" s="65">
        <f t="shared" si="35"/>
        <v>5</v>
      </c>
      <c r="X24" s="65">
        <f t="shared" si="35"/>
        <v>10</v>
      </c>
      <c r="Y24" s="65">
        <f t="shared" si="35"/>
        <v>15</v>
      </c>
      <c r="Z24" s="66">
        <f t="shared" si="35"/>
        <v>20</v>
      </c>
      <c r="AK24" s="172" t="s">
        <v>182</v>
      </c>
      <c r="AL24" s="173"/>
      <c r="AM24" s="173"/>
      <c r="AN24" s="173"/>
      <c r="AO24" s="173"/>
      <c r="AP24" s="173"/>
      <c r="AQ24" s="173"/>
      <c r="AR24" s="174"/>
    </row>
    <row r="25" spans="1:44" ht="14.4" x14ac:dyDescent="0.55000000000000004">
      <c r="A25" s="67">
        <f t="shared" ref="A25:B27" si="36">A10</f>
        <v>122</v>
      </c>
      <c r="B25" s="123">
        <f t="shared" si="36"/>
        <v>0.53</v>
      </c>
      <c r="C25" s="20">
        <f t="shared" ref="C25:H27" si="37">((C$20*(100%-$B25))+(C$21*$B25))/100%</f>
        <v>4.0476315789473682</v>
      </c>
      <c r="D25" s="20">
        <f t="shared" si="37"/>
        <v>4.0376315789473685</v>
      </c>
      <c r="E25" s="20">
        <f t="shared" si="37"/>
        <v>4.0076315789473682</v>
      </c>
      <c r="F25" s="20">
        <f t="shared" si="37"/>
        <v>3.9600000000000004</v>
      </c>
      <c r="G25" s="20">
        <f t="shared" si="37"/>
        <v>3.93</v>
      </c>
      <c r="H25" s="25">
        <f t="shared" si="37"/>
        <v>3.8999999999999995</v>
      </c>
      <c r="J25" s="67">
        <f t="shared" ref="J25:K27" si="38">A10</f>
        <v>122</v>
      </c>
      <c r="K25" s="123">
        <f t="shared" si="38"/>
        <v>0.53</v>
      </c>
      <c r="L25" s="20">
        <f t="shared" ref="L25:Q27" si="39">100%/((100%-$K25)/C$20+$K25/C$21)</f>
        <v>3.4517688615280053</v>
      </c>
      <c r="M25" s="20">
        <f t="shared" si="39"/>
        <v>3.4403597643059016</v>
      </c>
      <c r="N25" s="20">
        <f t="shared" si="39"/>
        <v>3.4060922001022615</v>
      </c>
      <c r="O25" s="20">
        <f t="shared" si="39"/>
        <v>3.4184782608695645</v>
      </c>
      <c r="P25" s="20">
        <f t="shared" si="39"/>
        <v>3.3845255474452514</v>
      </c>
      <c r="Q25" s="25">
        <f t="shared" si="39"/>
        <v>3.3505147058823526</v>
      </c>
      <c r="S25" s="67">
        <f t="shared" ref="S25:T27" si="40">A10</f>
        <v>122</v>
      </c>
      <c r="T25" s="123">
        <f t="shared" si="40"/>
        <v>0.53</v>
      </c>
      <c r="U25" s="127">
        <f t="shared" ref="U25:Z27" si="41">((U$20*(100%-$T25))+(U$21*$T25))/100%</f>
        <v>5.3999999999999994E-3</v>
      </c>
      <c r="V25" s="127">
        <f t="shared" si="41"/>
        <v>5.5999999999999999E-3</v>
      </c>
      <c r="W25" s="127">
        <f t="shared" si="41"/>
        <v>6.1000000000000004E-3</v>
      </c>
      <c r="X25" s="127">
        <f t="shared" si="41"/>
        <v>6.8842105263157895E-3</v>
      </c>
      <c r="Y25" s="127">
        <f t="shared" si="41"/>
        <v>7.4842105263157894E-3</v>
      </c>
      <c r="Z25" s="40">
        <f t="shared" si="41"/>
        <v>8.0999999999999996E-3</v>
      </c>
      <c r="AK25" s="176" t="s">
        <v>133</v>
      </c>
      <c r="AL25" s="160"/>
      <c r="AM25" s="20">
        <f t="shared" ref="AM25:AR25" si="42">AD10</f>
        <v>1</v>
      </c>
      <c r="AN25" s="20">
        <f t="shared" si="42"/>
        <v>3</v>
      </c>
      <c r="AO25" s="20">
        <f t="shared" si="42"/>
        <v>5</v>
      </c>
      <c r="AP25" s="20">
        <f t="shared" si="42"/>
        <v>10</v>
      </c>
      <c r="AQ25" s="20">
        <f t="shared" si="42"/>
        <v>15</v>
      </c>
      <c r="AR25" s="25">
        <f t="shared" si="42"/>
        <v>20</v>
      </c>
    </row>
    <row r="26" spans="1:44" ht="14.4" x14ac:dyDescent="0.55000000000000004">
      <c r="A26" s="67">
        <f t="shared" si="36"/>
        <v>127</v>
      </c>
      <c r="B26" s="123">
        <f t="shared" si="36"/>
        <v>0.55000000000000004</v>
      </c>
      <c r="C26" s="20">
        <f t="shared" si="37"/>
        <v>3.9839473684210525</v>
      </c>
      <c r="D26" s="20">
        <f t="shared" si="37"/>
        <v>3.9739473684210522</v>
      </c>
      <c r="E26" s="20">
        <f t="shared" si="37"/>
        <v>3.9439473684210524</v>
      </c>
      <c r="F26" s="20">
        <f t="shared" si="37"/>
        <v>3.9000000000000004</v>
      </c>
      <c r="G26" s="20">
        <f t="shared" si="37"/>
        <v>3.87</v>
      </c>
      <c r="H26" s="25">
        <f t="shared" si="37"/>
        <v>3.84</v>
      </c>
      <c r="J26" s="67">
        <f t="shared" si="38"/>
        <v>127</v>
      </c>
      <c r="K26" s="123">
        <f t="shared" si="38"/>
        <v>0.55000000000000004</v>
      </c>
      <c r="L26" s="20">
        <f t="shared" si="39"/>
        <v>3.4006753350438306</v>
      </c>
      <c r="M26" s="20">
        <f t="shared" si="39"/>
        <v>3.3893164767722106</v>
      </c>
      <c r="N26" s="20">
        <f t="shared" si="39"/>
        <v>3.3552016455288993</v>
      </c>
      <c r="O26" s="20">
        <f t="shared" si="39"/>
        <v>3.3696428571428569</v>
      </c>
      <c r="P26" s="20">
        <f t="shared" si="39"/>
        <v>3.3358273381294925</v>
      </c>
      <c r="Q26" s="25">
        <f t="shared" si="39"/>
        <v>3.3019565217391298</v>
      </c>
      <c r="S26" s="67">
        <f t="shared" si="40"/>
        <v>127</v>
      </c>
      <c r="T26" s="123">
        <f t="shared" si="40"/>
        <v>0.55000000000000004</v>
      </c>
      <c r="U26" s="127">
        <f t="shared" si="41"/>
        <v>5.3999999999999994E-3</v>
      </c>
      <c r="V26" s="127">
        <f t="shared" si="41"/>
        <v>5.5999999999999999E-3</v>
      </c>
      <c r="W26" s="127">
        <f t="shared" si="41"/>
        <v>6.1000000000000004E-3</v>
      </c>
      <c r="X26" s="127">
        <f t="shared" si="41"/>
        <v>6.9263157894736841E-3</v>
      </c>
      <c r="Y26" s="127">
        <f t="shared" si="41"/>
        <v>7.5263157894736848E-3</v>
      </c>
      <c r="Z26" s="40">
        <f t="shared" si="41"/>
        <v>8.0999999999999996E-3</v>
      </c>
      <c r="AK26" s="23"/>
      <c r="AL26" s="207">
        <v>-40</v>
      </c>
      <c r="AM26" s="30">
        <f t="shared" ref="AM26:AR26" si="43">(20*LOG(EXP(1))*(2*PI()/(2*0.299795637693216))*SQRT(AM$3)*(AM$2)*AM$4)+(20*LOG(EXP(1))*AM6/(AM7))*(1+(2/PI())*ATAN(1.4*($H$3/AM$5)^2))</f>
        <v>5.8637182001945805</v>
      </c>
      <c r="AN26" s="30">
        <f t="shared" si="43"/>
        <v>11.629011287975494</v>
      </c>
      <c r="AO26" s="30">
        <f t="shared" si="43"/>
        <v>16.728958129373385</v>
      </c>
      <c r="AP26" s="30">
        <f t="shared" si="43"/>
        <v>28.836594734231401</v>
      </c>
      <c r="AQ26" s="30">
        <f t="shared" si="43"/>
        <v>40.269442224573041</v>
      </c>
      <c r="AR26" s="31">
        <f t="shared" si="43"/>
        <v>51.339806201768369</v>
      </c>
    </row>
    <row r="27" spans="1:44" ht="14.7" thickBot="1" x14ac:dyDescent="0.6">
      <c r="A27" s="32">
        <f t="shared" si="36"/>
        <v>140</v>
      </c>
      <c r="B27" s="33">
        <f t="shared" si="36"/>
        <v>0.57999999999999996</v>
      </c>
      <c r="C27" s="63">
        <f t="shared" si="37"/>
        <v>3.8884210526315792</v>
      </c>
      <c r="D27" s="63">
        <f t="shared" si="37"/>
        <v>3.8784210526315785</v>
      </c>
      <c r="E27" s="63">
        <f t="shared" si="37"/>
        <v>3.8484210526315792</v>
      </c>
      <c r="F27" s="63">
        <f t="shared" si="37"/>
        <v>3.8100000000000005</v>
      </c>
      <c r="G27" s="63">
        <f t="shared" si="37"/>
        <v>3.7800000000000002</v>
      </c>
      <c r="H27" s="64">
        <f t="shared" si="37"/>
        <v>3.75</v>
      </c>
      <c r="J27" s="32">
        <f t="shared" si="38"/>
        <v>140</v>
      </c>
      <c r="K27" s="33">
        <f t="shared" si="38"/>
        <v>0.57999999999999996</v>
      </c>
      <c r="L27" s="63">
        <f t="shared" si="39"/>
        <v>3.3268095412058152</v>
      </c>
      <c r="M27" s="63">
        <f t="shared" si="39"/>
        <v>3.3155296301206385</v>
      </c>
      <c r="N27" s="63">
        <f t="shared" si="39"/>
        <v>3.2816546529366897</v>
      </c>
      <c r="O27" s="63">
        <f t="shared" si="39"/>
        <v>3.2989510489510487</v>
      </c>
      <c r="P27" s="63">
        <f t="shared" si="39"/>
        <v>3.2653521126760521</v>
      </c>
      <c r="Q27" s="64">
        <f t="shared" si="39"/>
        <v>3.2317021276595734</v>
      </c>
      <c r="S27" s="32">
        <f t="shared" si="40"/>
        <v>140</v>
      </c>
      <c r="T27" s="33">
        <f t="shared" si="40"/>
        <v>0.57999999999999996</v>
      </c>
      <c r="U27" s="128">
        <f t="shared" si="41"/>
        <v>5.3999999999999994E-3</v>
      </c>
      <c r="V27" s="128">
        <f t="shared" si="41"/>
        <v>5.5999999999999999E-3</v>
      </c>
      <c r="W27" s="128">
        <f t="shared" si="41"/>
        <v>6.1000000000000004E-3</v>
      </c>
      <c r="X27" s="128">
        <f t="shared" si="41"/>
        <v>6.9894736842105263E-3</v>
      </c>
      <c r="Y27" s="128">
        <f t="shared" si="41"/>
        <v>7.5894736842105261E-3</v>
      </c>
      <c r="Z27" s="129">
        <f t="shared" si="41"/>
        <v>8.0999999999999996E-3</v>
      </c>
      <c r="AK27" s="23"/>
      <c r="AL27" s="207">
        <v>0</v>
      </c>
      <c r="AM27" s="30">
        <f t="shared" ref="AM27:AR27" si="44">(20*LOG(EXP(1))*(2*PI()/(2*0.299795637693216))*SQRT(AM$8)*AM$2*AM9)+(20*LOG(EXP(1))*AM11/(AM12))*(1+(2/PI())*ATAN(1.4*($H$3/AM$10)^2))</f>
        <v>6.607990228107548</v>
      </c>
      <c r="AN27" s="30">
        <f t="shared" si="44"/>
        <v>13.21723351167315</v>
      </c>
      <c r="AO27" s="30">
        <f t="shared" si="44"/>
        <v>19.137937020314578</v>
      </c>
      <c r="AP27" s="30">
        <f t="shared" si="44"/>
        <v>33.427092737707412</v>
      </c>
      <c r="AQ27" s="30">
        <f t="shared" si="44"/>
        <v>47.375210623575242</v>
      </c>
      <c r="AR27" s="31">
        <f t="shared" si="44"/>
        <v>61.356588127359693</v>
      </c>
    </row>
    <row r="28" spans="1:44" ht="14.7" thickBot="1" x14ac:dyDescent="0.6">
      <c r="A28" s="124">
        <f>C1</f>
        <v>120</v>
      </c>
      <c r="B28" s="126">
        <f>SLOPE(B10:B12,A10:A12)*A28+INTERCEPT(B10:B12,A10:A12)</f>
        <v>0.52739382239382249</v>
      </c>
      <c r="C28" s="15">
        <f t="shared" ref="C28:H28" si="45">((C$20*(100%-$B28))+(C$21*$B28))/100%</f>
        <v>4.0559301971144066</v>
      </c>
      <c r="D28" s="15">
        <f t="shared" si="45"/>
        <v>4.0459301971144068</v>
      </c>
      <c r="E28" s="15">
        <f t="shared" si="45"/>
        <v>4.0159301971144075</v>
      </c>
      <c r="F28" s="15">
        <f t="shared" si="45"/>
        <v>3.9678185328185331</v>
      </c>
      <c r="G28" s="15">
        <f t="shared" si="45"/>
        <v>3.9378185328185324</v>
      </c>
      <c r="H28" s="16">
        <f t="shared" si="45"/>
        <v>3.9078185328185322</v>
      </c>
      <c r="I28" s="125"/>
      <c r="J28" s="124">
        <f>A28</f>
        <v>120</v>
      </c>
      <c r="K28" s="126">
        <f>SLOPE(B10:B12,A10:A12)*A28+INTERCEPT(B10:B12,A10:A12)</f>
        <v>0.52739382239382249</v>
      </c>
      <c r="L28" s="15">
        <f t="shared" ref="L28:Q28" si="46">100%/((100%-$K28)/C$20+$K28/C$21)</f>
        <v>3.4585400910429773</v>
      </c>
      <c r="M28" s="15">
        <f t="shared" si="46"/>
        <v>3.4471246040146015</v>
      </c>
      <c r="N28" s="15">
        <f t="shared" si="46"/>
        <v>3.4128376076518481</v>
      </c>
      <c r="O28" s="15">
        <f t="shared" si="46"/>
        <v>3.4249463902787705</v>
      </c>
      <c r="P28" s="15">
        <f t="shared" si="46"/>
        <v>3.390976267453512</v>
      </c>
      <c r="Q28" s="16">
        <f t="shared" si="46"/>
        <v>3.3569476483722775</v>
      </c>
      <c r="S28" s="124">
        <f>J28</f>
        <v>120</v>
      </c>
      <c r="T28" s="126">
        <f>SLOPE(B10:B12,A10:A12)*S28+INTERCEPT(B10:B12,A10:A12)</f>
        <v>0.52739382239382249</v>
      </c>
      <c r="U28" s="61">
        <f t="shared" ref="U28:Z28" si="47">((U$20*(100%-$T28))+(U$21*$T28))/100%</f>
        <v>5.3999999999999994E-3</v>
      </c>
      <c r="V28" s="61">
        <f t="shared" si="47"/>
        <v>5.5999999999999999E-3</v>
      </c>
      <c r="W28" s="61">
        <f t="shared" si="47"/>
        <v>6.1000000000000004E-3</v>
      </c>
      <c r="X28" s="61">
        <f t="shared" si="47"/>
        <v>6.8787238366185728E-3</v>
      </c>
      <c r="Y28" s="61">
        <f t="shared" si="47"/>
        <v>7.4787238366185727E-3</v>
      </c>
      <c r="Z28" s="62">
        <f t="shared" si="47"/>
        <v>8.0999999999999996E-3</v>
      </c>
      <c r="AK28" s="23"/>
      <c r="AL28" s="207">
        <v>25</v>
      </c>
      <c r="AM28" s="30">
        <f t="shared" ref="AM28:AR28" si="48">(20*LOG(EXP(1))*(2*PI()/(2*0.299795637693216))*SQRT(AM$13)*AM$2*AM14)+((20*LOG(EXP(1))*AM16/(AM17))*(1+(2/PI())*ATAN(1.4*($H$3/AM$15)^2)))</f>
        <v>7.0464006957749854</v>
      </c>
      <c r="AN28" s="30">
        <f t="shared" si="48"/>
        <v>14.169232672708105</v>
      </c>
      <c r="AO28" s="30">
        <f t="shared" si="48"/>
        <v>20.593742548509958</v>
      </c>
      <c r="AP28" s="30">
        <f t="shared" si="48"/>
        <v>36.201146664680302</v>
      </c>
      <c r="AQ28" s="30">
        <f t="shared" si="48"/>
        <v>51.642699140458234</v>
      </c>
      <c r="AR28" s="31">
        <f t="shared" si="48"/>
        <v>67.357419602742567</v>
      </c>
    </row>
    <row r="29" spans="1:44" ht="14.7" thickBot="1" x14ac:dyDescent="0.6">
      <c r="AK29" s="26"/>
      <c r="AL29" s="208">
        <v>90</v>
      </c>
      <c r="AM29" s="27">
        <f t="shared" ref="AM29:AR29" si="49">(20*LOG(EXP(1))*(2*PI()/(2*0.299795637693216))*SQRT(AM$18)*AM$2*AM19)+(20*LOG(EXP(1))*AM21/(AM22))*(1+(2/PI())*ATAN(1.4*($H$3/AM$20)^2))</f>
        <v>8.10810610045427</v>
      </c>
      <c r="AN29" s="27">
        <f t="shared" si="49"/>
        <v>16.519838120098196</v>
      </c>
      <c r="AO29" s="27">
        <f t="shared" si="49"/>
        <v>24.224581246992194</v>
      </c>
      <c r="AP29" s="27">
        <f t="shared" si="49"/>
        <v>43.152948329130538</v>
      </c>
      <c r="AQ29" s="27">
        <f t="shared" si="49"/>
        <v>62.287628443571577</v>
      </c>
      <c r="AR29" s="28">
        <f t="shared" si="49"/>
        <v>82.273283313169145</v>
      </c>
    </row>
    <row r="30" spans="1:44" ht="14.4" x14ac:dyDescent="0.55000000000000004"/>
    <row r="31" spans="1:44" ht="14.4" x14ac:dyDescent="0.55000000000000004"/>
    <row r="32" spans="1:44" ht="14.4" x14ac:dyDescent="0.55000000000000004"/>
    <row r="33" spans="2:44" ht="14.4" x14ac:dyDescent="0.55000000000000004"/>
    <row r="34" spans="2:44" ht="14.4" x14ac:dyDescent="0.55000000000000004"/>
    <row r="35" spans="2:44" ht="14.4" x14ac:dyDescent="0.55000000000000004">
      <c r="B35" s="18"/>
    </row>
    <row r="36" spans="2:44" ht="14.4" x14ac:dyDescent="0.55000000000000004">
      <c r="B36" s="18"/>
    </row>
    <row r="37" spans="2:44" ht="14.4" x14ac:dyDescent="0.55000000000000004">
      <c r="AK37" s="19"/>
    </row>
    <row r="38" spans="2:44" ht="14.4" x14ac:dyDescent="0.55000000000000004">
      <c r="AB38" s="19"/>
      <c r="AL38" s="20"/>
      <c r="AM38" s="20"/>
      <c r="AN38" s="20"/>
      <c r="AO38" s="20"/>
      <c r="AP38" s="20"/>
      <c r="AQ38" s="20"/>
    </row>
    <row r="39" spans="2:44" ht="14.4" x14ac:dyDescent="0.55000000000000004">
      <c r="AL39" s="20"/>
      <c r="AM39" s="20"/>
      <c r="AN39" s="20"/>
      <c r="AO39" s="20"/>
      <c r="AP39" s="20"/>
      <c r="AQ39" s="20"/>
    </row>
    <row r="40" spans="2:44" ht="14.4" x14ac:dyDescent="0.55000000000000004">
      <c r="AL40" s="20"/>
      <c r="AM40" s="20"/>
      <c r="AN40" s="20"/>
      <c r="AO40" s="20"/>
      <c r="AP40" s="20"/>
      <c r="AQ40" s="20"/>
    </row>
    <row r="41" spans="2:44" ht="14.4" x14ac:dyDescent="0.55000000000000004"/>
    <row r="42" spans="2:44" ht="14.4" x14ac:dyDescent="0.55000000000000004"/>
    <row r="43" spans="2:44" ht="14.4" x14ac:dyDescent="0.55000000000000004"/>
    <row r="44" spans="2:44" ht="14.4" x14ac:dyDescent="0.55000000000000004">
      <c r="AR44" s="22"/>
    </row>
    <row r="45" spans="2:44" ht="14.4" x14ac:dyDescent="0.55000000000000004">
      <c r="G45" s="20"/>
      <c r="K45" s="29"/>
      <c r="R45" s="21"/>
    </row>
    <row r="46" spans="2:44" ht="14.4" x14ac:dyDescent="0.55000000000000004"/>
    <row r="47" spans="2:44" ht="14.4" x14ac:dyDescent="0.55000000000000004"/>
    <row r="48" spans="2:44" ht="14.4" x14ac:dyDescent="0.55000000000000004"/>
    <row r="49" spans="45:51" ht="14.4" x14ac:dyDescent="0.55000000000000004"/>
    <row r="50" spans="45:51" ht="14.4" x14ac:dyDescent="0.55000000000000004"/>
    <row r="51" spans="45:51" ht="14.4" x14ac:dyDescent="0.55000000000000004"/>
    <row r="52" spans="45:51" ht="14.4" x14ac:dyDescent="0.55000000000000004"/>
    <row r="53" spans="45:51" ht="14.4" x14ac:dyDescent="0.55000000000000004"/>
    <row r="55" spans="45:51" ht="14.4" x14ac:dyDescent="0.55000000000000004">
      <c r="AS55" s="22"/>
      <c r="AT55" s="22"/>
      <c r="AU55" s="22"/>
      <c r="AV55" s="22"/>
      <c r="AW55" s="22"/>
      <c r="AX55" s="22"/>
      <c r="AY55" s="22"/>
    </row>
    <row r="206" s="17" customFormat="1" ht="14.4" x14ac:dyDescent="0.55000000000000004"/>
    <row r="207" s="17" customFormat="1" ht="14.4" x14ac:dyDescent="0.55000000000000004"/>
    <row r="208" s="17" customFormat="1" ht="14.4" x14ac:dyDescent="0.55000000000000004"/>
    <row r="209" s="17" customFormat="1" ht="14.4" x14ac:dyDescent="0.55000000000000004"/>
    <row r="210" s="17" customFormat="1" ht="14.4" x14ac:dyDescent="0.55000000000000004"/>
    <row r="211" s="17" customFormat="1" ht="14.4" x14ac:dyDescent="0.55000000000000004"/>
    <row r="212" s="17" customFormat="1" ht="14.4" x14ac:dyDescent="0.55000000000000004"/>
    <row r="213" s="17" customFormat="1" ht="14.4" x14ac:dyDescent="0.55000000000000004"/>
    <row r="214" s="17" customFormat="1" ht="14.4" x14ac:dyDescent="0.55000000000000004"/>
    <row r="215" s="17" customFormat="1" ht="14.4" x14ac:dyDescent="0.55000000000000004"/>
    <row r="216" s="17" customFormat="1" ht="14.4" x14ac:dyDescent="0.55000000000000004"/>
    <row r="217" s="17" customFormat="1" ht="14.4" x14ac:dyDescent="0.55000000000000004"/>
    <row r="218" s="17" customFormat="1" ht="14.4" x14ac:dyDescent="0.55000000000000004"/>
    <row r="219" s="17" customFormat="1" ht="14.4" x14ac:dyDescent="0.55000000000000004"/>
    <row r="220" s="17" customFormat="1" ht="14.4" x14ac:dyDescent="0.55000000000000004"/>
    <row r="221" s="17" customFormat="1" ht="14.4" x14ac:dyDescent="0.55000000000000004"/>
    <row r="222" s="17" customFormat="1" ht="14.4" x14ac:dyDescent="0.55000000000000004"/>
    <row r="223" s="17" customFormat="1" ht="14.4" x14ac:dyDescent="0.55000000000000004"/>
    <row r="224" s="17" customFormat="1" ht="14.4" x14ac:dyDescent="0.55000000000000004"/>
    <row r="225" s="17" customFormat="1" ht="14.4" x14ac:dyDescent="0.55000000000000004"/>
    <row r="226" s="17" customFormat="1" ht="14.4" x14ac:dyDescent="0.55000000000000004"/>
    <row r="227" s="17" customFormat="1" ht="14.4" x14ac:dyDescent="0.55000000000000004"/>
    <row r="228" s="17" customFormat="1" ht="14.4" x14ac:dyDescent="0.55000000000000004"/>
    <row r="229" s="17" customFormat="1" ht="14.4" x14ac:dyDescent="0.55000000000000004"/>
    <row r="230" s="17" customFormat="1" ht="14.4" x14ac:dyDescent="0.55000000000000004"/>
    <row r="231" s="17" customFormat="1" ht="14.4" x14ac:dyDescent="0.55000000000000004"/>
    <row r="232" s="17" customFormat="1" ht="14.4" x14ac:dyDescent="0.55000000000000004"/>
    <row r="233" s="17" customFormat="1" ht="14.4" x14ac:dyDescent="0.55000000000000004"/>
    <row r="234" s="17" customFormat="1" ht="14.4" x14ac:dyDescent="0.55000000000000004"/>
    <row r="235" s="17" customFormat="1" ht="14.4" x14ac:dyDescent="0.55000000000000004"/>
    <row r="236" s="17" customFormat="1" ht="14.4" x14ac:dyDescent="0.55000000000000004"/>
    <row r="237" s="17" customFormat="1" ht="14.4" x14ac:dyDescent="0.55000000000000004"/>
    <row r="238" s="17" customFormat="1" ht="14.4" x14ac:dyDescent="0.55000000000000004"/>
    <row r="239" s="17" customFormat="1" ht="14.4" x14ac:dyDescent="0.55000000000000004"/>
    <row r="240" s="17" customFormat="1" ht="14.4" x14ac:dyDescent="0.55000000000000004"/>
    <row r="241" s="17" customFormat="1" ht="14.4" x14ac:dyDescent="0.55000000000000004"/>
    <row r="242" s="17" customFormat="1" ht="14.4" x14ac:dyDescent="0.55000000000000004"/>
    <row r="243" s="17" customFormat="1" ht="14.4" x14ac:dyDescent="0.55000000000000004"/>
    <row r="244" s="17" customFormat="1" ht="14.4" x14ac:dyDescent="0.55000000000000004"/>
    <row r="245" s="17" customFormat="1" ht="14.4" x14ac:dyDescent="0.55000000000000004"/>
    <row r="246" s="17" customFormat="1" ht="14.4" x14ac:dyDescent="0.55000000000000004"/>
    <row r="247" s="17" customFormat="1" ht="14.4" x14ac:dyDescent="0.55000000000000004"/>
    <row r="248" s="17" customFormat="1" ht="14.4" x14ac:dyDescent="0.55000000000000004"/>
    <row r="249" s="17" customFormat="1" ht="14.4" x14ac:dyDescent="0.55000000000000004"/>
    <row r="250" s="17" customFormat="1" ht="14.4" x14ac:dyDescent="0.55000000000000004"/>
    <row r="251" s="17" customFormat="1" ht="14.4" x14ac:dyDescent="0.55000000000000004"/>
    <row r="252" s="17" customFormat="1" ht="14.4" x14ac:dyDescent="0.55000000000000004"/>
    <row r="253" s="17" customFormat="1" ht="14.4" x14ac:dyDescent="0.55000000000000004"/>
    <row r="254" s="17" customFormat="1" ht="14.4" x14ac:dyDescent="0.55000000000000004"/>
    <row r="255" s="17" customFormat="1" ht="14.4" x14ac:dyDescent="0.55000000000000004"/>
    <row r="256" s="17" customFormat="1" ht="14.4" x14ac:dyDescent="0.55000000000000004"/>
    <row r="257" s="17" customFormat="1" ht="14.4" x14ac:dyDescent="0.55000000000000004"/>
    <row r="258" s="17" customFormat="1" ht="14.4" x14ac:dyDescent="0.55000000000000004"/>
    <row r="259" s="17" customFormat="1" ht="14.4" x14ac:dyDescent="0.55000000000000004"/>
    <row r="260" s="17" customFormat="1" ht="14.4" x14ac:dyDescent="0.55000000000000004"/>
    <row r="261" s="17" customFormat="1" ht="14.4" x14ac:dyDescent="0.55000000000000004"/>
    <row r="262" s="17" customFormat="1" ht="14.4" x14ac:dyDescent="0.55000000000000004"/>
    <row r="263" s="17" customFormat="1" ht="14.4" x14ac:dyDescent="0.55000000000000004"/>
    <row r="264" s="17" customFormat="1" ht="14.4" x14ac:dyDescent="0.55000000000000004"/>
    <row r="265" s="17" customFormat="1" ht="14.4" x14ac:dyDescent="0.55000000000000004"/>
    <row r="266" s="17" customFormat="1" ht="14.4" x14ac:dyDescent="0.55000000000000004"/>
    <row r="267" s="17" customFormat="1" ht="14.4" x14ac:dyDescent="0.55000000000000004"/>
    <row r="268" s="17" customFormat="1" ht="14.4" x14ac:dyDescent="0.55000000000000004"/>
    <row r="269" s="17" customFormat="1" ht="14.4" x14ac:dyDescent="0.55000000000000004"/>
    <row r="270" s="17" customFormat="1" ht="14.4" x14ac:dyDescent="0.55000000000000004"/>
    <row r="271" s="17" customFormat="1" ht="14.4" x14ac:dyDescent="0.55000000000000004"/>
    <row r="272" s="17" customFormat="1" ht="14.4" x14ac:dyDescent="0.55000000000000004"/>
    <row r="273" s="17" customFormat="1" ht="14.4" x14ac:dyDescent="0.55000000000000004"/>
    <row r="274" s="17" customFormat="1" ht="14.4" x14ac:dyDescent="0.55000000000000004"/>
    <row r="275" s="17" customFormat="1" ht="14.4" x14ac:dyDescent="0.55000000000000004"/>
    <row r="276" s="17" customFormat="1" ht="14.4" x14ac:dyDescent="0.55000000000000004"/>
    <row r="277" s="17" customFormat="1" ht="14.4" x14ac:dyDescent="0.55000000000000004"/>
    <row r="278" s="17" customFormat="1" ht="14.4" x14ac:dyDescent="0.55000000000000004"/>
    <row r="279" s="17" customFormat="1" ht="14.4" x14ac:dyDescent="0.55000000000000004"/>
    <row r="280" s="17" customFormat="1" ht="14.4" x14ac:dyDescent="0.55000000000000004"/>
    <row r="281" s="17" customFormat="1" ht="14.4" x14ac:dyDescent="0.55000000000000004"/>
    <row r="282" s="17" customFormat="1" ht="14.4" x14ac:dyDescent="0.55000000000000004"/>
    <row r="283" s="17" customFormat="1" ht="14.4" x14ac:dyDescent="0.55000000000000004"/>
    <row r="284" s="17" customFormat="1" ht="14.4" x14ac:dyDescent="0.55000000000000004"/>
    <row r="285" s="17" customFormat="1" ht="14.4" x14ac:dyDescent="0.55000000000000004"/>
    <row r="286" s="17" customFormat="1" ht="14.4" x14ac:dyDescent="0.55000000000000004"/>
    <row r="287" s="17" customFormat="1" ht="14.4" x14ac:dyDescent="0.55000000000000004"/>
    <row r="288" s="17" customFormat="1" ht="14.4" x14ac:dyDescent="0.55000000000000004"/>
    <row r="289" s="17" customFormat="1" ht="14.4" x14ac:dyDescent="0.55000000000000004"/>
    <row r="290" s="17" customFormat="1" ht="14.4" x14ac:dyDescent="0.55000000000000004"/>
    <row r="291" s="17" customFormat="1" ht="14.4" x14ac:dyDescent="0.55000000000000004"/>
    <row r="292" s="17" customFormat="1" ht="14.4" x14ac:dyDescent="0.55000000000000004"/>
    <row r="293" s="17" customFormat="1" ht="14.4" x14ac:dyDescent="0.55000000000000004"/>
    <row r="294" s="17" customFormat="1" ht="14.4" x14ac:dyDescent="0.55000000000000004"/>
    <row r="295" s="17" customFormat="1" ht="14.4" x14ac:dyDescent="0.55000000000000004"/>
    <row r="296" s="17" customFormat="1" ht="14.4" x14ac:dyDescent="0.55000000000000004"/>
    <row r="297" s="17" customFormat="1" ht="14.4" x14ac:dyDescent="0.55000000000000004"/>
    <row r="298" s="17" customFormat="1" ht="14.4" x14ac:dyDescent="0.55000000000000004"/>
    <row r="299" s="17" customFormat="1" ht="14.4" x14ac:dyDescent="0.55000000000000004"/>
    <row r="300" s="17" customFormat="1" ht="14.4" x14ac:dyDescent="0.55000000000000004"/>
    <row r="301" s="17" customFormat="1" ht="14.4" x14ac:dyDescent="0.55000000000000004"/>
    <row r="302" s="17" customFormat="1" ht="14.4" x14ac:dyDescent="0.55000000000000004"/>
    <row r="303" s="17" customFormat="1" ht="14.4" x14ac:dyDescent="0.55000000000000004"/>
    <row r="304" s="17" customFormat="1" ht="14.4" x14ac:dyDescent="0.55000000000000004"/>
    <row r="305" s="17" customFormat="1" ht="14.4" x14ac:dyDescent="0.55000000000000004"/>
  </sheetData>
  <sheetProtection algorithmName="SHA-512" hashValue="VKbcr1SBtmdOkZdysjrFmR9W4sHz5Q/hA3zBMYEXGgIpVJnXQQ9+CjUDqCD9SlsKxIJGjbKedFrKhSxsWRzTmg==" saltValue="i3mbh9gXb7hdh3tM3FTslw==" spinCount="100000" sheet="1" objects="1" scenarios="1" formatColumns="0" formatRows="0" autoFilter="0"/>
  <protectedRanges>
    <protectedRange sqref="AL26:AL29" name="Temperature Input"/>
    <protectedRange sqref="S1:Z3" name="Material and Foil Selector"/>
  </protectedRanges>
  <mergeCells count="47">
    <mergeCell ref="AK25:AL25"/>
    <mergeCell ref="AK24:AR24"/>
    <mergeCell ref="AL13:AL17"/>
    <mergeCell ref="A14:H14"/>
    <mergeCell ref="AL18:AL22"/>
    <mergeCell ref="A20:B20"/>
    <mergeCell ref="S20:T20"/>
    <mergeCell ref="A21:B21"/>
    <mergeCell ref="S21:T21"/>
    <mergeCell ref="AB9:AI9"/>
    <mergeCell ref="AC14:AC17"/>
    <mergeCell ref="A8:H8"/>
    <mergeCell ref="AD2:AD3"/>
    <mergeCell ref="A23:H23"/>
    <mergeCell ref="J23:Q23"/>
    <mergeCell ref="S23:Z23"/>
    <mergeCell ref="AB10:AC10"/>
    <mergeCell ref="P2:Q2"/>
    <mergeCell ref="P3:Q3"/>
    <mergeCell ref="D3:G3"/>
    <mergeCell ref="M2:N2"/>
    <mergeCell ref="M3:N3"/>
    <mergeCell ref="H2:I2"/>
    <mergeCell ref="H3:I3"/>
    <mergeCell ref="E1:G1"/>
    <mergeCell ref="J1:L1"/>
    <mergeCell ref="AK1:AR1"/>
    <mergeCell ref="AL3:AL7"/>
    <mergeCell ref="P1:Q1"/>
    <mergeCell ref="H1:I1"/>
    <mergeCell ref="M1:N1"/>
    <mergeCell ref="AL8:AL12"/>
    <mergeCell ref="A3:B3"/>
    <mergeCell ref="AC11:AC13"/>
    <mergeCell ref="A4:B4"/>
    <mergeCell ref="A6:H7"/>
    <mergeCell ref="AG2:AH3"/>
    <mergeCell ref="AG5:AH6"/>
    <mergeCell ref="AE5:AE6"/>
    <mergeCell ref="J3:L3"/>
    <mergeCell ref="A2:B2"/>
    <mergeCell ref="E2:G2"/>
    <mergeCell ref="J2:L2"/>
    <mergeCell ref="AK2:AL2"/>
    <mergeCell ref="Y1:Z3"/>
    <mergeCell ref="S1:X3"/>
    <mergeCell ref="A1:B1"/>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8C9A1923-3392-4573-8B91-6AE88FEA348F}">
          <x14:formula1>
            <xm:f>'Material Database'!$BI$3:$BI$16</xm:f>
          </x14:formula1>
          <xm:sqref>Y1</xm:sqref>
        </x14:dataValidation>
        <x14:dataValidation type="list" allowBlank="1" showInputMessage="1" showErrorMessage="1" xr:uid="{02257635-8C80-48F4-819D-E83853BE95DF}">
          <x14:formula1>
            <xm:f>'Material Database'!$A3:$A1000</xm:f>
          </x14:formula1>
          <xm:sqref>S1:X1</xm:sqref>
        </x14:dataValidation>
        <x14:dataValidation type="list" allowBlank="1" showInputMessage="1" showErrorMessage="1" xr:uid="{6B559EFC-EAEA-4484-A9BE-FC564EAA754D}">
          <x14:formula1>
            <xm:f>'Material Database'!$A3:$A1001</xm:f>
          </x14:formula1>
          <xm:sqref>S2:X3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2EEAD-339B-416F-ADE1-27655C7BCE2F}">
  <sheetPr>
    <tabColor theme="0" tint="-4.9989318521683403E-2"/>
  </sheetPr>
  <dimension ref="F1:BA68"/>
  <sheetViews>
    <sheetView zoomScale="80" zoomScaleNormal="80" workbookViewId="0">
      <pane ySplit="14" topLeftCell="A15" activePane="bottomLeft" state="frozen"/>
      <selection pane="bottomLeft" activeCell="Q30" sqref="Q30"/>
    </sheetView>
  </sheetViews>
  <sheetFormatPr defaultColWidth="8.83984375" defaultRowHeight="14.4" x14ac:dyDescent="0.55000000000000004"/>
  <cols>
    <col min="1" max="5" width="8.83984375" style="17"/>
    <col min="6" max="6" width="2.62890625" style="17" customWidth="1"/>
    <col min="7" max="7" width="16.62890625" style="17" bestFit="1" customWidth="1"/>
    <col min="8" max="8" width="2.83984375" style="17" bestFit="1" customWidth="1"/>
    <col min="9" max="9" width="11.62890625" style="17" customWidth="1"/>
    <col min="10" max="10" width="13.05078125" style="17" customWidth="1"/>
    <col min="11" max="14" width="13.05078125" style="17" bestFit="1" customWidth="1"/>
    <col min="15" max="15" width="14.3671875" style="17" customWidth="1"/>
    <col min="16" max="16" width="1.89453125" style="17" customWidth="1"/>
    <col min="17" max="17" width="16.62890625" style="17" bestFit="1" customWidth="1"/>
    <col min="18" max="18" width="2.83984375" style="17" bestFit="1" customWidth="1"/>
    <col min="19" max="19" width="12" style="17" bestFit="1" customWidth="1"/>
    <col min="20" max="24" width="13.05078125" style="17" bestFit="1" customWidth="1"/>
    <col min="25" max="25" width="14.62890625" style="17" customWidth="1"/>
    <col min="26" max="26" width="2.41796875" style="17" customWidth="1"/>
    <col min="27" max="27" width="16.62890625" style="17" bestFit="1" customWidth="1"/>
    <col min="28" max="28" width="2.83984375" style="17" bestFit="1" customWidth="1"/>
    <col min="29" max="29" width="12" style="17" bestFit="1" customWidth="1"/>
    <col min="30" max="31" width="13.05078125" style="17" bestFit="1" customWidth="1"/>
    <col min="32" max="32" width="12" style="17" bestFit="1" customWidth="1"/>
    <col min="33" max="34" width="13.05078125" style="17" bestFit="1" customWidth="1"/>
    <col min="35" max="35" width="14.47265625" style="17" customWidth="1"/>
    <col min="36" max="36" width="3.05078125" style="17" customWidth="1"/>
    <col min="37" max="37" width="16.62890625" style="17" customWidth="1"/>
    <col min="38" max="38" width="2.68359375" style="17" bestFit="1" customWidth="1"/>
    <col min="39" max="39" width="10.62890625" style="17" customWidth="1"/>
    <col min="40" max="40" width="11.26171875" style="17" customWidth="1"/>
    <col min="41" max="44" width="10.62890625" style="17" bestFit="1" customWidth="1"/>
    <col min="45" max="45" width="2.5234375" style="17" customWidth="1"/>
    <col min="46" max="46" width="16.62890625" style="17" customWidth="1"/>
    <col min="47" max="47" width="2.68359375" style="17" bestFit="1" customWidth="1"/>
    <col min="48" max="53" width="11.3671875" style="17" customWidth="1"/>
    <col min="54" max="16384" width="8.83984375" style="17"/>
  </cols>
  <sheetData>
    <row r="1" spans="6:53" x14ac:dyDescent="0.55000000000000004">
      <c r="G1" s="85"/>
      <c r="H1" s="85"/>
      <c r="I1" s="85"/>
      <c r="J1" s="85"/>
      <c r="K1" s="85"/>
      <c r="L1" s="153"/>
      <c r="M1" s="85"/>
    </row>
    <row r="2" spans="6:53" x14ac:dyDescent="0.55000000000000004">
      <c r="I2" s="168" t="str">
        <f>_xlfn.CONCAT("w = ", I12, "µm, 
Tol [", K12, ",", L12, "]")</f>
        <v>w = 120µm, 
Tol [130,110]</v>
      </c>
      <c r="L2" s="166" t="str">
        <f>_xlfn.CONCAT("h1 = ", $I$10, "µm, Tol [", K10, ",", L10, "]")</f>
        <v>h1 = 152.4µm, Tol [132.4,172.4]</v>
      </c>
      <c r="M2" s="166"/>
    </row>
    <row r="3" spans="6:53" x14ac:dyDescent="0.55000000000000004">
      <c r="I3" s="168"/>
      <c r="L3" s="166"/>
      <c r="M3" s="166"/>
    </row>
    <row r="4" spans="6:53" x14ac:dyDescent="0.55000000000000004">
      <c r="G4" s="87" t="str">
        <f>_xlfn.CONCAT("t = ", I11, "µm, Tol [", K11, ",", L11, "]")</f>
        <v>t = 17µm, Tol [20,14]</v>
      </c>
      <c r="H4" s="86"/>
      <c r="I4" s="85"/>
      <c r="K4" s="85"/>
      <c r="L4" s="86"/>
      <c r="M4" s="88"/>
    </row>
    <row r="5" spans="6:53" x14ac:dyDescent="0.55000000000000004">
      <c r="J5" s="168" t="str">
        <f>_xlfn.CONCAT("s = ", I13, "µm, 
Tol [", K13, ",", L13, "]")</f>
        <v>s = 100µm, 
Tol [90,110]</v>
      </c>
      <c r="L5" s="166" t="str">
        <f>_xlfn.CONCAT("h2 = ", $I$10, "µm, Tol [", K10, ",", L10, "]")</f>
        <v>h2 = 152.4µm, Tol [132.4,172.4]</v>
      </c>
      <c r="M5" s="166"/>
    </row>
    <row r="6" spans="6:53" x14ac:dyDescent="0.55000000000000004">
      <c r="G6" s="155" t="str">
        <f>VLOOKUP('Material Modeler'!S1,Table1[],1,FALSE)</f>
        <v>TU863+_1x2116_Preg</v>
      </c>
      <c r="J6" s="168"/>
      <c r="L6" s="166"/>
      <c r="M6" s="166"/>
    </row>
    <row r="7" spans="6:53" x14ac:dyDescent="0.55000000000000004">
      <c r="G7" s="85"/>
      <c r="H7" s="85"/>
      <c r="I7" s="85"/>
      <c r="J7" s="85"/>
      <c r="K7" s="85"/>
      <c r="L7" s="154"/>
      <c r="M7" s="85"/>
    </row>
    <row r="9" spans="6:53" ht="28.8" x14ac:dyDescent="0.55000000000000004">
      <c r="I9" s="24" t="s">
        <v>210</v>
      </c>
      <c r="J9" s="24"/>
      <c r="K9" s="122" t="s">
        <v>215</v>
      </c>
      <c r="L9" s="122" t="s">
        <v>216</v>
      </c>
    </row>
    <row r="10" spans="6:53" ht="14.5" customHeight="1" x14ac:dyDescent="0.55000000000000004">
      <c r="F10" s="162" t="s">
        <v>123</v>
      </c>
      <c r="G10" s="162"/>
      <c r="H10" s="162"/>
      <c r="I10" s="209">
        <v>152.4</v>
      </c>
      <c r="J10" s="138" t="s">
        <v>212</v>
      </c>
      <c r="K10" s="210">
        <f>I10-20</f>
        <v>132.4</v>
      </c>
      <c r="L10" s="210">
        <f>I10+20</f>
        <v>172.4</v>
      </c>
      <c r="M10" s="138"/>
      <c r="N10" s="138"/>
    </row>
    <row r="11" spans="6:53" ht="14.5" customHeight="1" x14ac:dyDescent="0.55000000000000004">
      <c r="F11" s="162" t="s">
        <v>128</v>
      </c>
      <c r="G11" s="162"/>
      <c r="H11" s="162"/>
      <c r="I11" s="209">
        <v>17</v>
      </c>
      <c r="J11" s="138" t="s">
        <v>211</v>
      </c>
      <c r="K11" s="210">
        <f>I11+3</f>
        <v>20</v>
      </c>
      <c r="L11" s="210">
        <f>I11-3</f>
        <v>14</v>
      </c>
      <c r="M11" s="138"/>
      <c r="N11" s="138"/>
    </row>
    <row r="12" spans="6:53" ht="14.5" customHeight="1" x14ac:dyDescent="0.55000000000000004">
      <c r="G12" s="160" t="s">
        <v>134</v>
      </c>
      <c r="H12" s="160"/>
      <c r="I12" s="209">
        <v>120</v>
      </c>
      <c r="J12" s="138" t="s">
        <v>211</v>
      </c>
      <c r="K12" s="210">
        <f>I12+10</f>
        <v>130</v>
      </c>
      <c r="L12" s="210">
        <f>I12-10</f>
        <v>110</v>
      </c>
      <c r="M12" s="138"/>
      <c r="N12" s="138"/>
    </row>
    <row r="13" spans="6:53" ht="14.5" customHeight="1" x14ac:dyDescent="0.55000000000000004">
      <c r="G13" s="162" t="s">
        <v>140</v>
      </c>
      <c r="H13" s="162"/>
      <c r="I13" s="209">
        <v>100</v>
      </c>
      <c r="J13" s="138" t="s">
        <v>212</v>
      </c>
      <c r="K13" s="138">
        <f>$I13+($I12-K12)</f>
        <v>90</v>
      </c>
      <c r="L13" s="138">
        <f>$I13+($I12-L12)</f>
        <v>110</v>
      </c>
      <c r="M13" s="138"/>
      <c r="N13" s="138"/>
    </row>
    <row r="15" spans="6:53" ht="14.7" thickBot="1" x14ac:dyDescent="0.6"/>
    <row r="16" spans="6:53" ht="14.7" thickBot="1" x14ac:dyDescent="0.6">
      <c r="G16" s="172" t="s">
        <v>213</v>
      </c>
      <c r="H16" s="173"/>
      <c r="I16" s="173"/>
      <c r="J16" s="173"/>
      <c r="K16" s="173"/>
      <c r="L16" s="173"/>
      <c r="M16" s="173"/>
      <c r="N16" s="174"/>
      <c r="Q16" s="172" t="s">
        <v>210</v>
      </c>
      <c r="R16" s="173"/>
      <c r="S16" s="173"/>
      <c r="T16" s="173"/>
      <c r="U16" s="173"/>
      <c r="V16" s="173"/>
      <c r="W16" s="173"/>
      <c r="X16" s="174"/>
      <c r="AA16" s="172" t="s">
        <v>214</v>
      </c>
      <c r="AB16" s="173"/>
      <c r="AC16" s="173"/>
      <c r="AD16" s="173"/>
      <c r="AE16" s="173"/>
      <c r="AF16" s="173"/>
      <c r="AG16" s="173"/>
      <c r="AH16" s="174"/>
      <c r="AK16" s="172" t="s">
        <v>217</v>
      </c>
      <c r="AL16" s="173"/>
      <c r="AM16" s="173"/>
      <c r="AN16" s="173"/>
      <c r="AO16" s="173"/>
      <c r="AP16" s="173"/>
      <c r="AQ16" s="173"/>
      <c r="AR16" s="174"/>
      <c r="AT16" s="172" t="s">
        <v>218</v>
      </c>
      <c r="AU16" s="173"/>
      <c r="AV16" s="173"/>
      <c r="AW16" s="173"/>
      <c r="AX16" s="173"/>
      <c r="AY16" s="173"/>
      <c r="AZ16" s="173"/>
      <c r="BA16" s="174"/>
    </row>
    <row r="17" spans="7:53" x14ac:dyDescent="0.55000000000000004">
      <c r="G17" s="172" t="str">
        <f>_xlfn.CONCAT("Detailed Stripline Parameters (dB/m) at Temp = ",H19,"°C (dB/m)")</f>
        <v>Detailed Stripline Parameters (dB/m) at Temp = 25°C (dB/m)</v>
      </c>
      <c r="H17" s="173"/>
      <c r="I17" s="173"/>
      <c r="J17" s="173"/>
      <c r="K17" s="173"/>
      <c r="L17" s="173"/>
      <c r="M17" s="173"/>
      <c r="N17" s="174"/>
      <c r="Q17" s="172" t="str">
        <f>_xlfn.CONCAT("Detailed Stripline Parameters (dB/m) at Temp = ",R19,"°C (dB/m)")</f>
        <v>Detailed Stripline Parameters (dB/m) at Temp = 25°C (dB/m)</v>
      </c>
      <c r="R17" s="173"/>
      <c r="S17" s="173"/>
      <c r="T17" s="173"/>
      <c r="U17" s="173"/>
      <c r="V17" s="173"/>
      <c r="W17" s="173"/>
      <c r="X17" s="174"/>
      <c r="AA17" s="172" t="str">
        <f>_xlfn.CONCAT("Detailed Stripline Parameters (dB/m) at Temp = ",AB19,"°C (dB/m)")</f>
        <v>Detailed Stripline Parameters (dB/m) at Temp = 25°C (dB/m)</v>
      </c>
      <c r="AB17" s="173"/>
      <c r="AC17" s="173"/>
      <c r="AD17" s="173"/>
      <c r="AE17" s="173"/>
      <c r="AF17" s="173"/>
      <c r="AG17" s="173"/>
      <c r="AH17" s="174"/>
      <c r="AK17" s="172" t="str">
        <f>_xlfn.CONCAT("Detailed Stripline Parameters (dB/m) at Temp = ",AL19,"°C (dB/m)")</f>
        <v>Detailed Stripline Parameters (dB/m) at Temp = 25°C (dB/m)</v>
      </c>
      <c r="AL17" s="173"/>
      <c r="AM17" s="173"/>
      <c r="AN17" s="173"/>
      <c r="AO17" s="173"/>
      <c r="AP17" s="173"/>
      <c r="AQ17" s="173"/>
      <c r="AR17" s="174"/>
      <c r="AT17" s="172" t="str">
        <f>_xlfn.CONCAT("Detailed Stripline Parameters (dB/m) at Temp = ",AU19,"°C (dB/m)")</f>
        <v>Detailed Stripline Parameters (dB/m) at Temp = 25°C (dB/m)</v>
      </c>
      <c r="AU17" s="173"/>
      <c r="AV17" s="173"/>
      <c r="AW17" s="173"/>
      <c r="AX17" s="173"/>
      <c r="AY17" s="173"/>
      <c r="AZ17" s="173"/>
      <c r="BA17" s="174"/>
    </row>
    <row r="18" spans="7:53" x14ac:dyDescent="0.55000000000000004">
      <c r="G18" s="176" t="s">
        <v>133</v>
      </c>
      <c r="H18" s="160"/>
      <c r="I18" s="65">
        <f>'Material Modeler'!L$24</f>
        <v>1</v>
      </c>
      <c r="J18" s="65">
        <f>'Material Modeler'!M$24</f>
        <v>3</v>
      </c>
      <c r="K18" s="65">
        <f>'Material Modeler'!N$24</f>
        <v>5</v>
      </c>
      <c r="L18" s="65">
        <f>'Material Modeler'!O$24</f>
        <v>10</v>
      </c>
      <c r="M18" s="65">
        <f>'Material Modeler'!P$24</f>
        <v>15</v>
      </c>
      <c r="N18" s="66">
        <f>'Material Modeler'!Q$24</f>
        <v>20</v>
      </c>
      <c r="O18" s="19"/>
      <c r="Q18" s="176" t="s">
        <v>133</v>
      </c>
      <c r="R18" s="160"/>
      <c r="S18" s="65">
        <f>'Material Modeler'!L$24</f>
        <v>1</v>
      </c>
      <c r="T18" s="65">
        <f>'Material Modeler'!M$24</f>
        <v>3</v>
      </c>
      <c r="U18" s="65">
        <f>'Material Modeler'!N$24</f>
        <v>5</v>
      </c>
      <c r="V18" s="65">
        <f>'Material Modeler'!O$24</f>
        <v>10</v>
      </c>
      <c r="W18" s="65">
        <f>'Material Modeler'!P$24</f>
        <v>15</v>
      </c>
      <c r="X18" s="66">
        <f>'Material Modeler'!Q$24</f>
        <v>20</v>
      </c>
      <c r="Y18" s="19"/>
      <c r="AA18" s="176" t="s">
        <v>133</v>
      </c>
      <c r="AB18" s="160"/>
      <c r="AC18" s="65">
        <f>'Material Modeler'!L$24</f>
        <v>1</v>
      </c>
      <c r="AD18" s="65">
        <f>'Material Modeler'!M$24</f>
        <v>3</v>
      </c>
      <c r="AE18" s="65">
        <f>'Material Modeler'!N$24</f>
        <v>5</v>
      </c>
      <c r="AF18" s="65">
        <f>'Material Modeler'!O$24</f>
        <v>10</v>
      </c>
      <c r="AG18" s="65">
        <f>'Material Modeler'!P$24</f>
        <v>15</v>
      </c>
      <c r="AH18" s="66">
        <f>'Material Modeler'!Q$24</f>
        <v>20</v>
      </c>
      <c r="AI18" s="19"/>
      <c r="AK18" s="176" t="s">
        <v>133</v>
      </c>
      <c r="AL18" s="160"/>
      <c r="AM18" s="65">
        <f>'Material Modeler'!L$24</f>
        <v>1</v>
      </c>
      <c r="AN18" s="65">
        <f>'Material Modeler'!M$24</f>
        <v>3</v>
      </c>
      <c r="AO18" s="65">
        <f>'Material Modeler'!N$24</f>
        <v>5</v>
      </c>
      <c r="AP18" s="65">
        <f>'Material Modeler'!O$24</f>
        <v>10</v>
      </c>
      <c r="AQ18" s="65">
        <f>'Material Modeler'!P$24</f>
        <v>15</v>
      </c>
      <c r="AR18" s="66">
        <f>'Material Modeler'!Q$24</f>
        <v>20</v>
      </c>
      <c r="AT18" s="176" t="s">
        <v>133</v>
      </c>
      <c r="AU18" s="160"/>
      <c r="AV18" s="65">
        <f>'Material Modeler'!L$24</f>
        <v>1</v>
      </c>
      <c r="AW18" s="65">
        <f>'Material Modeler'!M$24</f>
        <v>3</v>
      </c>
      <c r="AX18" s="65">
        <f>'Material Modeler'!N$24</f>
        <v>5</v>
      </c>
      <c r="AY18" s="65">
        <f>'Material Modeler'!O$24</f>
        <v>10</v>
      </c>
      <c r="AZ18" s="65">
        <f>'Material Modeler'!P$24</f>
        <v>15</v>
      </c>
      <c r="BA18" s="66">
        <f>'Material Modeler'!Q$24</f>
        <v>20</v>
      </c>
    </row>
    <row r="19" spans="7:53" x14ac:dyDescent="0.55000000000000004">
      <c r="G19" s="151" t="s">
        <v>139</v>
      </c>
      <c r="H19" s="185">
        <f>R19</f>
        <v>25</v>
      </c>
      <c r="I19" s="81">
        <f>('Material Modeler'!$M$1*($R$19-'Material Modeler'!$H$2)+1) * AVERAGE(
    (
       ('Material Modeler'!C$20*(100%-(SLOPE('Material Modeler'!$B$10:$B$12,'Material Modeler'!$A$10:$A$12)*$K$10+INTERCEPT('Material Modeler'!$B$10:$B$12,'Material Modeler'!$A$10:$A$12))) )
      +('Material Modeler'!C$21*(SLOPE('Material Modeler'!$B$10:$B$12,'Material Modeler'!$A$10:$A$12)*$K$10+INTERCEPT('Material Modeler'!$B$10:$B$12,'Material Modeler'!$A$10:$A$12)))
    ) / 100%,
    100% / (
           (100%-(SLOPE('Material Modeler'!$B$10:$B$12,'Material Modeler'!$A$10:$A$12)*$K$10+INTERCEPT('Material Modeler'!$B$10:$B$12,'Material Modeler'!$A$10:$A$12))) /
           'Material Modeler'!C$20+(SLOPE('Material Modeler'!$B$10:$B$12,'Material Modeler'!$A$10:$A$12)*$K$10+INTERCEPT('Material Modeler'!$B$10:$B$12,'Material Modeler'!$A$10:$A$12))/'Material Modeler'!C$21
        )
)</f>
        <v>3.6620071294474972</v>
      </c>
      <c r="J19" s="81">
        <f>('Material Modeler'!$M$1*($R$19-'Material Modeler'!$H$2)+1) * AVERAGE(
    (
       ('Material Modeler'!D$20*(100%-(SLOPE('Material Modeler'!$B$10:$B$12,'Material Modeler'!$A$10:$A$12)*$K$10+INTERCEPT('Material Modeler'!$B$10:$B$12,'Material Modeler'!$A$10:$A$12))) )
      +('Material Modeler'!D$21*(SLOPE('Material Modeler'!$B$10:$B$12,'Material Modeler'!$A$10:$A$12)*$K$10+INTERCEPT('Material Modeler'!$B$10:$B$12,'Material Modeler'!$A$10:$A$12)))
    ) / 100%,
    100% / (
           (100%-(SLOPE('Material Modeler'!$B$10:$B$12,'Material Modeler'!$A$10:$A$12)*$K$10+INTERCEPT('Material Modeler'!$B$10:$B$12,'Material Modeler'!$A$10:$A$12))) /
           'Material Modeler'!D$20+(SLOPE('Material Modeler'!$B$10:$B$12,'Material Modeler'!$A$10:$A$12)*$K$10+INTERCEPT('Material Modeler'!$B$10:$B$12,'Material Modeler'!$A$10:$A$12))/'Material Modeler'!D$21
        )
)</f>
        <v>3.6513415058497642</v>
      </c>
      <c r="K19" s="81">
        <f>('Material Modeler'!$M$1*($R$19-'Material Modeler'!$H$2)+1) * AVERAGE(
    (
       ('Material Modeler'!E$20*(100%-(SLOPE('Material Modeler'!$B$10:$B$12,'Material Modeler'!$A$10:$A$12)*$K$10+INTERCEPT('Material Modeler'!$B$10:$B$12,'Material Modeler'!$A$10:$A$12))) )
      +('Material Modeler'!E$21*(SLOPE('Material Modeler'!$B$10:$B$12,'Material Modeler'!$A$10:$A$12)*$K$10+INTERCEPT('Material Modeler'!$B$10:$B$12,'Material Modeler'!$A$10:$A$12)))
    ) / 100%,
    100% / (
           (100%-(SLOPE('Material Modeler'!$B$10:$B$12,'Material Modeler'!$A$10:$A$12)*$K$10+INTERCEPT('Material Modeler'!$B$10:$B$12,'Material Modeler'!$A$10:$A$12))) /
           'Material Modeler'!E$20+(SLOPE('Material Modeler'!$B$10:$B$12,'Material Modeler'!$A$10:$A$12)*$K$10+INTERCEPT('Material Modeler'!$B$10:$B$12,'Material Modeler'!$A$10:$A$12))/'Material Modeler'!E$21
        )
)</f>
        <v>3.6193260436789165</v>
      </c>
      <c r="L19" s="81">
        <f>('Material Modeler'!$M$1*($R$19-'Material Modeler'!$H$2)+1) * AVERAGE(
    (
       ('Material Modeler'!F$20*(100%-(SLOPE('Material Modeler'!$B$10:$B$12,'Material Modeler'!$A$10:$A$12)*$K$10+INTERCEPT('Material Modeler'!$B$10:$B$12,'Material Modeler'!$A$10:$A$12))) )
      +('Material Modeler'!F$21*(SLOPE('Material Modeler'!$B$10:$B$12,'Material Modeler'!$A$10:$A$12)*$K$10+INTERCEPT('Material Modeler'!$B$10:$B$12,'Material Modeler'!$A$10:$A$12)))
    ) / 100%,
    100% / (
           (100%-(SLOPE('Material Modeler'!$B$10:$B$12,'Material Modeler'!$A$10:$A$12)*$K$10+INTERCEPT('Material Modeler'!$B$10:$B$12,'Material Modeler'!$A$10:$A$12))) /
           'Material Modeler'!F$20+(SLOPE('Material Modeler'!$B$10:$B$12,'Material Modeler'!$A$10:$A$12)*$K$10+INTERCEPT('Material Modeler'!$B$10:$B$12,'Material Modeler'!$A$10:$A$12))/'Material Modeler'!F$21
        )
)</f>
        <v>3.6060783020339309</v>
      </c>
      <c r="M19" s="81">
        <f>('Material Modeler'!$M$1*($R$19-'Material Modeler'!$H$2)+1) * AVERAGE(
    (
       ('Material Modeler'!G$20*(100%-(SLOPE('Material Modeler'!$B$10:$B$12,'Material Modeler'!$A$10:$A$12)*$K$10+INTERCEPT('Material Modeler'!$B$10:$B$12,'Material Modeler'!$A$10:$A$12))) )
      +('Material Modeler'!G$21*(SLOPE('Material Modeler'!$B$10:$B$12,'Material Modeler'!$A$10:$A$12)*$K$10+INTERCEPT('Material Modeler'!$B$10:$B$12,'Material Modeler'!$A$10:$A$12)))
    ) / 100%,
    100% / (
           (100%-(SLOPE('Material Modeler'!$B$10:$B$12,'Material Modeler'!$A$10:$A$12)*$K$10+INTERCEPT('Material Modeler'!$B$10:$B$12,'Material Modeler'!$A$10:$A$12))) /
           'Material Modeler'!G$20+(SLOPE('Material Modeler'!$B$10:$B$12,'Material Modeler'!$A$10:$A$12)*$K$10+INTERCEPT('Material Modeler'!$B$10:$B$12,'Material Modeler'!$A$10:$A$12))/'Material Modeler'!G$21
        )
)</f>
        <v>3.5742083525125148</v>
      </c>
      <c r="N19" s="99">
        <f>('Material Modeler'!$M$1*($R$19-'Material Modeler'!$H$2)+1) * AVERAGE(
    (
       ('Material Modeler'!H$20*(100%-(SLOPE('Material Modeler'!$B$10:$B$12,'Material Modeler'!$A$10:$A$12)*$K$10+INTERCEPT('Material Modeler'!$B$10:$B$12,'Material Modeler'!$A$10:$A$12))) )
      +('Material Modeler'!H$21*(SLOPE('Material Modeler'!$B$10:$B$12,'Material Modeler'!$A$10:$A$12)*$K$10+INTERCEPT('Material Modeler'!$B$10:$B$12,'Material Modeler'!$A$10:$A$12)))
    ) / 100%,
    100% / (
           (100%-(SLOPE('Material Modeler'!$B$10:$B$12,'Material Modeler'!$A$10:$A$12)*$K$10+INTERCEPT('Material Modeler'!$B$10:$B$12,'Material Modeler'!$A$10:$A$12))) /
           'Material Modeler'!H$20+(SLOPE('Material Modeler'!$B$10:$B$12,'Material Modeler'!$A$10:$A$12)*$K$10+INTERCEPT('Material Modeler'!$B$10:$B$12,'Material Modeler'!$A$10:$A$12))/'Material Modeler'!H$21
        )
)</f>
        <v>3.542311510165729</v>
      </c>
      <c r="O19" s="19"/>
      <c r="Q19" s="151" t="s">
        <v>139</v>
      </c>
      <c r="R19" s="211">
        <v>25</v>
      </c>
      <c r="S19" s="81">
        <f>('Material Modeler'!$M$1*($R$19-'Material Modeler'!$H$2)+1) * AVERAGE(
    (
       ('Material Modeler'!C$20*(100%-(SLOPE('Material Modeler'!$B$10:$B$12,'Material Modeler'!$A$10:$A$12)*$I$10+INTERCEPT('Material Modeler'!$B$10:$B$12,'Material Modeler'!$A$10:$A$12))) )
      +('Material Modeler'!C$21*(SLOPE('Material Modeler'!$B$10:$B$12,'Material Modeler'!$A$10:$A$12)*$I$10+INTERCEPT('Material Modeler'!$B$10:$B$12,'Material Modeler'!$A$10:$A$12)))
    ) / 100%,
    100% / (
           (100%-(SLOPE('Material Modeler'!$B$10:$B$12,'Material Modeler'!$A$10:$A$12)*$I$10+INTERCEPT('Material Modeler'!$B$10:$B$12,'Material Modeler'!$A$10:$A$12))) /
           'Material Modeler'!C$20+(SLOPE('Material Modeler'!$B$10:$B$12,'Material Modeler'!$A$10:$A$12)*$I$10+INTERCEPT('Material Modeler'!$B$10:$B$12,'Material Modeler'!$A$10:$A$12))/'Material Modeler'!C$21
        )
)</f>
        <v>3.5125993616160756</v>
      </c>
      <c r="T19" s="81">
        <f>('Material Modeler'!$M$1*($R$19-'Material Modeler'!$H$2)+1) * AVERAGE(
    (
       ('Material Modeler'!D$20*(100%-(SLOPE('Material Modeler'!$B$10:$B$12,'Material Modeler'!$A$10:$A$12)*$I$10+INTERCEPT('Material Modeler'!$B$10:$B$12,'Material Modeler'!$A$10:$A$12))) )
      +('Material Modeler'!D$21*(SLOPE('Material Modeler'!$B$10:$B$12,'Material Modeler'!$A$10:$A$12)*$I$10+INTERCEPT('Material Modeler'!$B$10:$B$12,'Material Modeler'!$A$10:$A$12)))
    ) / 100%,
    100% / (
           (100%-(SLOPE('Material Modeler'!$B$10:$B$12,'Material Modeler'!$A$10:$A$12)*$I$10+INTERCEPT('Material Modeler'!$B$10:$B$12,'Material Modeler'!$A$10:$A$12))) /
           'Material Modeler'!D$20+(SLOPE('Material Modeler'!$B$10:$B$12,'Material Modeler'!$A$10:$A$12)*$I$10+INTERCEPT('Material Modeler'!$B$10:$B$12,'Material Modeler'!$A$10:$A$12))/'Material Modeler'!D$21
        )
)</f>
        <v>3.5020067989009855</v>
      </c>
      <c r="U19" s="81">
        <f>('Material Modeler'!$M$1*($R$19-'Material Modeler'!$H$2)+1) * AVERAGE(
    (
       ('Material Modeler'!E$20*(100%-(SLOPE('Material Modeler'!$B$10:$B$12,'Material Modeler'!$A$10:$A$12)*$I$10+INTERCEPT('Material Modeler'!$B$10:$B$12,'Material Modeler'!$A$10:$A$12))) )
      +('Material Modeler'!E$21*(SLOPE('Material Modeler'!$B$10:$B$12,'Material Modeler'!$A$10:$A$12)*$I$10+INTERCEPT('Material Modeler'!$B$10:$B$12,'Material Modeler'!$A$10:$A$12)))
    ) / 100%,
    100% / (
           (100%-(SLOPE('Material Modeler'!$B$10:$B$12,'Material Modeler'!$A$10:$A$12)*$I$10+INTERCEPT('Material Modeler'!$B$10:$B$12,'Material Modeler'!$A$10:$A$12))) /
           'Material Modeler'!E$20+(SLOPE('Material Modeler'!$B$10:$B$12,'Material Modeler'!$A$10:$A$12)*$I$10+INTERCEPT('Material Modeler'!$B$10:$B$12,'Material Modeler'!$A$10:$A$12))/'Material Modeler'!E$21
        )
)</f>
        <v>3.4702131931589801</v>
      </c>
      <c r="V19" s="81">
        <f>('Material Modeler'!$M$1*($R$19-'Material Modeler'!$H$2)+1) * AVERAGE(
    (
       ('Material Modeler'!F$20*(100%-(SLOPE('Material Modeler'!$B$10:$B$12,'Material Modeler'!$A$10:$A$12)*$I$10+INTERCEPT('Material Modeler'!$B$10:$B$12,'Material Modeler'!$A$10:$A$12))) )
      +('Material Modeler'!F$21*(SLOPE('Material Modeler'!$B$10:$B$12,'Material Modeler'!$A$10:$A$12)*$I$10+INTERCEPT('Material Modeler'!$B$10:$B$12,'Material Modeler'!$A$10:$A$12)))
    ) / 100%,
    100% / (
           (100%-(SLOPE('Material Modeler'!$B$10:$B$12,'Material Modeler'!$A$10:$A$12)*$I$10+INTERCEPT('Material Modeler'!$B$10:$B$12,'Material Modeler'!$A$10:$A$12))) /
           'Material Modeler'!F$20+(SLOPE('Material Modeler'!$B$10:$B$12,'Material Modeler'!$A$10:$A$12)*$I$10+INTERCEPT('Material Modeler'!$B$10:$B$12,'Material Modeler'!$A$10:$A$12))/'Material Modeler'!F$21
        )
)</f>
        <v>3.4642945822927431</v>
      </c>
      <c r="W19" s="81">
        <f>('Material Modeler'!$M$1*($R$19-'Material Modeler'!$H$2)+1) * AVERAGE(
    (
       ('Material Modeler'!G$20*(100%-(SLOPE('Material Modeler'!$B$10:$B$12,'Material Modeler'!$A$10:$A$12)*$I$10+INTERCEPT('Material Modeler'!$B$10:$B$12,'Material Modeler'!$A$10:$A$12))) )
      +('Material Modeler'!G$21*(SLOPE('Material Modeler'!$B$10:$B$12,'Material Modeler'!$A$10:$A$12)*$I$10+INTERCEPT('Material Modeler'!$B$10:$B$12,'Material Modeler'!$A$10:$A$12)))
    ) / 100%,
    100% / (
           (100%-(SLOPE('Material Modeler'!$B$10:$B$12,'Material Modeler'!$A$10:$A$12)*$I$10+INTERCEPT('Material Modeler'!$B$10:$B$12,'Material Modeler'!$A$10:$A$12))) /
           'Material Modeler'!G$20+(SLOPE('Material Modeler'!$B$10:$B$12,'Material Modeler'!$A$10:$A$12)*$I$10+INTERCEPT('Material Modeler'!$B$10:$B$12,'Material Modeler'!$A$10:$A$12))/'Material Modeler'!G$21
        )
)</f>
        <v>3.432625795223156</v>
      </c>
      <c r="X19" s="99">
        <f>('Material Modeler'!$M$1*($R$19-'Material Modeler'!$H$2)+1) * AVERAGE(
    (
       ('Material Modeler'!H$20*(100%-(SLOPE('Material Modeler'!$B$10:$B$12,'Material Modeler'!$A$10:$A$12)*$I$10+INTERCEPT('Material Modeler'!$B$10:$B$12,'Material Modeler'!$A$10:$A$12))) )
      +('Material Modeler'!H$21*(SLOPE('Material Modeler'!$B$10:$B$12,'Material Modeler'!$A$10:$A$12)*$I$10+INTERCEPT('Material Modeler'!$B$10:$B$12,'Material Modeler'!$A$10:$A$12)))
    ) / 100%,
    100% / (
           (100%-(SLOPE('Material Modeler'!$B$10:$B$12,'Material Modeler'!$A$10:$A$12)*$I$10+INTERCEPT('Material Modeler'!$B$10:$B$12,'Material Modeler'!$A$10:$A$12))) /
           'Material Modeler'!H$20+(SLOPE('Material Modeler'!$B$10:$B$12,'Material Modeler'!$A$10:$A$12)*$I$10+INTERCEPT('Material Modeler'!$B$10:$B$12,'Material Modeler'!$A$10:$A$12))/'Material Modeler'!H$21
        )
)</f>
        <v>3.4009339001347092</v>
      </c>
      <c r="Y19" s="19"/>
      <c r="AA19" s="151" t="s">
        <v>139</v>
      </c>
      <c r="AB19" s="185">
        <f>R19</f>
        <v>25</v>
      </c>
      <c r="AC19" s="81">
        <f>('Material Modeler'!$M$1*($R$19-'Material Modeler'!$H$2)+1) * AVERAGE(
    (
       ('Material Modeler'!C$20*(100%-(SLOPE('Material Modeler'!$B$10:$B$12,'Material Modeler'!$A$10:$A$12)*$L$10+INTERCEPT('Material Modeler'!$B$10:$B$12,'Material Modeler'!$A$10:$A$12))) )
      +('Material Modeler'!C$21*(SLOPE('Material Modeler'!$B$10:$B$12,'Material Modeler'!$A$10:$A$12)*$L$10+INTERCEPT('Material Modeler'!$B$10:$B$12,'Material Modeler'!$A$10:$A$12)))
    ) / 100%,
    100% / (
           (100%-(SLOPE('Material Modeler'!$B$10:$B$12,'Material Modeler'!$A$10:$A$12)*$L$10+INTERCEPT('Material Modeler'!$B$10:$B$12,'Material Modeler'!$A$10:$A$12))) /
           'Material Modeler'!C$20+(SLOPE('Material Modeler'!$B$10:$B$12,'Material Modeler'!$A$10:$A$12)*$L$10+INTERCEPT('Material Modeler'!$B$10:$B$12,'Material Modeler'!$A$10:$A$12))/'Material Modeler'!C$21
        )
)</f>
        <v>3.3678646683311131</v>
      </c>
      <c r="AD19" s="81">
        <f>('Material Modeler'!$M$1*($R$19-'Material Modeler'!$H$2)+1) * AVERAGE(
    (
       ('Material Modeler'!D$20*(100%-(SLOPE('Material Modeler'!$B$10:$B$12,'Material Modeler'!$A$10:$A$12)*$L$10+INTERCEPT('Material Modeler'!$B$10:$B$12,'Material Modeler'!$A$10:$A$12))) )
      +('Material Modeler'!D$21*(SLOPE('Material Modeler'!$B$10:$B$12,'Material Modeler'!$A$10:$A$12)*$L$10+INTERCEPT('Material Modeler'!$B$10:$B$12,'Material Modeler'!$A$10:$A$12)))
    ) / 100%,
    100% / (
           (100%-(SLOPE('Material Modeler'!$B$10:$B$12,'Material Modeler'!$A$10:$A$12)*$L$10+INTERCEPT('Material Modeler'!$B$10:$B$12,'Material Modeler'!$A$10:$A$12))) /
           'Material Modeler'!D$20+(SLOPE('Material Modeler'!$B$10:$B$12,'Material Modeler'!$A$10:$A$12)*$L$10+INTERCEPT('Material Modeler'!$B$10:$B$12,'Material Modeler'!$A$10:$A$12))/'Material Modeler'!D$21
        )
)</f>
        <v>3.3573498279039362</v>
      </c>
      <c r="AE19" s="81">
        <f>('Material Modeler'!$M$1*($R$19-'Material Modeler'!$H$2)+1) * AVERAGE(
    (
       ('Material Modeler'!E$20*(100%-(SLOPE('Material Modeler'!$B$10:$B$12,'Material Modeler'!$A$10:$A$12)*$L$10+INTERCEPT('Material Modeler'!$B$10:$B$12,'Material Modeler'!$A$10:$A$12))) )
      +('Material Modeler'!E$21*(SLOPE('Material Modeler'!$B$10:$B$12,'Material Modeler'!$A$10:$A$12)*$L$10+INTERCEPT('Material Modeler'!$B$10:$B$12,'Material Modeler'!$A$10:$A$12)))
    ) / 100%,
    100% / (
           (100%-(SLOPE('Material Modeler'!$B$10:$B$12,'Material Modeler'!$A$10:$A$12)*$L$10+INTERCEPT('Material Modeler'!$B$10:$B$12,'Material Modeler'!$A$10:$A$12))) /
           'Material Modeler'!E$20+(SLOPE('Material Modeler'!$B$10:$B$12,'Material Modeler'!$A$10:$A$12)*$L$10+INTERCEPT('Material Modeler'!$B$10:$B$12,'Material Modeler'!$A$10:$A$12))/'Material Modeler'!E$21
        )
)</f>
        <v>3.3257919863797754</v>
      </c>
      <c r="AF19" s="81">
        <f>('Material Modeler'!$M$1*($R$19-'Material Modeler'!$H$2)+1) * AVERAGE(
    (
       ('Material Modeler'!F$20*(100%-(SLOPE('Material Modeler'!$B$10:$B$12,'Material Modeler'!$A$10:$A$12)*$L$10+INTERCEPT('Material Modeler'!$B$10:$B$12,'Material Modeler'!$A$10:$A$12))) )
      +('Material Modeler'!F$21*(SLOPE('Material Modeler'!$B$10:$B$12,'Material Modeler'!$A$10:$A$12)*$L$10+INTERCEPT('Material Modeler'!$B$10:$B$12,'Material Modeler'!$A$10:$A$12)))
    ) / 100%,
    100% / (
           (100%-(SLOPE('Material Modeler'!$B$10:$B$12,'Material Modeler'!$A$10:$A$12)*$L$10+INTERCEPT('Material Modeler'!$B$10:$B$12,'Material Modeler'!$A$10:$A$12))) /
           'Material Modeler'!F$20+(SLOPE('Material Modeler'!$B$10:$B$12,'Material Modeler'!$A$10:$A$12)*$L$10+INTERCEPT('Material Modeler'!$B$10:$B$12,'Material Modeler'!$A$10:$A$12))/'Material Modeler'!F$21
        )
)</f>
        <v>3.3268440112477737</v>
      </c>
      <c r="AG19" s="81">
        <f>('Material Modeler'!$M$1*($R$19-'Material Modeler'!$H$2)+1) * AVERAGE(
    (
       ('Material Modeler'!G$20*(100%-(SLOPE('Material Modeler'!$B$10:$B$12,'Material Modeler'!$A$10:$A$12)*$L$10+INTERCEPT('Material Modeler'!$B$10:$B$12,'Material Modeler'!$A$10:$A$12))) )
      +('Material Modeler'!G$21*(SLOPE('Material Modeler'!$B$10:$B$12,'Material Modeler'!$A$10:$A$12)*$L$10+INTERCEPT('Material Modeler'!$B$10:$B$12,'Material Modeler'!$A$10:$A$12)))
    ) / 100%,
    100% / (
           (100%-(SLOPE('Material Modeler'!$B$10:$B$12,'Material Modeler'!$A$10:$A$12)*$L$10+INTERCEPT('Material Modeler'!$B$10:$B$12,'Material Modeler'!$A$10:$A$12))) /
           'Material Modeler'!G$20+(SLOPE('Material Modeler'!$B$10:$B$12,'Material Modeler'!$A$10:$A$12)*$L$10+INTERCEPT('Material Modeler'!$B$10:$B$12,'Material Modeler'!$A$10:$A$12))/'Material Modeler'!G$21
        )
)</f>
        <v>3.2953908027288303</v>
      </c>
      <c r="AH19" s="99">
        <f>('Material Modeler'!$M$1*($R$19-'Material Modeler'!$H$2)+1) * AVERAGE(
    (
       ('Material Modeler'!H$20*(100%-(SLOPE('Material Modeler'!$B$10:$B$12,'Material Modeler'!$A$10:$A$12)*$L$10+INTERCEPT('Material Modeler'!$B$10:$B$12,'Material Modeler'!$A$10:$A$12))) )
      +('Material Modeler'!H$21*(SLOPE('Material Modeler'!$B$10:$B$12,'Material Modeler'!$A$10:$A$12)*$L$10+INTERCEPT('Material Modeler'!$B$10:$B$12,'Material Modeler'!$A$10:$A$12)))
    ) / 100%,
    100% / (
           (100%-(SLOPE('Material Modeler'!$B$10:$B$12,'Material Modeler'!$A$10:$A$12)*$L$10+INTERCEPT('Material Modeler'!$B$10:$B$12,'Material Modeler'!$A$10:$A$12))) /
           'Material Modeler'!H$20+(SLOPE('Material Modeler'!$B$10:$B$12,'Material Modeler'!$A$10:$A$12)*$L$10+INTERCEPT('Material Modeler'!$B$10:$B$12,'Material Modeler'!$A$10:$A$12))/'Material Modeler'!H$21
        )
)</f>
        <v>3.2639181922770026</v>
      </c>
      <c r="AI19" s="19"/>
      <c r="AK19" s="139" t="s">
        <v>139</v>
      </c>
      <c r="AL19" s="185">
        <f>R19</f>
        <v>25</v>
      </c>
      <c r="AM19" s="141">
        <f>IMABS(IMDIV(IMSUB(I19,S19),1))</f>
        <v>0.14940776783142201</v>
      </c>
      <c r="AN19" s="141">
        <f t="shared" ref="AN19:AR19" si="0">IMABS(IMDIV(IMSUB(J19,T19),1))</f>
        <v>0.14933470694877901</v>
      </c>
      <c r="AO19" s="141">
        <f t="shared" si="0"/>
        <v>0.149112850519936</v>
      </c>
      <c r="AP19" s="141">
        <f t="shared" si="0"/>
        <v>0.141783719741188</v>
      </c>
      <c r="AQ19" s="141">
        <f t="shared" si="0"/>
        <v>0.14158255728935901</v>
      </c>
      <c r="AR19" s="142">
        <f t="shared" si="0"/>
        <v>0.14137761003102001</v>
      </c>
      <c r="AT19" s="139" t="s">
        <v>139</v>
      </c>
      <c r="AU19" s="185">
        <f>R19</f>
        <v>25</v>
      </c>
      <c r="AV19" s="141">
        <f>IMABS(IMDIV(IMSUB(S19,AC19),1))*SIGN(IMSUB(S19,AC19))</f>
        <v>0.144734693284962</v>
      </c>
      <c r="AW19" s="141">
        <f t="shared" ref="AW19:BA32" si="1">IMABS(IMDIV(IMSUB(T19,AD19),1))</f>
        <v>0.14465697099704899</v>
      </c>
      <c r="AX19" s="141">
        <f t="shared" si="1"/>
        <v>0.144421206779205</v>
      </c>
      <c r="AY19" s="141">
        <f t="shared" si="1"/>
        <v>0.13745057104496899</v>
      </c>
      <c r="AZ19" s="141">
        <f t="shared" si="1"/>
        <v>0.137234992494326</v>
      </c>
      <c r="BA19" s="142">
        <f t="shared" si="1"/>
        <v>0.137015707857707</v>
      </c>
    </row>
    <row r="20" spans="7:53" x14ac:dyDescent="0.55000000000000004">
      <c r="G20" s="152" t="s">
        <v>141</v>
      </c>
      <c r="H20" s="186"/>
      <c r="I20" s="84">
        <f>('Material Modeler'!$M$2*($R$19-'Material Modeler'!$H$2)+1) * (
   (
      (INTERCEPT('Material Modeler'!C16:C18,'Material Modeler'!$B16:$B18))
    * (100%-(SLOPE('Material Modeler'!$B$10:$B$12,'Material Modeler'!$A$10:$A$12)*$K$10+INTERCEPT('Material Modeler'!$B$10:$B$12,'Material Modeler'!$A$10:$A$12)))
   )
 + (
      (SLOPE('Material Modeler'!C16:C18,'Material Modeler'!$B16:$B18)*100%+'Material Modeler'!U20)
    * (SLOPE('Material Modeler'!$B$10:$B$12,'Material Modeler'!$A$10:$A$12)*$K$10+INTERCEPT('Material Modeler'!$B$10:$B$12,'Material Modeler'!$A$10:$A$12))
   ) / 100%
)</f>
        <v>5.3999999999999994E-3</v>
      </c>
      <c r="J20" s="84">
        <f>('Material Modeler'!$M$2*($R$19-'Material Modeler'!$H$2)+1) * (
   (
      (INTERCEPT('Material Modeler'!D16:D18,'Material Modeler'!$B16:$B18))
    * (100%-(SLOPE('Material Modeler'!$B$10:$B$12,'Material Modeler'!$A$10:$A$12)*$K$10+INTERCEPT('Material Modeler'!$B$10:$B$12,'Material Modeler'!$A$10:$A$12)))
   )
 + (
      (SLOPE('Material Modeler'!D16:D18,'Material Modeler'!$B16:$B18)*100%+'Material Modeler'!V20)
    * (SLOPE('Material Modeler'!$B$10:$B$12,'Material Modeler'!$A$10:$A$12)*$K$10+INTERCEPT('Material Modeler'!$B$10:$B$12,'Material Modeler'!$A$10:$A$12))
   ) / 100%
)</f>
        <v>5.5999999999999999E-3</v>
      </c>
      <c r="K20" s="84">
        <f>('Material Modeler'!$M$2*($R$19-'Material Modeler'!$H$2)+1) * (
   (
      (INTERCEPT('Material Modeler'!E16:E18,'Material Modeler'!$B16:$B18))
    * (100%-(SLOPE('Material Modeler'!$B$10:$B$12,'Material Modeler'!$A$10:$A$12)*$K$10+INTERCEPT('Material Modeler'!$B$10:$B$12,'Material Modeler'!$A$10:$A$12)))
   )
 + (
      (SLOPE('Material Modeler'!E16:E18,'Material Modeler'!$B16:$B18)*100%+'Material Modeler'!W20)
    * (SLOPE('Material Modeler'!$B$10:$B$12,'Material Modeler'!$A$10:$A$12)*$K$10+INTERCEPT('Material Modeler'!$B$10:$B$12,'Material Modeler'!$A$10:$A$12))
   ) / 100%
)</f>
        <v>6.1000000000000004E-3</v>
      </c>
      <c r="L20" s="84">
        <f>('Material Modeler'!$M$2*($R$19-'Material Modeler'!$H$2)+1) * (
   (
      (INTERCEPT('Material Modeler'!F16:F18,'Material Modeler'!$B16:$B18))
    * (100%-(SLOPE('Material Modeler'!$B$10:$B$12,'Material Modeler'!$A$10:$A$12)*$K$10+INTERCEPT('Material Modeler'!$B$10:$B$12,'Material Modeler'!$A$10:$A$12)))
   )
 + (
      (SLOPE('Material Modeler'!F16:F18,'Material Modeler'!$B16:$B18)*100%+'Material Modeler'!X20)
    * (SLOPE('Material Modeler'!$B$10:$B$12,'Material Modeler'!$A$10:$A$12)*$K$10+INTERCEPT('Material Modeler'!$B$10:$B$12,'Material Modeler'!$A$10:$A$12))
   ) / 100%
)</f>
        <v>6.9487746393009555E-3</v>
      </c>
      <c r="M20" s="84">
        <f>('Material Modeler'!$M$2*($R$19-'Material Modeler'!$H$2)+1) * (
   (
      (INTERCEPT('Material Modeler'!G16:G18,'Material Modeler'!$B16:$B18))
    * (100%-(SLOPE('Material Modeler'!$B$10:$B$12,'Material Modeler'!$A$10:$A$12)*$K$10+INTERCEPT('Material Modeler'!$B$10:$B$12,'Material Modeler'!$A$10:$A$12)))
   )
 + (
      (SLOPE('Material Modeler'!G16:G18,'Material Modeler'!$B16:$B18)*100%+'Material Modeler'!Y20)
    * (SLOPE('Material Modeler'!$B$10:$B$12,'Material Modeler'!$A$10:$A$12)*$K$10+INTERCEPT('Material Modeler'!$B$10:$B$12,'Material Modeler'!$A$10:$A$12))
   ) / 100%
)</f>
        <v>7.5487746393009545E-3</v>
      </c>
      <c r="N20" s="100">
        <f>('Material Modeler'!$M$2*($R$19-'Material Modeler'!$H$2)+1) * (
   (
      (INTERCEPT('Material Modeler'!H16:H18,'Material Modeler'!$B16:$B18))
    * (100%-(SLOPE('Material Modeler'!$B$10:$B$12,'Material Modeler'!$A$10:$A$12)*$K$10+INTERCEPT('Material Modeler'!$B$10:$B$12,'Material Modeler'!$A$10:$A$12)))
   )
 + (
      (SLOPE('Material Modeler'!H16:H18,'Material Modeler'!$B16:$B18)*100%+'Material Modeler'!Z20)
    * (SLOPE('Material Modeler'!$B$10:$B$12,'Material Modeler'!$A$10:$A$12)*$K$10+INTERCEPT('Material Modeler'!$B$10:$B$12,'Material Modeler'!$A$10:$A$12))
   ) / 100%
)</f>
        <v>8.0999999999999996E-3</v>
      </c>
      <c r="O20" s="19"/>
      <c r="Q20" s="152" t="s">
        <v>141</v>
      </c>
      <c r="R20" s="212"/>
      <c r="S20" s="84">
        <f>('Material Modeler'!$M$2*($R$19-'Material Modeler'!$H$2)+1) * (
   (
      (INTERCEPT('Material Modeler'!C16:C18,'Material Modeler'!$B16:$B18))
    * (100%-(SLOPE('Material Modeler'!$B$10:$B$12,'Material Modeler'!$A$10:$A$12)*$I$10+INTERCEPT('Material Modeler'!$B$10:$B$12,'Material Modeler'!$A$10:$A$12)))
   )
 + (
      (SLOPE('Material Modeler'!C16:C18,'Material Modeler'!$B16:$B18)*100%+'Material Modeler'!U20)
    * (SLOPE('Material Modeler'!$B$10:$B$12,'Material Modeler'!$A$10:$A$12)*$I$10+INTERCEPT('Material Modeler'!$B$10:$B$12,'Material Modeler'!$A$10:$A$12))
   ) / 100%
)</f>
        <v>5.3999999999999994E-3</v>
      </c>
      <c r="T20" s="84">
        <f>('Material Modeler'!$M$2*($R$19-'Material Modeler'!$H$2)+1) * (
   (
      (INTERCEPT('Material Modeler'!D16:D18,'Material Modeler'!$B16:$B18))
    * (100%-(SLOPE('Material Modeler'!$B$10:$B$12,'Material Modeler'!$A$10:$A$12)*$I$10+INTERCEPT('Material Modeler'!$B$10:$B$12,'Material Modeler'!$A$10:$A$12)))
   )
 + (
      (SLOPE('Material Modeler'!D16:D18,'Material Modeler'!$B16:$B18)*100%+'Material Modeler'!V20)
    * (SLOPE('Material Modeler'!$B$10:$B$12,'Material Modeler'!$A$10:$A$12)*$I$10+INTERCEPT('Material Modeler'!$B$10:$B$12,'Material Modeler'!$A$10:$A$12))
   ) / 100%
)</f>
        <v>5.5999999999999999E-3</v>
      </c>
      <c r="U20" s="84">
        <f>('Material Modeler'!$M$2*($R$19-'Material Modeler'!$H$2)+1) * (
   (
      (INTERCEPT('Material Modeler'!E16:E18,'Material Modeler'!$B16:$B18))
    * (100%-(SLOPE('Material Modeler'!$B$10:$B$12,'Material Modeler'!$A$10:$A$12)*$I$10+INTERCEPT('Material Modeler'!$B$10:$B$12,'Material Modeler'!$A$10:$A$12)))
   )
 + (
      (SLOPE('Material Modeler'!E16:E18,'Material Modeler'!$B16:$B18)*100%+'Material Modeler'!W20)
    * (SLOPE('Material Modeler'!$B$10:$B$12,'Material Modeler'!$A$10:$A$12)*$I$10+INTERCEPT('Material Modeler'!$B$10:$B$12,'Material Modeler'!$A$10:$A$12))
   ) / 100%
)</f>
        <v>6.1000000000000004E-3</v>
      </c>
      <c r="V20" s="84">
        <f>('Material Modeler'!$M$2*($R$19-'Material Modeler'!$H$2)+1) * (
   (
      (INTERCEPT('Material Modeler'!F16:F18,'Material Modeler'!$B16:$B18))
    * (100%-(SLOPE('Material Modeler'!$B$10:$B$12,'Material Modeler'!$A$10:$A$12)*$I$10+INTERCEPT('Material Modeler'!$B$10:$B$12,'Material Modeler'!$A$10:$A$12)))
   )
 + (
      (SLOPE('Material Modeler'!F16:F18,'Material Modeler'!$B16:$B18)*100%+'Material Modeler'!X20)
    * (SLOPE('Material Modeler'!$B$10:$B$12,'Material Modeler'!$A$10:$A$12)*$I$10+INTERCEPT('Material Modeler'!$B$10:$B$12,'Material Modeler'!$A$10:$A$12))
   ) / 100%
)</f>
        <v>7.0617598049177001E-3</v>
      </c>
      <c r="W20" s="84">
        <f>('Material Modeler'!$M$2*($R$19-'Material Modeler'!$H$2)+1) * (
   (
      (INTERCEPT('Material Modeler'!G16:G18,'Material Modeler'!$B16:$B18))
    * (100%-(SLOPE('Material Modeler'!$B$10:$B$12,'Material Modeler'!$A$10:$A$12)*$I$10+INTERCEPT('Material Modeler'!$B$10:$B$12,'Material Modeler'!$A$10:$A$12)))
   )
 + (
      (SLOPE('Material Modeler'!G16:G18,'Material Modeler'!$B16:$B18)*100%+'Material Modeler'!Y20)
    * (SLOPE('Material Modeler'!$B$10:$B$12,'Material Modeler'!$A$10:$A$12)*$I$10+INTERCEPT('Material Modeler'!$B$10:$B$12,'Material Modeler'!$A$10:$A$12))
   ) / 100%
)</f>
        <v>7.6617598049177E-3</v>
      </c>
      <c r="X20" s="100">
        <f>('Material Modeler'!$M$2*($R$19-'Material Modeler'!$H$2)+1) * (
   (
      (INTERCEPT('Material Modeler'!H16:H18,'Material Modeler'!$B16:$B18))
    * (100%-(SLOPE('Material Modeler'!$B$10:$B$12,'Material Modeler'!$A$10:$A$12)*$I$10+INTERCEPT('Material Modeler'!$B$10:$B$12,'Material Modeler'!$A$10:$A$12)))
   )
 + (
      (SLOPE('Material Modeler'!H16:H18,'Material Modeler'!$B16:$B18)*100%+'Material Modeler'!Z20)
    * (SLOPE('Material Modeler'!$B$10:$B$12,'Material Modeler'!$A$10:$A$12)*$I$10+INTERCEPT('Material Modeler'!$B$10:$B$12,'Material Modeler'!$A$10:$A$12))
   ) / 100%
)</f>
        <v>8.0999999999999996E-3</v>
      </c>
      <c r="Y20" s="19"/>
      <c r="AA20" s="152" t="s">
        <v>141</v>
      </c>
      <c r="AB20" s="186"/>
      <c r="AC20" s="84">
        <f>('Material Modeler'!$M$2*($AB$19-'Material Modeler'!$H$2)+1) * (
   (
      (INTERCEPT('Material Modeler'!C16:C18,'Material Modeler'!$B16:$B18))
    * (100%-(SLOPE('Material Modeler'!$B$10:$B$12,'Material Modeler'!$A$10:$A$12)*$L$10+INTERCEPT('Material Modeler'!$B$10:$B$12,'Material Modeler'!$A$10:$A$12)))
   )
 + (
      (SLOPE('Material Modeler'!C16:C18,'Material Modeler'!$B16:$B18)*100%+'Material Modeler'!U20)
    * (SLOPE('Material Modeler'!$B$10:$B$12,'Material Modeler'!$A$10:$A$12)*$L$10+INTERCEPT('Material Modeler'!$B$10:$B$12,'Material Modeler'!$A$10:$A$12))
   ) / 100%
)</f>
        <v>5.3999999999999994E-3</v>
      </c>
      <c r="AD20" s="84">
        <f>('Material Modeler'!$M$2*($AB$19-'Material Modeler'!$H$2)+1) * (
   (
      (INTERCEPT('Material Modeler'!D16:D18,'Material Modeler'!$B16:$B18))
    * (100%-(SLOPE('Material Modeler'!$B$10:$B$12,'Material Modeler'!$A$10:$A$12)*$L$10+INTERCEPT('Material Modeler'!$B$10:$B$12,'Material Modeler'!$A$10:$A$12)))
   )
 + (
      (SLOPE('Material Modeler'!D16:D18,'Material Modeler'!$B16:$B18)*100%+'Material Modeler'!V20)
    * (SLOPE('Material Modeler'!$B$10:$B$12,'Material Modeler'!$A$10:$A$12)*$L$10+INTERCEPT('Material Modeler'!$B$10:$B$12,'Material Modeler'!$A$10:$A$12))
   ) / 100%
)</f>
        <v>5.5999999999999999E-3</v>
      </c>
      <c r="AE20" s="84">
        <f>('Material Modeler'!$M$2*($AB$19-'Material Modeler'!$H$2)+1) * (
   (
      (INTERCEPT('Material Modeler'!E16:E18,'Material Modeler'!$B16:$B18))
    * (100%-(SLOPE('Material Modeler'!$B$10:$B$12,'Material Modeler'!$A$10:$A$12)*$L$10+INTERCEPT('Material Modeler'!$B$10:$B$12,'Material Modeler'!$A$10:$A$12)))
   )
 + (
      (SLOPE('Material Modeler'!E16:E18,'Material Modeler'!$B16:$B18)*100%+'Material Modeler'!W20)
    * (SLOPE('Material Modeler'!$B$10:$B$12,'Material Modeler'!$A$10:$A$12)*$L$10+INTERCEPT('Material Modeler'!$B$10:$B$12,'Material Modeler'!$A$10:$A$12))
   ) / 100%
)</f>
        <v>6.1000000000000004E-3</v>
      </c>
      <c r="AF20" s="84">
        <f>('Material Modeler'!$M$2*($AB$19-'Material Modeler'!$H$2)+1) * (
   (
      (INTERCEPT('Material Modeler'!F16:F18,'Material Modeler'!$B16:$B18))
    * (100%-(SLOPE('Material Modeler'!$B$10:$B$12,'Material Modeler'!$A$10:$A$12)*$L$10+INTERCEPT('Material Modeler'!$B$10:$B$12,'Material Modeler'!$A$10:$A$12)))
   )
 + (
      (SLOPE('Material Modeler'!F16:F18,'Material Modeler'!$B16:$B18)*100%+'Material Modeler'!X20)
    * (SLOPE('Material Modeler'!$B$10:$B$12,'Material Modeler'!$A$10:$A$12)*$L$10+INTERCEPT('Material Modeler'!$B$10:$B$12,'Material Modeler'!$A$10:$A$12))
   ) / 100%
)</f>
        <v>7.1747449705344447E-3</v>
      </c>
      <c r="AG20" s="84">
        <f>('Material Modeler'!$M$2*($AB$19-'Material Modeler'!$H$2)+1) * (
   (
      (INTERCEPT('Material Modeler'!G16:G18,'Material Modeler'!$B16:$B18))
    * (100%-(SLOPE('Material Modeler'!$B$10:$B$12,'Material Modeler'!$A$10:$A$12)*$L$10+INTERCEPT('Material Modeler'!$B$10:$B$12,'Material Modeler'!$A$10:$A$12)))
   )
 + (
      (SLOPE('Material Modeler'!G16:G18,'Material Modeler'!$B16:$B18)*100%+'Material Modeler'!Y20)
    * (SLOPE('Material Modeler'!$B$10:$B$12,'Material Modeler'!$A$10:$A$12)*$L$10+INTERCEPT('Material Modeler'!$B$10:$B$12,'Material Modeler'!$A$10:$A$12))
   ) / 100%
)</f>
        <v>7.7747449705344446E-3</v>
      </c>
      <c r="AH20" s="100">
        <f>('Material Modeler'!$M$2*($AB$19-'Material Modeler'!$H$2)+1) * (
   (
      (INTERCEPT('Material Modeler'!H16:H18,'Material Modeler'!$B16:$B18))
    * (100%-(SLOPE('Material Modeler'!$B$10:$B$12,'Material Modeler'!$A$10:$A$12)*$L$10+INTERCEPT('Material Modeler'!$B$10:$B$12,'Material Modeler'!$A$10:$A$12)))
   )
 + (
      (SLOPE('Material Modeler'!H16:H18,'Material Modeler'!$B16:$B18)*100%+'Material Modeler'!Z20)
    * (SLOPE('Material Modeler'!$B$10:$B$12,'Material Modeler'!$A$10:$A$12)*$L$10+INTERCEPT('Material Modeler'!$B$10:$B$12,'Material Modeler'!$A$10:$A$12))
   ) / 100%
)</f>
        <v>8.0999999999999996E-3</v>
      </c>
      <c r="AI20" s="19"/>
      <c r="AK20" s="140" t="s">
        <v>141</v>
      </c>
      <c r="AL20" s="186"/>
      <c r="AM20" s="143">
        <f>IMABS(IMDIV(IMSUB(I20,S20),1))</f>
        <v>0</v>
      </c>
      <c r="AN20" s="143">
        <f t="shared" ref="AN20" si="2">IMABS(IMDIV(IMSUB(J20,T20),1))</f>
        <v>0</v>
      </c>
      <c r="AO20" s="143">
        <f t="shared" ref="AO20" si="3">IMABS(IMDIV(IMSUB(K20,U20),1))</f>
        <v>0</v>
      </c>
      <c r="AP20" s="143">
        <f t="shared" ref="AP20" si="4">IMABS(IMDIV(IMSUB(L20,V20),1))</f>
        <v>1.12985165616745E-4</v>
      </c>
      <c r="AQ20" s="143">
        <f t="shared" ref="AQ20" si="5">IMABS(IMDIV(IMSUB(M20,W20),1))</f>
        <v>1.12985165616745E-4</v>
      </c>
      <c r="AR20" s="144">
        <f t="shared" ref="AR20" si="6">IMABS(IMDIV(IMSUB(N20,X20),1))</f>
        <v>0</v>
      </c>
      <c r="AT20" s="140" t="s">
        <v>141</v>
      </c>
      <c r="AU20" s="186"/>
      <c r="AV20" s="143">
        <f t="shared" ref="AV20:AV32" si="7">IMABS(IMDIV(IMSUB(S20,AC20),1))</f>
        <v>0</v>
      </c>
      <c r="AW20" s="143">
        <f t="shared" si="1"/>
        <v>0</v>
      </c>
      <c r="AX20" s="143">
        <f t="shared" si="1"/>
        <v>0</v>
      </c>
      <c r="AY20" s="143">
        <f t="shared" si="1"/>
        <v>1.12985165616745E-4</v>
      </c>
      <c r="AZ20" s="143">
        <f t="shared" si="1"/>
        <v>1.12985165616745E-4</v>
      </c>
      <c r="BA20" s="144">
        <f t="shared" si="1"/>
        <v>0</v>
      </c>
    </row>
    <row r="21" spans="7:53" x14ac:dyDescent="0.55000000000000004">
      <c r="G21" s="23" t="s">
        <v>142</v>
      </c>
      <c r="H21" s="186"/>
      <c r="I21" s="74">
        <f>IF(I18=0,$K$11,SQRT(1/(('Material Modeler'!$H$1/(1+'Material Modeler'!$M$3*($H19-'Material Modeler'!$H$2)))*PI()*(I18*1000000000)*0.999991*0.0000004*PI()))*1000000)</f>
        <v>2.0615741316329186</v>
      </c>
      <c r="J21" s="74">
        <f>IF(J18=0,$K$11,SQRT(1/(('Material Modeler'!$H$1/(1+'Material Modeler'!$M$3*($H19-'Material Modeler'!$H$2)))*PI()*(J18*1000000000)*0.999991*0.0000004*PI()))*1000000)</f>
        <v>1.1902503798526345</v>
      </c>
      <c r="K21" s="74">
        <f>IF(K18=0,$K$11,SQRT(1/(('Material Modeler'!$H$1/(1+'Material Modeler'!$M$3*($H19-'Material Modeler'!$H$2)))*PI()*(K18*1000000000)*0.999991*0.0000004*PI()))*1000000)</f>
        <v>0.92196397979726119</v>
      </c>
      <c r="L21" s="74">
        <f>IF(L18=0,$K$11,SQRT(1/(('Material Modeler'!$H$1/(1+'Material Modeler'!$M$3*($H19-'Material Modeler'!$H$2)))*PI()*(L18*1000000000)*0.999991*0.0000004*PI()))*1000000)</f>
        <v>0.65192698212438038</v>
      </c>
      <c r="M21" s="74">
        <f>IF(M18=0,$K$11,SQRT(1/(('Material Modeler'!$H$1/(1+'Material Modeler'!$M$3*($H19-'Material Modeler'!$H$2)))*PI()*(M18*1000000000)*0.999991*0.0000004*PI()))*1000000)</f>
        <v>0.53229615191908741</v>
      </c>
      <c r="N21" s="101">
        <f>IF(N18=0,$K$11,SQRT(1/(('Material Modeler'!$H$1/(1+'Material Modeler'!$M$3*($H19-'Material Modeler'!$H$2)))*PI()*(N18*1000000000)*0.999991*0.0000004*PI()))*1000000)</f>
        <v>0.4609819898986306</v>
      </c>
      <c r="Q21" s="23" t="s">
        <v>142</v>
      </c>
      <c r="R21" s="212"/>
      <c r="S21" s="74">
        <f>IF(S18=0,$I$11,SQRT(1/(('Material Modeler'!$H$1/(1+'Material Modeler'!$M$3*($R$19-'Material Modeler'!$H$2)))*PI()*(S18*1000000000)*0.999991*0.0000004*PI()))*1000000)</f>
        <v>2.0615741316329186</v>
      </c>
      <c r="T21" s="74">
        <f>IF(T$18=0,$I$11,SQRT(1/(('Material Modeler'!$H$1/(1+'Material Modeler'!$M$3*($R$19-'Material Modeler'!$H$2)))*PI()*(T18*1000000000)*0.999991*0.0000004*PI()))*1000000)</f>
        <v>1.1902503798526345</v>
      </c>
      <c r="U21" s="74">
        <f>IF(U$18=0,$I$11,SQRT(1/(('Material Modeler'!$H$1/(1+'Material Modeler'!$M$3*($R$19-'Material Modeler'!$H$2)))*PI()*(U18*1000000000)*0.999991*0.0000004*PI()))*1000000)</f>
        <v>0.92196397979726119</v>
      </c>
      <c r="V21" s="74">
        <f>IF(V$18=0,$I$11,SQRT(1/(('Material Modeler'!$H$1/(1+'Material Modeler'!$M$3*($R$19-'Material Modeler'!$H$2)))*PI()*(V18*1000000000)*0.999991*0.0000004*PI()))*1000000)</f>
        <v>0.65192698212438038</v>
      </c>
      <c r="W21" s="74">
        <f>IF(W$18=0,$I$11,SQRT(1/(('Material Modeler'!$H$1/(1+'Material Modeler'!$M$3*($R$19-'Material Modeler'!$H$2)))*PI()*(W18*1000000000)*0.999991*0.0000004*PI()))*1000000)</f>
        <v>0.53229615191908741</v>
      </c>
      <c r="X21" s="101">
        <f>IF(X$18=0,$I$11,SQRT(1/(('Material Modeler'!$H$1/(1+'Material Modeler'!$M$3*($R$19-'Material Modeler'!$H$2)))*PI()*(X18*1000000000)*0.999991*0.0000004*PI()))*1000000)</f>
        <v>0.4609819898986306</v>
      </c>
      <c r="AA21" s="23" t="s">
        <v>142</v>
      </c>
      <c r="AB21" s="186"/>
      <c r="AC21" s="74">
        <f>IF(AC$18=0,$L$11,SQRT(1/(('Material Modeler'!$H$1/(1+'Material Modeler'!$M$3*($AB$19-'Material Modeler'!$H$2)))*PI()*(AC$18*1000000000)*0.999991*0.0000004*PI()))*1000000)</f>
        <v>2.0615741316329186</v>
      </c>
      <c r="AD21" s="74">
        <f>IF(AD$18=0,$L$11,SQRT(1/(('Material Modeler'!$H$1/(1+'Material Modeler'!$M$3*($AB$19-'Material Modeler'!$H$2)))*PI()*(AD$18*1000000000)*0.999991*0.0000004*PI()))*1000000)</f>
        <v>1.1902503798526345</v>
      </c>
      <c r="AE21" s="74">
        <f>IF(AE$18=0,$L$11,SQRT(1/(('Material Modeler'!$H$1/(1+'Material Modeler'!$M$3*($AB$19-'Material Modeler'!$H$2)))*PI()*(AE$18*1000000000)*0.999991*0.0000004*PI()))*1000000)</f>
        <v>0.92196397979726119</v>
      </c>
      <c r="AF21" s="74">
        <f>IF(AF$18=0,$L$11,SQRT(1/(('Material Modeler'!$H$1/(1+'Material Modeler'!$M$3*($AB$19-'Material Modeler'!$H$2)))*PI()*(AF$18*1000000000)*0.999991*0.0000004*PI()))*1000000)</f>
        <v>0.65192698212438038</v>
      </c>
      <c r="AG21" s="74">
        <f>IF(AG$18=0,$L$11,SQRT(1/(('Material Modeler'!$H$1/(1+'Material Modeler'!$M$3*($AB$19-'Material Modeler'!$H$2)))*PI()*(AG$18*1000000000)*0.999991*0.0000004*PI()))*1000000)</f>
        <v>0.53229615191908741</v>
      </c>
      <c r="AH21" s="101">
        <f>IF(AH$18=0,$L$11,SQRT(1/(('Material Modeler'!$H$1/(1+'Material Modeler'!$M$3*($AB$19-'Material Modeler'!$H$2)))*PI()*(AH$18*1000000000)*0.999991*0.0000004*PI()))*1000000)</f>
        <v>0.4609819898986306</v>
      </c>
      <c r="AK21" s="70" t="s">
        <v>142</v>
      </c>
      <c r="AL21" s="186"/>
      <c r="AM21" s="76">
        <f t="shared" ref="AM21:AM32" si="8">IMABS(IMDIV(IMSUB(S21,I21),1))*SIGN(IMDIV(IMSUB(S21,I21),1))</f>
        <v>0</v>
      </c>
      <c r="AN21" s="76">
        <f t="shared" ref="AN21:AR32" si="9">IMABS(IMDIV(IMSUB(T21,J21),1))*SIGN(IMDIV(IMSUB(T21,J21),1))</f>
        <v>0</v>
      </c>
      <c r="AO21" s="76">
        <f t="shared" si="9"/>
        <v>0</v>
      </c>
      <c r="AP21" s="76">
        <f t="shared" si="9"/>
        <v>0</v>
      </c>
      <c r="AQ21" s="76">
        <f t="shared" si="9"/>
        <v>0</v>
      </c>
      <c r="AR21" s="77">
        <f t="shared" si="9"/>
        <v>0</v>
      </c>
      <c r="AT21" s="70" t="s">
        <v>142</v>
      </c>
      <c r="AU21" s="186"/>
      <c r="AV21" s="76">
        <f t="shared" si="7"/>
        <v>0</v>
      </c>
      <c r="AW21" s="76">
        <f t="shared" si="1"/>
        <v>0</v>
      </c>
      <c r="AX21" s="76">
        <f t="shared" si="1"/>
        <v>0</v>
      </c>
      <c r="AY21" s="76">
        <f t="shared" si="1"/>
        <v>0</v>
      </c>
      <c r="AZ21" s="76">
        <f t="shared" si="1"/>
        <v>0</v>
      </c>
      <c r="BA21" s="77">
        <f t="shared" si="1"/>
        <v>0</v>
      </c>
    </row>
    <row r="22" spans="7:53" x14ac:dyDescent="0.55000000000000004">
      <c r="G22" s="102" t="s">
        <v>144</v>
      </c>
      <c r="H22" s="186"/>
      <c r="I22" s="80">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1/((0.000001*I$21)*('Material Modeler'!$H$1/(1+'Material Modeler'!$M$3*($H$19-'Material Modeler'!$H$2)))),
   _xlpm.alpha_ce, (2 * _xlpm.Rs * I$19 * IMABS(I$24)) / ((120*PI())^2 * (2*$K$10+$K$11)*0.000001)
           * ((($K$13/(2*$K$10+$K$11))-1)*_xlpm.dCfe_ϵ__ds_b + (1+$K$11/(2*$K$10+$K$11))*(_xlpm.dCfe_ϵ__dt_b+_xlpm.dCf_ϵ__dt_b) + 2*(($K$12/(2*$K$10+$K$11))+1-$K$11/(2*$K$10+$K$11))/(1-$K$11/(2*$K$10+$K$11))^2 ),
   _xlpm.Rsmooth_even, _xlpm.alpha_ce * (2*IMABS(I$24)),
   _xlpm.Rsmooth_even
)</f>
        <v>55.39160538357492</v>
      </c>
      <c r="J22" s="80">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1/((0.000001*J$21)*('Material Modeler'!$H$1/(1+'Material Modeler'!$M$3*($H$19-'Material Modeler'!$H$2)))),
   _xlpm.alpha_ce, (2 * _xlpm.Rs * J$19 * IMABS(J$24)) / ((120*PI())^2 * (2*$K$10+$K$11)*0.000001)
           * ((($K$13/(2*$K$10+$K$11))-1)*_xlpm.dCfe_ϵ__ds_b + (1+$K$11/(2*$K$10+$K$11))*(_xlpm.dCfe_ϵ__dt_b+_xlpm.dCf_ϵ__dt_b) + 2*(($K$12/(2*$K$10+$K$11))+1-$K$11/(2*$K$10+$K$11))/(1-$K$11/(2*$K$10+$K$11))^2 ),
   _xlpm.Rsmooth_even, _xlpm.alpha_ce * (2*IMABS(J$24)),
   _xlpm.Rsmooth_even
)</f>
        <v>95.93941017748925</v>
      </c>
      <c r="K22" s="80">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1/((0.000001*K$21)*('Material Modeler'!$H$1/(1+'Material Modeler'!$M$3*($H$19-'Material Modeler'!$H$2)))),
   _xlpm.alpha_ce, (2 * _xlpm.Rs * K$19 * IMABS(K$24)) / ((120*PI())^2 * (2*$K$10+$K$11)*0.000001)
           * ((($K$13/(2*$K$10+$K$11))-1)*_xlpm.dCfe_ϵ__ds_b + (1+$K$11/(2*$K$10+$K$11))*(_xlpm.dCfe_ϵ__dt_b+_xlpm.dCf_ϵ__dt_b) + 2*(($K$12/(2*$K$10+$K$11))+1-$K$11/(2*$K$10+$K$11))/(1-$K$11/(2*$K$10+$K$11))^2 ),
   _xlpm.Rsmooth_even, _xlpm.alpha_ce * (2*IMABS(K$24)),
   _xlpm.Rsmooth_even
)</f>
        <v>123.85828542162184</v>
      </c>
      <c r="L22" s="80">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1/((0.000001*L$21)*('Material Modeler'!$H$1/(1+'Material Modeler'!$M$3*($H$19-'Material Modeler'!$H$2)))),
   _xlpm.alpha_ce, (2 * _xlpm.Rs * L$19 * IMABS(L$24)) / ((120*PI())^2 * (2*$K$10+$K$11)*0.000001)
           * ((($K$13/(2*$K$10+$K$11))-1)*_xlpm.dCfe_ϵ__ds_b + (1+$K$11/(2*$K$10+$K$11))*(_xlpm.dCfe_ϵ__dt_b+_xlpm.dCf_ϵ__dt_b) + 2*(($K$12/(2*$K$10+$K$11))+1-$K$11/(2*$K$10+$K$11))/(1-$K$11/(2*$K$10+$K$11))^2 ),
   _xlpm.Rsmooth_even, _xlpm.alpha_ce * (2*IMABS(L$24)),
   _xlpm.Rsmooth_even
)</f>
        <v>175.16203531999437</v>
      </c>
      <c r="M22" s="80">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1/((0.000001*M$21)*('Material Modeler'!$H$1/(1+'Material Modeler'!$M$3*($H$19-'Material Modeler'!$H$2)))),
   _xlpm.alpha_ce, (2 * _xlpm.Rs * M$19 * IMABS(M$24)) / ((120*PI())^2 * (2*$K$10+$K$11)*0.000001)
           * ((($K$13/(2*$K$10+$K$11))-1)*_xlpm.dCfe_ϵ__ds_b + (1+$K$11/(2*$K$10+$K$11))*(_xlpm.dCfe_ϵ__dt_b+_xlpm.dCf_ϵ__dt_b) + 2*(($K$12/(2*$K$10+$K$11))+1-$K$11/(2*$K$10+$K$11))/(1-$K$11/(2*$K$10+$K$11))^2 ),
   _xlpm.Rsmooth_even, _xlpm.alpha_ce * (2*IMABS(M$24)),
   _xlpm.Rsmooth_even
)</f>
        <v>214.52670304824804</v>
      </c>
      <c r="N22" s="103">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1/((0.000001*N$21)*('Material Modeler'!$H$1/(1+'Material Modeler'!$M$3*($H$19-'Material Modeler'!$H$2)))),
   _xlpm.alpha_ce, (2 * _xlpm.Rs * N$19 * IMABS(N$24)) / ((120*PI())^2 * (2*$K$10+$K$11)*0.000001)
           * ((($K$13/(2*$K$10+$K$11))-1)*_xlpm.dCfe_ϵ__ds_b + (1+$K$11/(2*$K$10+$K$11))*(_xlpm.dCfe_ϵ__dt_b+_xlpm.dCf_ϵ__dt_b) + 2*(($K$12/(2*$K$10+$K$11))+1-$K$11/(2*$K$10+$K$11))/(1-$K$11/(2*$K$10+$K$11))^2 ),
   _xlpm.Rsmooth_even, _xlpm.alpha_ce * (2*IMABS(N$24)),
   _xlpm.Rsmooth_even
)</f>
        <v>247.70661821960752</v>
      </c>
      <c r="O22" s="189" t="s">
        <v>145</v>
      </c>
      <c r="Q22" s="102" t="s">
        <v>144</v>
      </c>
      <c r="R22" s="212"/>
      <c r="S22" s="80">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1/((0.000001*S$21)*('Material Modeler'!$H$1/(1+'Material Modeler'!$M$3*($R$19-'Material Modeler'!$H$2)))),
   _xlpm.alpha_ce, (2 * _xlpm.Rs * S$19 * IMABS(S$24)) / ((120*PI())^2 * (2*$I$10+$I$11)*0.000001)
           * ((($I$13/(2*$I$10+$I$11))-1)*_xlpm.dCfe_ϵ__ds_b + (1+$I$11/(2*$I$10+$I$11))*(_xlpm.dCfe_ϵ__dt_b+_xlpm.dCf_ϵ__dt_b) + 2*(($I$12/(2*$I$10+$I$11))+1-$I$11/(2*$I$10+$I$11))/(1-$I$11/(2*$I$10+$I$11))^2 ),
   _xlpm.Rsmooth_even, _xlpm.alpha_ce * (2*IMABS(S$24)),
   _xlpm.Rsmooth_even
)</f>
        <v>59.329995123698218</v>
      </c>
      <c r="T22" s="80">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1/((0.000001*T$21)*('Material Modeler'!$H$1/(1+'Material Modeler'!$M$3*($R$19-'Material Modeler'!$H$2)))),
   _xlpm.alpha_ce, (2 * _xlpm.Rs * T$19 * IMABS(T$24)) / ((120*PI())^2 * (2*$I$10+$I$11)*0.000001)
           * ((($I$13/(2*$I$10+$I$11))-1)*_xlpm.dCfe_ϵ__ds_b + (1+$I$11/(2*$I$10+$I$11))*(_xlpm.dCfe_ϵ__dt_b+_xlpm.dCf_ϵ__dt_b) + 2*(($I$12/(2*$I$10+$I$11))+1-$I$11/(2*$I$10+$I$11))/(1-$I$11/(2*$I$10+$I$11))^2 ),
   _xlpm.Rsmooth_even, _xlpm.alpha_ce * (2*IMABS(T$24)),
   _xlpm.Rsmooth_even
)</f>
        <v>102.76237304961407</v>
      </c>
      <c r="U22" s="80">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1/((0.000001*U$21)*('Material Modeler'!$H$1/(1+'Material Modeler'!$M$3*($R$19-'Material Modeler'!$H$2)))),
   _xlpm.alpha_ce, (2 * _xlpm.Rs * U$19 * IMABS(U$24)) / ((120*PI())^2 * (2*$I$10+$I$11)*0.000001)
           * ((($I$13/(2*$I$10+$I$11))-1)*_xlpm.dCfe_ϵ__ds_b + (1+$I$11/(2*$I$10+$I$11))*(_xlpm.dCfe_ϵ__dt_b+_xlpm.dCf_ϵ__dt_b) + 2*(($I$12/(2*$I$10+$I$11))+1-$I$11/(2*$I$10+$I$11))/(1-$I$11/(2*$I$10+$I$11))^2 ),
   _xlpm.Rsmooth_even, _xlpm.alpha_ce * (2*IMABS(U$24)),
   _xlpm.Rsmooth_even
)</f>
        <v>132.66565543322224</v>
      </c>
      <c r="V22" s="80">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1/((0.000001*V$21)*('Material Modeler'!$H$1/(1+'Material Modeler'!$M$3*($R$19-'Material Modeler'!$H$2)))),
   _xlpm.alpha_ce, (2 * _xlpm.Rs * V$19 * IMABS(V$24)) / ((120*PI())^2 * (2*$I$10+$I$11)*0.000001)
           * ((($I$13/(2*$I$10+$I$11))-1)*_xlpm.dCfe_ϵ__ds_b + (1+$I$11/(2*$I$10+$I$11))*(_xlpm.dCfe_ϵ__dt_b+_xlpm.dCf_ϵ__dt_b) + 2*(($I$12/(2*$I$10+$I$11))+1-$I$11/(2*$I$10+$I$11))/(1-$I$11/(2*$I$10+$I$11))^2 ),
   _xlpm.Rsmooth_even, _xlpm.alpha_ce * (2*IMABS(V$24)),
   _xlpm.Rsmooth_even
)</f>
        <v>187.61708179956929</v>
      </c>
      <c r="W22" s="80">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1/((0.000001*W$21)*('Material Modeler'!$H$1/(1+'Material Modeler'!$M$3*($R$19-'Material Modeler'!$H$2)))),
   _xlpm.alpha_ce, (2 * _xlpm.Rs * W$19 * IMABS(W$24)) / ((120*PI())^2 * (2*$I$10+$I$11)*0.000001)
           * ((($I$13/(2*$I$10+$I$11))-1)*_xlpm.dCfe_ϵ__ds_b + (1+$I$11/(2*$I$10+$I$11))*(_xlpm.dCfe_ϵ__dt_b+_xlpm.dCf_ϵ__dt_b) + 2*(($I$12/(2*$I$10+$I$11))+1-$I$11/(2*$I$10+$I$11))/(1-$I$11/(2*$I$10+$I$11))^2 ),
   _xlpm.Rsmooth_even, _xlpm.alpha_ce * (2*IMABS(W$24)),
   _xlpm.Rsmooth_even
)</f>
        <v>229.77862008123549</v>
      </c>
      <c r="X22" s="103">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1/((0.000001*X$21)*('Material Modeler'!$H$1/(1+'Material Modeler'!$M$3*($R$19-'Material Modeler'!$H$2)))),
   _xlpm.alpha_ce, (2 * _xlpm.Rs * X$19 * IMABS(X$24)) / ((120*PI())^2 * (2*$I$10+$I$11)*0.000001)
           * ((($I$13/(2*$I$10+$I$11))-1)*_xlpm.dCfe_ϵ__ds_b + (1+$I$11/(2*$I$10+$I$11))*(_xlpm.dCfe_ϵ__dt_b+_xlpm.dCf_ϵ__dt_b) + 2*(($I$12/(2*$I$10+$I$11))+1-$I$11/(2*$I$10+$I$11))/(1-$I$11/(2*$I$10+$I$11))^2 ),
   _xlpm.Rsmooth_even, _xlpm.alpha_ce * (2*IMABS(X$24)),
   _xlpm.Rsmooth_even
)</f>
        <v>265.32538586624577</v>
      </c>
      <c r="Y22" s="189" t="s">
        <v>145</v>
      </c>
      <c r="AA22" s="102" t="s">
        <v>144</v>
      </c>
      <c r="AB22" s="186"/>
      <c r="AC22" s="80">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1/((0.000001*AC$21)*('Material Modeler'!$H$1/(1+'Material Modeler'!$M$3*($AB$19-'Material Modeler'!$H$2)))),
   _xlpm.alpha_ce, (2 * _xlpm.Rs * AC$19 * IMABS(AC$24)) / ((120*PI())^2 * (2*$L$10+$L$11)*0.000001)
           * ((($L$13/(2*$L$10+$L$11))-1)*_xlpm.dCfe_ϵ__ds_b + (1+$L$11/(2*$L$10+$L$11))*(_xlpm.dCfe_ϵ__dt_b+_xlpm.dCf_ϵ__dt_b) + 2*(($L$12/(2*$L$10+$L$11))+1-$L$11/(2*$L$10+$L$11))/(1-$L$11/(2*$L$10+$L$11))^2 ),
   _xlpm.Rsmooth_even, _xlpm.alpha_ce * (2*IMABS(AC$24)),
   _xlpm.Rsmooth_even
)</f>
        <v>63.484176015399783</v>
      </c>
      <c r="AD22" s="80">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1/((0.000001*AD$21)*('Material Modeler'!$H$1/(1+'Material Modeler'!$M$3*($AB$19-'Material Modeler'!$H$2)))),
   _xlpm.alpha_ce, (2 * _xlpm.Rs * AD$19 * IMABS(AD$24)) / ((120*PI())^2 * (2*$L$10+$L$11)*0.000001)
           * ((($L$13/(2*$L$10+$L$11))-1)*_xlpm.dCfe_ϵ__ds_b + (1+$L$11/(2*$L$10+$L$11))*(_xlpm.dCfe_ϵ__dt_b+_xlpm.dCf_ϵ__dt_b) + 2*(($L$12/(2*$L$10+$L$11))+1-$L$11/(2*$L$10+$L$11))/(1-$L$11/(2*$L$10+$L$11))^2 ),
   _xlpm.Rsmooth_even, _xlpm.alpha_ce * (2*IMABS(AD$24)),
   _xlpm.Rsmooth_even
)</f>
        <v>109.95536231961795</v>
      </c>
      <c r="AE22" s="80">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1/((0.000001*AE$21)*('Material Modeler'!$H$1/(1+'Material Modeler'!$M$3*($AB$19-'Material Modeler'!$H$2)))),
   _xlpm.alpha_ce, (2 * _xlpm.Rs * AE$19 * IMABS(AE$24)) / ((120*PI())^2 * (2*$L$10+$L$11)*0.000001)
           * ((($L$13/(2*$L$10+$L$11))-1)*_xlpm.dCfe_ϵ__ds_b + (1+$L$11/(2*$L$10+$L$11))*(_xlpm.dCfe_ϵ__dt_b+_xlpm.dCf_ϵ__dt_b) + 2*(($L$12/(2*$L$10+$L$11))+1-$L$11/(2*$L$10+$L$11))/(1-$L$11/(2*$L$10+$L$11))^2 ),
   _xlpm.Rsmooth_even, _xlpm.alpha_ce * (2*IMABS(AE$24)),
   _xlpm.Rsmooth_even
)</f>
        <v>141.95243021967988</v>
      </c>
      <c r="AF22" s="80">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1/((0.000001*AF$21)*('Material Modeler'!$H$1/(1+'Material Modeler'!$M$3*($AB$19-'Material Modeler'!$H$2)))),
   _xlpm.alpha_ce, (2 * _xlpm.Rs * AF$19 * IMABS(AF$24)) / ((120*PI())^2 * (2*$L$10+$L$11)*0.000001)
           * ((($L$13/(2*$L$10+$L$11))-1)*_xlpm.dCfe_ϵ__ds_b + (1+$L$11/(2*$L$10+$L$11))*(_xlpm.dCfe_ϵ__dt_b+_xlpm.dCf_ϵ__dt_b) + 2*(($L$12/(2*$L$10+$L$11))+1-$L$11/(2*$L$10+$L$11))/(1-$L$11/(2*$L$10+$L$11))^2 ),
   _xlpm.Rsmooth_even, _xlpm.alpha_ce * (2*IMABS(AF$24)),
   _xlpm.Rsmooth_even
)</f>
        <v>200.74945586956804</v>
      </c>
      <c r="AG22" s="80">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1/((0.000001*AG$21)*('Material Modeler'!$H$1/(1+'Material Modeler'!$M$3*($AB$19-'Material Modeler'!$H$2)))),
   _xlpm.alpha_ce, (2 * _xlpm.Rs * AG$19 * IMABS(AG$24)) / ((120*PI())^2 * (2*$L$10+$L$11)*0.000001)
           * ((($L$13/(2*$L$10+$L$11))-1)*_xlpm.dCfe_ϵ__ds_b + (1+$L$11/(2*$L$10+$L$11))*(_xlpm.dCfe_ϵ__dt_b+_xlpm.dCf_ϵ__dt_b) + 2*(($L$12/(2*$L$10+$L$11))+1-$L$11/(2*$L$10+$L$11))/(1-$L$11/(2*$L$10+$L$11))^2 ),
   _xlpm.Rsmooth_even, _xlpm.alpha_ce * (2*IMABS(AG$24)),
   _xlpm.Rsmooth_even
)</f>
        <v>245.86414294823427</v>
      </c>
      <c r="AH22" s="103">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1/((0.000001*AH$21)*('Material Modeler'!$H$1/(1+'Material Modeler'!$M$3*($AB$19-'Material Modeler'!$H$2)))),
   _xlpm.alpha_ce, (2 * _xlpm.Rs * AH$19 * IMABS(AH$24)) / ((120*PI())^2 * (2*$L$10+$L$11)*0.000001)
           * ((($L$13/(2*$L$10+$L$11))-1)*_xlpm.dCfe_ϵ__ds_b + (1+$L$11/(2*$L$10+$L$11))*(_xlpm.dCfe_ϵ__dt_b+_xlpm.dCf_ϵ__dt_b) + 2*(($L$12/(2*$L$10+$L$11))+1-$L$11/(2*$L$10+$L$11))/(1-$L$11/(2*$L$10+$L$11))^2 ),
   _xlpm.Rsmooth_even, _xlpm.alpha_ce * (2*IMABS(AH$24)),
   _xlpm.Rsmooth_even
)</f>
        <v>283.90187708257207</v>
      </c>
      <c r="AI22" s="189" t="s">
        <v>145</v>
      </c>
      <c r="AK22" s="102" t="s">
        <v>144</v>
      </c>
      <c r="AL22" s="186"/>
      <c r="AM22" s="145">
        <f t="shared" si="8"/>
        <v>3.9383897401232999</v>
      </c>
      <c r="AN22" s="145">
        <f t="shared" si="9"/>
        <v>6.8229628721248199</v>
      </c>
      <c r="AO22" s="145">
        <f t="shared" si="9"/>
        <v>8.8073700116003995</v>
      </c>
      <c r="AP22" s="145">
        <f t="shared" si="9"/>
        <v>12.4550464795749</v>
      </c>
      <c r="AQ22" s="145">
        <f t="shared" si="9"/>
        <v>15.2519170329874</v>
      </c>
      <c r="AR22" s="146">
        <f t="shared" si="9"/>
        <v>17.618767646638201</v>
      </c>
      <c r="AT22" s="102" t="s">
        <v>144</v>
      </c>
      <c r="AU22" s="186"/>
      <c r="AV22" s="145">
        <f t="shared" si="7"/>
        <v>4.1541808917015599</v>
      </c>
      <c r="AW22" s="145">
        <f t="shared" si="1"/>
        <v>7.1929892700038804</v>
      </c>
      <c r="AX22" s="145">
        <f t="shared" si="1"/>
        <v>9.2867747864576398</v>
      </c>
      <c r="AY22" s="145">
        <f t="shared" si="1"/>
        <v>13.132374069998701</v>
      </c>
      <c r="AZ22" s="145">
        <f t="shared" si="1"/>
        <v>16.085522866998801</v>
      </c>
      <c r="BA22" s="146">
        <f t="shared" si="1"/>
        <v>18.5764912163263</v>
      </c>
    </row>
    <row r="23" spans="7:53" x14ac:dyDescent="0.55000000000000004">
      <c r="G23" s="102" t="s">
        <v>147</v>
      </c>
      <c r="H23" s="186"/>
      <c r="I23" s="80">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1/((0.000001*I$21)*('Material Modeler'!$H$1/(1+'Material Modeler'!$M$3*($H$19-'Material Modeler'!$H$2)))),
   _xlpm.alpha_co, ((2*_xlpm.Rs*I$19*IMABS(I$25))/(((2*$K$10+$K$11)*0.000001)*(120*PI())^2)) * (($K$13/(2*$K$10+$K$11)-1)*_xlpm.dCfo_ϵ__ds_b + (1+$K$11/(2*$K$10+$K$11))*(_xlpm.dCfo_ϵ__dt_b + _xlpm.dCf_ϵ__dt_b) + 2*($K$12/(2*$K$10+$K$11)+1-$K$11/(2*$K$10+$K$11))/(1-$K$11/(2*$K$10+$K$11))^2 ),
   _xlpm.Rsmooth_odd, _xlpm.alpha_co * (2*IMABS(I$25)),
   _xlpm.Rsmooth_odd
)</f>
        <v>48.122645041915597</v>
      </c>
      <c r="J23" s="80">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1/((0.000001*J$21)*('Material Modeler'!$H$1/(1+'Material Modeler'!$M$3*($H$19-'Material Modeler'!$H$2)))),
   _xlpm.alpha_co, ((2*_xlpm.Rs*J$19*IMABS(J$25))/(((2*$K$10+$K$11)*0.000001)*(120*PI())^2)) * (($K$13/(2*$K$10+$K$11)-1)*_xlpm.dCfo_ϵ__ds_b + (1+$K$11/(2*$K$10+$K$11))*(_xlpm.dCfo_ϵ__dt_b + _xlpm.dCf_ϵ__dt_b) + 2*($K$12/(2*$K$10+$K$11)+1-$K$11/(2*$K$10+$K$11))/(1-$K$11/(2*$K$10+$K$11))^2 ),
   _xlpm.Rsmooth_odd, _xlpm.alpha_co * (2*IMABS(J$25)),
   _xlpm.Rsmooth_odd
)</f>
        <v>83.345185374947505</v>
      </c>
      <c r="K23" s="80">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1/((0.000001*K$21)*('Material Modeler'!$H$1/(1+'Material Modeler'!$M$3*($H$19-'Material Modeler'!$H$2)))),
   _xlpm.alpha_co, ((2*_xlpm.Rs*K$19*IMABS(K$25))/(((2*$K$10+$K$11)*0.000001)*(120*PI())^2)) * (($K$13/(2*$K$10+$K$11)-1)*_xlpm.dCfo_ϵ__ds_b + (1+$K$11/(2*$K$10+$K$11))*(_xlpm.dCfo_ϵ__dt_b + _xlpm.dCf_ϵ__dt_b) + 2*($K$12/(2*$K$10+$K$11)+1-$K$11/(2*$K$10+$K$11))/(1-$K$11/(2*$K$10+$K$11))^2 ),
   _xlpm.Rsmooth_odd, _xlpm.alpha_co * (2*IMABS(K$25)),
   _xlpm.Rsmooth_odd
)</f>
        <v>107.57271764942175</v>
      </c>
      <c r="L23" s="80">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1/((0.000001*L$21)*('Material Modeler'!$H$1/(1+'Material Modeler'!$M$3*($H$19-'Material Modeler'!$H$2)))),
   _xlpm.alpha_co, ((2*_xlpm.Rs*L$19*IMABS(L$25))/(((2*$K$10+$K$11)*0.000001)*(120*PI())^2)) * (($K$13/(2*$K$10+$K$11)-1)*_xlpm.dCfo_ϵ__ds_b + (1+$K$11/(2*$K$10+$K$11))*(_xlpm.dCfo_ϵ__dt_b + _xlpm.dCf_ϵ__dt_b) + 2*($K$12/(2*$K$10+$K$11)+1-$K$11/(2*$K$10+$K$11))/(1-$K$11/(2*$K$10+$K$11))^2 ),
   _xlpm.Rsmooth_odd, _xlpm.alpha_co * (2*IMABS(L$25)),
   _xlpm.Rsmooth_odd
)</f>
        <v>152.11549050306027</v>
      </c>
      <c r="M23" s="80">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1/((0.000001*M$21)*('Material Modeler'!$H$1/(1+'Material Modeler'!$M$3*($H$19-'Material Modeler'!$H$2)))),
   _xlpm.alpha_co, ((2*_xlpm.Rs*M$19*IMABS(M$25))/(((2*$K$10+$K$11)*0.000001)*(120*PI())^2)) * (($K$13/(2*$K$10+$K$11)-1)*_xlpm.dCfo_ϵ__ds_b + (1+$K$11/(2*$K$10+$K$11))*(_xlpm.dCfo_ϵ__dt_b + _xlpm.dCf_ϵ__dt_b) + 2*($K$12/(2*$K$10+$K$11)+1-$K$11/(2*$K$10+$K$11))/(1-$K$11/(2*$K$10+$K$11))^2 ),
   _xlpm.Rsmooth_odd, _xlpm.alpha_co * (2*IMABS(M$25)),
   _xlpm.Rsmooth_odd
)</f>
        <v>186.25407257757641</v>
      </c>
      <c r="N23" s="103">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1/((0.000001*N$21)*('Material Modeler'!$H$1/(1+'Material Modeler'!$M$3*($H$19-'Material Modeler'!$H$2)))),
   _xlpm.alpha_co, ((2*_xlpm.Rs*N$19*IMABS(N$25))/(((2*$K$10+$K$11)*0.000001)*(120*PI())^2)) * (($K$13/(2*$K$10+$K$11)-1)*_xlpm.dCfo_ϵ__ds_b + (1+$K$11/(2*$K$10+$K$11))*(_xlpm.dCfo_ϵ__dt_b + _xlpm.dCf_ϵ__dt_b) + 2*($K$12/(2*$K$10+$K$11)+1-$K$11/(2*$K$10+$K$11))/(1-$K$11/(2*$K$10+$K$11))^2 ),
   _xlpm.Rsmooth_odd, _xlpm.alpha_co * (2*IMABS(N$25)),
   _xlpm.Rsmooth_odd
)</f>
        <v>215.01612803138838</v>
      </c>
      <c r="O23" s="189"/>
      <c r="Q23" s="102" t="s">
        <v>147</v>
      </c>
      <c r="R23" s="212"/>
      <c r="S23" s="80">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1/((0.000001*S$21)*('Material Modeler'!$H$1/(1+'Material Modeler'!$M$3*($R$19-'Material Modeler'!$H$2)))),
   _xlpm.alpha_co, ((2*_xlpm.Rs*S$19*IMABS(S$25))/(((2*$I$10+$I$11)*0.000001)*(120*PI())^2)) * (($I$13/(2*$I$10+$I$11)-1)*_xlpm.dCfo_ϵ__ds_b + (1+$I$11/(2*$I$10+$I$11))*(_xlpm.dCfo_ϵ__dt_b + _xlpm.dCf_ϵ__dt_b) + 2*($I$12/(2*$I$10+$I$11)+1-$I$11/(2*$I$10+$I$11))/(1-$I$11/(2*$I$10+$I$11))^2 ),
   _xlpm.Rsmooth_odd, _xlpm.alpha_co * (2*IMABS(S$25)),
   _xlpm.Rsmooth_odd
)</f>
        <v>51.521893162144728</v>
      </c>
      <c r="T23" s="80">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1/((0.000001*T$21)*('Material Modeler'!$H$1/(1+'Material Modeler'!$M$3*($R$19-'Material Modeler'!$H$2)))),
   _xlpm.alpha_co, ((2*_xlpm.Rs*T$19*IMABS(T$25))/(((2*$I$10+$I$11)*0.000001)*(120*PI())^2)) * (($I$13/(2*$I$10+$I$11)-1)*_xlpm.dCfo_ϵ__ds_b + (1+$I$11/(2*$I$10+$I$11))*(_xlpm.dCfo_ϵ__dt_b + _xlpm.dCf_ϵ__dt_b) + 2*($I$12/(2*$I$10+$I$11)+1-$I$11/(2*$I$10+$I$11))/(1-$I$11/(2*$I$10+$I$11))^2 ),
   _xlpm.Rsmooth_odd, _xlpm.alpha_co * (2*IMABS(T$25)),
   _xlpm.Rsmooth_odd
)</f>
        <v>89.238560635196009</v>
      </c>
      <c r="U23" s="80">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1/((0.000001*U$21)*('Material Modeler'!$H$1/(1+'Material Modeler'!$M$3*($R$19-'Material Modeler'!$H$2)))),
   _xlpm.alpha_co, ((2*_xlpm.Rs*U$19*IMABS(U$25))/(((2*$I$10+$I$11)*0.000001)*(120*PI())^2)) * (($I$13/(2*$I$10+$I$11)-1)*_xlpm.dCfo_ϵ__ds_b + (1+$I$11/(2*$I$10+$I$11))*(_xlpm.dCfo_ϵ__dt_b + _xlpm.dCf_ϵ__dt_b) + 2*($I$12/(2*$I$10+$I$11)+1-$I$11/(2*$I$10+$I$11))/(1-$I$11/(2*$I$10+$I$11))^2 ),
   _xlpm.Rsmooth_odd, _xlpm.alpha_co * (2*IMABS(U$25)),
   _xlpm.Rsmooth_odd
)</f>
        <v>115.20641569575425</v>
      </c>
      <c r="V23" s="80">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1/((0.000001*V$21)*('Material Modeler'!$H$1/(1+'Material Modeler'!$M$3*($R$19-'Material Modeler'!$H$2)))),
   _xlpm.alpha_co, ((2*_xlpm.Rs*V$19*IMABS(V$25))/(((2*$I$10+$I$11)*0.000001)*(120*PI())^2)) * (($I$13/(2*$I$10+$I$11)-1)*_xlpm.dCfo_ϵ__ds_b + (1+$I$11/(2*$I$10+$I$11))*(_xlpm.dCfo_ϵ__dt_b + _xlpm.dCf_ϵ__dt_b) + 2*($I$12/(2*$I$10+$I$11)+1-$I$11/(2*$I$10+$I$11))/(1-$I$11/(2*$I$10+$I$11))^2 ),
   _xlpm.Rsmooth_odd, _xlpm.alpha_co * (2*IMABS(V$25)),
   _xlpm.Rsmooth_odd
)</f>
        <v>162.92144043151438</v>
      </c>
      <c r="W23" s="80">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1/((0.000001*W$21)*('Material Modeler'!$H$1/(1+'Material Modeler'!$M$3*($R$19-'Material Modeler'!$H$2)))),
   _xlpm.alpha_co, ((2*_xlpm.Rs*W$19*IMABS(W$25))/(((2*$I$10+$I$11)*0.000001)*(120*PI())^2)) * (($I$13/(2*$I$10+$I$11)-1)*_xlpm.dCfo_ϵ__ds_b + (1+$I$11/(2*$I$10+$I$11))*(_xlpm.dCfo_ϵ__dt_b + _xlpm.dCf_ϵ__dt_b) + 2*($I$12/(2*$I$10+$I$11)+1-$I$11/(2*$I$10+$I$11))/(1-$I$11/(2*$I$10+$I$11))^2 ),
   _xlpm.Rsmooth_odd, _xlpm.alpha_co * (2*IMABS(W$25)),
   _xlpm.Rsmooth_odd
)</f>
        <v>199.54037301989521</v>
      </c>
      <c r="X23" s="103">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1/((0.000001*X$21)*('Material Modeler'!$H$1/(1+'Material Modeler'!$M$3*($R$19-'Material Modeler'!$H$2)))),
   _xlpm.alpha_co, ((2*_xlpm.Rs*X$19*IMABS(X$25))/(((2*$I$10+$I$11)*0.000001)*(120*PI())^2)) * (($I$13/(2*$I$10+$I$11)-1)*_xlpm.dCfo_ϵ__ds_b + (1+$I$11/(2*$I$10+$I$11))*(_xlpm.dCfo_ϵ__dt_b + _xlpm.dCf_ϵ__dt_b) + 2*($I$12/(2*$I$10+$I$11)+1-$I$11/(2*$I$10+$I$11))/(1-$I$11/(2*$I$10+$I$11))^2 ),
   _xlpm.Rsmooth_odd, _xlpm.alpha_co * (2*IMABS(X$25)),
   _xlpm.Rsmooth_odd
)</f>
        <v>230.41140525522505</v>
      </c>
      <c r="Y23" s="189"/>
      <c r="AA23" s="102" t="s">
        <v>147</v>
      </c>
      <c r="AB23" s="186"/>
      <c r="AC23" s="80">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1/((0.000001*AC$21)*('Material Modeler'!$H$1/(1+'Material Modeler'!$M$3*($AB$19-'Material Modeler'!$H$2)))),
   _xlpm.alpha_co, ((2*_xlpm.Rs*AC$19*IMABS(AC$25))/(((2*$L$10+$L$11)*0.000001)*(120*PI())^2)) * (($L$13/(2*$L$10+$L$11)-1)*_xlpm.dCfo_ϵ__ds_b + (1+$L$11/(2*$L$10+$L$11))*(_xlpm.dCfo_ϵ__dt_b + _xlpm.dCf_ϵ__dt_b) + 2*($L$12/(2*$L$10+$L$11)+1-$L$11/(2*$L$10+$L$11))/(1-$L$11/(2*$L$10+$L$11))^2 ),
   _xlpm.Rsmooth_odd, _xlpm.alpha_co * (2*IMABS(AC$25)),
   _xlpm.Rsmooth_odd
)</f>
        <v>56.543616166188755</v>
      </c>
      <c r="AD23" s="80">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1/((0.000001*AD$21)*('Material Modeler'!$H$1/(1+'Material Modeler'!$M$3*($AB$19-'Material Modeler'!$H$2)))),
   _xlpm.alpha_co, ((2*_xlpm.Rs*AD$19*IMABS(AD$25))/(((2*$L$10+$L$11)*0.000001)*(120*PI())^2)) * (($L$13/(2*$L$10+$L$11)-1)*_xlpm.dCfo_ϵ__ds_b + (1+$L$11/(2*$L$10+$L$11))*(_xlpm.dCfo_ϵ__dt_b + _xlpm.dCf_ϵ__dt_b) + 2*($L$12/(2*$L$10+$L$11)+1-$L$11/(2*$L$10+$L$11))/(1-$L$11/(2*$L$10+$L$11))^2 ),
   _xlpm.Rsmooth_odd, _xlpm.alpha_co * (2*IMABS(AD$25)),
   _xlpm.Rsmooth_odd
)</f>
        <v>97.934794225323813</v>
      </c>
      <c r="AE23" s="80">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1/((0.000001*AE$21)*('Material Modeler'!$H$1/(1+'Material Modeler'!$M$3*($AB$19-'Material Modeler'!$H$2)))),
   _xlpm.alpha_co, ((2*_xlpm.Rs*AE$19*IMABS(AE$25))/(((2*$L$10+$L$11)*0.000001)*(120*PI())^2)) * (($L$13/(2*$L$10+$L$11)-1)*_xlpm.dCfo_ϵ__ds_b + (1+$L$11/(2*$L$10+$L$11))*(_xlpm.dCfo_ϵ__dt_b + _xlpm.dCf_ϵ__dt_b) + 2*($L$12/(2*$L$10+$L$11)+1-$L$11/(2*$L$10+$L$11))/(1-$L$11/(2*$L$10+$L$11))^2 ),
   _xlpm.Rsmooth_odd, _xlpm.alpha_co * (2*IMABS(AE$25)),
   _xlpm.Rsmooth_odd
)</f>
        <v>126.43439356667339</v>
      </c>
      <c r="AF23" s="80">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1/((0.000001*AF$21)*('Material Modeler'!$H$1/(1+'Material Modeler'!$M$3*($AB$19-'Material Modeler'!$H$2)))),
   _xlpm.alpha_co, ((2*_xlpm.Rs*AF$19*IMABS(AF$25))/(((2*$L$10+$L$11)*0.000001)*(120*PI())^2)) * (($L$13/(2*$L$10+$L$11)-1)*_xlpm.dCfo_ϵ__ds_b + (1+$L$11/(2*$L$10+$L$11))*(_xlpm.dCfo_ϵ__dt_b + _xlpm.dCf_ϵ__dt_b) + 2*($L$12/(2*$L$10+$L$11)+1-$L$11/(2*$L$10+$L$11))/(1-$L$11/(2*$L$10+$L$11))^2 ),
   _xlpm.Rsmooth_odd, _xlpm.alpha_co * (2*IMABS(AF$25)),
   _xlpm.Rsmooth_odd
)</f>
        <v>178.80171242588267</v>
      </c>
      <c r="AG23" s="80">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1/((0.000001*AG$21)*('Material Modeler'!$H$1/(1+'Material Modeler'!$M$3*($AB$19-'Material Modeler'!$H$2)))),
   _xlpm.alpha_co, ((2*_xlpm.Rs*AG$19*IMABS(AG$25))/(((2*$L$10+$L$11)*0.000001)*(120*PI())^2)) * (($L$13/(2*$L$10+$L$11)-1)*_xlpm.dCfo_ϵ__ds_b + (1+$L$11/(2*$L$10+$L$11))*(_xlpm.dCfo_ϵ__dt_b + _xlpm.dCf_ϵ__dt_b) + 2*($L$12/(2*$L$10+$L$11)+1-$L$11/(2*$L$10+$L$11))/(1-$L$11/(2*$L$10+$L$11))^2 ),
   _xlpm.Rsmooth_odd, _xlpm.alpha_co * (2*IMABS(AG$25)),
   _xlpm.Rsmooth_odd
)</f>
        <v>218.98354530834843</v>
      </c>
      <c r="AH23" s="103">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1/((0.000001*AH$21)*('Material Modeler'!$H$1/(1+'Material Modeler'!$M$3*($AB$19-'Material Modeler'!$H$2)))),
   _xlpm.alpha_co, ((2*_xlpm.Rs*AH$19*IMABS(AH$25))/(((2*$L$10+$L$11)*0.000001)*(120*PI())^2)) * (($L$13/(2*$L$10+$L$11)-1)*_xlpm.dCfo_ϵ__ds_b + (1+$L$11/(2*$L$10+$L$11))*(_xlpm.dCfo_ϵ__dt_b + _xlpm.dCf_ϵ__dt_b) + 2*($L$12/(2*$L$10+$L$11)+1-$L$11/(2*$L$10+$L$11))/(1-$L$11/(2*$L$10+$L$11))^2 ),
   _xlpm.Rsmooth_odd, _xlpm.alpha_co * (2*IMABS(AH$25)),
   _xlpm.Rsmooth_odd
)</f>
        <v>252.85873253514117</v>
      </c>
      <c r="AI23" s="189"/>
      <c r="AK23" s="102" t="s">
        <v>147</v>
      </c>
      <c r="AL23" s="186"/>
      <c r="AM23" s="145">
        <f t="shared" si="8"/>
        <v>3.3992481202291298</v>
      </c>
      <c r="AN23" s="145">
        <f t="shared" si="9"/>
        <v>5.8933752602484999</v>
      </c>
      <c r="AO23" s="145">
        <f t="shared" si="9"/>
        <v>7.6336980463325004</v>
      </c>
      <c r="AP23" s="145">
        <f t="shared" si="9"/>
        <v>10.805949928454099</v>
      </c>
      <c r="AQ23" s="145">
        <f t="shared" si="9"/>
        <v>13.286300442318799</v>
      </c>
      <c r="AR23" s="146">
        <f t="shared" si="9"/>
        <v>15.3952772238367</v>
      </c>
      <c r="AT23" s="102" t="s">
        <v>147</v>
      </c>
      <c r="AU23" s="186"/>
      <c r="AV23" s="145">
        <f t="shared" si="7"/>
        <v>5.0217230040440297</v>
      </c>
      <c r="AW23" s="145">
        <f t="shared" si="1"/>
        <v>8.6962335901278003</v>
      </c>
      <c r="AX23" s="145">
        <f t="shared" si="1"/>
        <v>11.2279778709191</v>
      </c>
      <c r="AY23" s="145">
        <f t="shared" si="1"/>
        <v>15.8802719943683</v>
      </c>
      <c r="AZ23" s="145">
        <f t="shared" si="1"/>
        <v>19.443172288453201</v>
      </c>
      <c r="BA23" s="146">
        <f t="shared" si="1"/>
        <v>22.447327279916099</v>
      </c>
    </row>
    <row r="24" spans="7:53" x14ac:dyDescent="0.55000000000000004">
      <c r="G24" s="102" t="s">
        <v>149</v>
      </c>
      <c r="H24" s="186"/>
      <c r="I24" s="94" t="str">
        <f>_xlfn.LET(
   _xlpm.decimal_digits, 3,
   _xlpm.k, _xlfn.SECH((PI()*$K$12)/(4*$K$10)),
   _xlpm.k_, TANH((PI()*$K$12)/(4*$K$10)),
   _xlpm.ke, TANH((PI()*$K$12)/(4*$K$10))*TANH(PI()*($K$12+$K$13)/(4*$K$10)),
   _xlpm.ke_, SQRT(1-_xlpm.ke^2),
   _xlpm.ϵr, COMPLEX(I$19, I$19*I$20),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55.844-0.151i</v>
      </c>
      <c r="J24" s="94" t="str">
        <f>_xlfn.LET(
   _xlpm.decimal_digits, 3,
   _xlpm.k, _xlfn.SECH((PI()*$K$12)/(4*$K$10)),
   _xlpm.k_, TANH((PI()*$K$12)/(4*$K$10)),
   _xlpm.ke, TANH((PI()*$K$12)/(4*$K$10))*TANH(PI()*($K$12+$K$13)/(4*$K$10)),
   _xlpm.ke_, SQRT(1-_xlpm.ke^2),
   _xlpm.ϵr, COMPLEX(J$19, J$19*J$20),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55.925-0.157i</v>
      </c>
      <c r="K24" s="94" t="str">
        <f>_xlfn.LET(
   _xlpm.decimal_digits, 3,
   _xlpm.k, _xlfn.SECH((PI()*$K$12)/(4*$K$10)),
   _xlpm.k_, TANH((PI()*$K$12)/(4*$K$10)),
   _xlpm.ke, TANH((PI()*$K$12)/(4*$K$10))*TANH(PI()*($K$12+$K$13)/(4*$K$10)),
   _xlpm.ke_, SQRT(1-_xlpm.ke^2),
   _xlpm.ϵr, COMPLEX(K$19, K$19*K$20),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56.172-0.171i</v>
      </c>
      <c r="L24" s="94" t="str">
        <f>_xlfn.LET(
   _xlpm.decimal_digits, 3,
   _xlpm.k, _xlfn.SECH((PI()*$K$12)/(4*$K$10)),
   _xlpm.k_, TANH((PI()*$K$12)/(4*$K$10)),
   _xlpm.ke, TANH((PI()*$K$12)/(4*$K$10))*TANH(PI()*($K$12+$K$13)/(4*$K$10)),
   _xlpm.ke_, SQRT(1-_xlpm.ke^2),
   _xlpm.ϵr, COMPLEX(L$19, L$19*L$20),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56.275-0.196i</v>
      </c>
      <c r="M24" s="94" t="str">
        <f>_xlfn.LET(
   _xlpm.decimal_digits, 3,
   _xlpm.k, _xlfn.SECH((PI()*$K$12)/(4*$K$10)),
   _xlpm.k_, TANH((PI()*$K$12)/(4*$K$10)),
   _xlpm.ke, TANH((PI()*$K$12)/(4*$K$10))*TANH(PI()*($K$12+$K$13)/(4*$K$10)),
   _xlpm.ke_, SQRT(1-_xlpm.ke^2),
   _xlpm.ϵr, COMPLEX(M$19, M$19*M$20),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56.525-0.213i</v>
      </c>
      <c r="N24" s="104" t="str">
        <f>_xlfn.LET(
   _xlpm.decimal_digits, 3,
   _xlpm.k, _xlfn.SECH((PI()*$K$12)/(4*$K$10)),
   _xlpm.k_, TANH((PI()*$K$12)/(4*$K$10)),
   _xlpm.ke, TANH((PI()*$K$12)/(4*$K$10))*TANH(PI()*($K$12+$K$13)/(4*$K$10)),
   _xlpm.ke_, SQRT(1-_xlpm.ke^2),
   _xlpm.ϵr, COMPLEX(N$19, N$19*N$20),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56.778-0.23i</v>
      </c>
      <c r="O24" s="189"/>
      <c r="Q24" s="102" t="s">
        <v>149</v>
      </c>
      <c r="R24" s="212"/>
      <c r="S24" s="94" t="str">
        <f>_xlfn.LET(
   _xlpm.decimal_digits, 3,
   _xlpm.k, _xlfn.SECH((PI()*$I$12)/(4*$I$10)),
   _xlpm.k_, TANH((PI()*$I$12)/(4*$I$10)),
   _xlpm.ke, TANH((PI()*$I$12)/(4*$I$10))*TANH(PI()*($I$12+$I$13)/(4*$I$10)),
   _xlpm.ke_, SQRT(1-_xlpm.ke^2),
   _xlpm.ϵr, COMPLEX(S$19, S$19*S$20),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64.239-0.173i</v>
      </c>
      <c r="T24" s="94" t="str">
        <f>_xlfn.LET(
   _xlpm.decimal_digits, 3,
   _xlpm.k, _xlfn.SECH((PI()*$I$12)/(4*$I$10)),
   _xlpm.k_, TANH((PI()*$I$12)/(4*$I$10)),
   _xlpm.ke, TANH((PI()*$I$12)/(4*$I$10))*TANH(PI()*($I$12+$I$13)/(4*$I$10)),
   _xlpm.ke_, SQRT(1-_xlpm.ke^2),
   _xlpm.ϵr, COMPLEX(T$19, T$19*T$20),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64.336-0.18i</v>
      </c>
      <c r="U24" s="94" t="str">
        <f>_xlfn.LET(
   _xlpm.decimal_digits, 3,
   _xlpm.k, _xlfn.SECH((PI()*$I$12)/(4*$I$10)),
   _xlpm.k_, TANH((PI()*$I$12)/(4*$I$10)),
   _xlpm.ke, TANH((PI()*$I$12)/(4*$I$10))*TANH(PI()*($I$12+$I$13)/(4*$I$10)),
   _xlpm.ke_, SQRT(1-_xlpm.ke^2),
   _xlpm.ϵr, COMPLEX(U$19, U$19*U$20),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64.63-0.197i</v>
      </c>
      <c r="V24" s="94" t="str">
        <f>_xlfn.LET(
   _xlpm.decimal_digits, 3,
   _xlpm.k, _xlfn.SECH((PI()*$I$12)/(4*$I$10)),
   _xlpm.k_, TANH((PI()*$I$12)/(4*$I$10)),
   _xlpm.ke, TANH((PI()*$I$12)/(4*$I$10))*TANH(PI()*($I$12+$I$13)/(4*$I$10)),
   _xlpm.ke_, SQRT(1-_xlpm.ke^2),
   _xlpm.ϵr, COMPLEX(V$19, V$19*V$20),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64.685-0.228i</v>
      </c>
      <c r="W24" s="94" t="str">
        <f>_xlfn.LET(
   _xlpm.decimal_digits, 3,
   _xlpm.k, _xlfn.SECH((PI()*$I$12)/(4*$I$10)),
   _xlpm.k_, TANH((PI()*$I$12)/(4*$I$10)),
   _xlpm.ke, TANH((PI()*$I$12)/(4*$I$10))*TANH(PI()*($I$12+$I$13)/(4*$I$10)),
   _xlpm.ke_, SQRT(1-_xlpm.ke^2),
   _xlpm.ϵr, COMPLEX(W$19, W$19*W$20),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64.982-0.249i</v>
      </c>
      <c r="X24" s="104" t="str">
        <f>_xlfn.LET(
   _xlpm.decimal_digits, 3,
   _xlpm.k, _xlfn.SECH((PI()*$I$12)/(4*$I$10)),
   _xlpm.k_, TANH((PI()*$I$12)/(4*$I$10)),
   _xlpm.ke, TANH((PI()*$I$12)/(4*$I$10))*TANH(PI()*($I$12+$I$13)/(4*$I$10)),
   _xlpm.ke_, SQRT(1-_xlpm.ke^2),
   _xlpm.ϵr, COMPLEX(X$19, X$19*X$20),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65.284-0.264i</v>
      </c>
      <c r="Y24" s="189"/>
      <c r="AA24" s="102" t="s">
        <v>149</v>
      </c>
      <c r="AB24" s="186"/>
      <c r="AC24" s="94" t="str">
        <f>_xlfn.LET(
   _xlpm.decimal_digits, 3,
   _xlpm.k, _xlfn.SECH((PI()*$L$12)/(4*$L$10)),
   _xlpm.k_, TANH((PI()*$L$12)/(4*$L$10)),
   _xlpm.ke, TANH((PI()*$L$12)/(4*$L$10))*TANH(PI()*($L$12+$L$13)/(4*$L$10)),
   _xlpm.ke_, SQRT(1-_xlpm.ke^2),
   _xlpm.ϵr, COMPLEX(AC$19, AC$19*AC$20),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72.751-0.196i</v>
      </c>
      <c r="AD24" s="94" t="str">
        <f>_xlfn.LET(
   _xlpm.decimal_digits, 3,
   _xlpm.k, _xlfn.SECH((PI()*$L$12)/(4*$L$10)),
   _xlpm.k_, TANH((PI()*$L$12)/(4*$L$10)),
   _xlpm.ke, TANH((PI()*$L$12)/(4*$L$10))*TANH(PI()*($L$12+$L$13)/(4*$L$10)),
   _xlpm.ke_, SQRT(1-_xlpm.ke^2),
   _xlpm.ϵr, COMPLEX(AD$19, AD$19*AD$20),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72.864-0.204i</v>
      </c>
      <c r="AE24" s="94" t="str">
        <f>_xlfn.LET(
   _xlpm.decimal_digits, 3,
   _xlpm.k, _xlfn.SECH((PI()*$L$12)/(4*$L$10)),
   _xlpm.k_, TANH((PI()*$L$12)/(4*$L$10)),
   _xlpm.ke, TANH((PI()*$L$12)/(4*$L$10))*TANH(PI()*($L$12+$L$13)/(4*$L$10)),
   _xlpm.ke_, SQRT(1-_xlpm.ke^2),
   _xlpm.ϵr, COMPLEX(AE$19, AE$19*AE$20),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73.209-0.223i</v>
      </c>
      <c r="AF24" s="94" t="str">
        <f>_xlfn.LET(
   _xlpm.decimal_digits, 3,
   _xlpm.k, _xlfn.SECH((PI()*$L$12)/(4*$L$10)),
   _xlpm.k_, TANH((PI()*$L$12)/(4*$L$10)),
   _xlpm.ke, TANH((PI()*$L$12)/(4*$L$10))*TANH(PI()*($L$12+$L$13)/(4*$L$10)),
   _xlpm.ke_, SQRT(1-_xlpm.ke^2),
   _xlpm.ϵr, COMPLEX(AF$19, AF$19*AF$20),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73.197-0.263i</v>
      </c>
      <c r="AG24" s="94" t="str">
        <f>_xlfn.LET(
   _xlpm.decimal_digits, 3,
   _xlpm.k, _xlfn.SECH((PI()*$L$12)/(4*$L$10)),
   _xlpm.k_, TANH((PI()*$L$12)/(4*$L$10)),
   _xlpm.ke, TANH((PI()*$L$12)/(4*$L$10))*TANH(PI()*($L$12+$L$13)/(4*$L$10)),
   _xlpm.ke_, SQRT(1-_xlpm.ke^2),
   _xlpm.ϵr, COMPLEX(AG$19, AG$19*AG$20),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73.545-0.286i</v>
      </c>
      <c r="AH24" s="104" t="str">
        <f>_xlfn.LET(
   _xlpm.decimal_digits, 3,
   _xlpm.k, _xlfn.SECH((PI()*$L$12)/(4*$L$10)),
   _xlpm.k_, TANH((PI()*$L$12)/(4*$L$10)),
   _xlpm.ke, TANH((PI()*$L$12)/(4*$L$10))*TANH(PI()*($L$12+$L$13)/(4*$L$10)),
   _xlpm.ke_, SQRT(1-_xlpm.ke^2),
   _xlpm.ϵr, COMPLEX(AH$19, AH$19*AH$20),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73.899-0.299i</v>
      </c>
      <c r="AI24" s="189"/>
      <c r="AK24" s="102" t="s">
        <v>149</v>
      </c>
      <c r="AL24" s="186"/>
      <c r="AM24" s="147" t="str">
        <f>IMSUB(S24,I24)</f>
        <v>8.395-0.022i</v>
      </c>
      <c r="AN24" s="147" t="str">
        <f t="shared" ref="AN24:AR24" si="10">IMSUB(T24,J24)</f>
        <v>8.411-0.023i</v>
      </c>
      <c r="AO24" s="147" t="str">
        <f t="shared" si="10"/>
        <v>8.458-0.026i</v>
      </c>
      <c r="AP24" s="147" t="str">
        <f t="shared" si="10"/>
        <v>8.41-0.032i</v>
      </c>
      <c r="AQ24" s="147" t="str">
        <f t="shared" si="10"/>
        <v>8.457-0.036i</v>
      </c>
      <c r="AR24" s="148" t="str">
        <f t="shared" si="10"/>
        <v>8.50600000000001-0.034i</v>
      </c>
      <c r="AT24" s="102" t="s">
        <v>149</v>
      </c>
      <c r="AU24" s="186"/>
      <c r="AV24" s="147" t="str">
        <f>IMSUB(AC24,S24)</f>
        <v>8.512-0.023i</v>
      </c>
      <c r="AW24" s="147" t="str">
        <f t="shared" ref="AW24" si="11">IMSUB(AD24,T24)</f>
        <v>8.52800000000001-0.024i</v>
      </c>
      <c r="AX24" s="147" t="str">
        <f t="shared" ref="AX24" si="12">IMSUB(AE24,U24)</f>
        <v>8.57900000000001-0.026i</v>
      </c>
      <c r="AY24" s="147" t="str">
        <f t="shared" ref="AY24" si="13">IMSUB(AF24,V24)</f>
        <v>8.512-0.035i</v>
      </c>
      <c r="AZ24" s="147" t="str">
        <f t="shared" ref="AZ24" si="14">IMSUB(AG24,W24)</f>
        <v>8.563-0.037i</v>
      </c>
      <c r="BA24" s="148" t="str">
        <f t="shared" ref="BA24" si="15">IMSUB(AH24,X24)</f>
        <v>8.61499999999999-0.035i</v>
      </c>
    </row>
    <row r="25" spans="7:53" x14ac:dyDescent="0.55000000000000004">
      <c r="G25" s="102" t="s">
        <v>152</v>
      </c>
      <c r="H25" s="186"/>
      <c r="I25" s="94" t="str">
        <f>_xlfn.LET(
   _xlpm.decimal_digits, 3,
   _xlpm.k, _xlfn.SECH((PI()*$K$12)/(4*$K$10)),
   _xlpm.k_, TANH((PI()*$K$12)/(4*$K$10)),
   _xlpm.ko, TANH((PI()*$K$12)/(4*$K$10))*_xlfn.COTH(PI()*($K$12+$K$13)/(4*$K$10)),
   _xlpm.ko_, SQRT(1-_xlpm.ko^2),
   _xlpm.ϵr, COMPLEX(I$19, I$19*I$20),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40.7-0.107i</v>
      </c>
      <c r="J25" s="94" t="str">
        <f>_xlfn.LET(
   _xlpm.decimal_digits, 3,
   _xlpm.k, _xlfn.SECH((PI()*$K$12)/(4*$K$10)),
   _xlpm.k_, TANH((PI()*$K$12)/(4*$K$10)),
   _xlpm.ko, TANH((PI()*$K$12)/(4*$K$10))*_xlfn.COTH(PI()*($K$12+$K$13)/(4*$K$10)),
   _xlpm.ko_, SQRT(1-_xlpm.ko^2),
   _xlpm.ϵr, COMPLEX(J$19, J$19*J$20),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40.758-0.111i</v>
      </c>
      <c r="K25" s="94" t="str">
        <f>_xlfn.LET(
   _xlpm.decimal_digits, 3,
   _xlpm.k, _xlfn.SECH((PI()*$K$12)/(4*$K$10)),
   _xlpm.k_, TANH((PI()*$K$12)/(4*$K$10)),
   _xlpm.ko, TANH((PI()*$K$12)/(4*$K$10))*_xlfn.COTH(PI()*($K$12+$K$13)/(4*$K$10)),
   _xlpm.ko_, SQRT(1-_xlpm.ko^2),
   _xlpm.ϵr, COMPLEX(K$19, K$19*K$20),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40.933-0.121i</v>
      </c>
      <c r="L25" s="94" t="str">
        <f>_xlfn.LET(
   _xlpm.decimal_digits, 3,
   _xlpm.k, _xlfn.SECH((PI()*$K$12)/(4*$K$10)),
   _xlpm.k_, TANH((PI()*$K$12)/(4*$K$10)),
   _xlpm.ko, TANH((PI()*$K$12)/(4*$K$10))*_xlfn.COTH(PI()*($K$12+$K$13)/(4*$K$10)),
   _xlpm.ko_, SQRT(1-_xlpm.ko^2),
   _xlpm.ϵr, COMPLEX(L$19, L$19*L$20),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41.006-0.139i</v>
      </c>
      <c r="M25" s="94" t="str">
        <f>_xlfn.LET(
   _xlpm.decimal_digits, 3,
   _xlpm.k, _xlfn.SECH((PI()*$K$12)/(4*$K$10)),
   _xlpm.k_, TANH((PI()*$K$12)/(4*$K$10)),
   _xlpm.ko, TANH((PI()*$K$12)/(4*$K$10))*_xlfn.COTH(PI()*($K$12+$K$13)/(4*$K$10)),
   _xlpm.ko_, SQRT(1-_xlpm.ko^2),
   _xlpm.ϵr, COMPLEX(M$19, M$19*M$20),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41.183-0.151i</v>
      </c>
      <c r="N25" s="104" t="str">
        <f>_xlfn.LET(
   _xlpm.decimal_digits, 3,
   _xlpm.k, _xlfn.SECH((PI()*$K$12)/(4*$K$10)),
   _xlpm.k_, TANH((PI()*$K$12)/(4*$K$10)),
   _xlpm.ko, TANH((PI()*$K$12)/(4*$K$10))*_xlfn.COTH(PI()*($K$12+$K$13)/(4*$K$10)),
   _xlpm.ko_, SQRT(1-_xlpm.ko^2),
   _xlpm.ϵr, COMPLEX(N$19, N$19*N$20),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41.363-0.163i</v>
      </c>
      <c r="O25" s="189"/>
      <c r="Q25" s="102" t="s">
        <v>152</v>
      </c>
      <c r="R25" s="212"/>
      <c r="S25" s="94" t="str">
        <f>_xlfn.LET(
   _xlpm.decimal_digits, 3,
   _xlpm.k, _xlfn.SECH((PI()*$I$12)/(4*$I$10)),
   _xlpm.k_, TANH((PI()*$I$12)/(4*$I$10)),
   _xlpm.ko, TANH((PI()*$I$12)/(4*$I$10))*_xlfn.COTH(PI()*($I$12+$I$13)/(4*$I$10)),
   _xlpm.ko_, SQRT(1-_xlpm.ko^2),
   _xlpm.ϵr, COMPLEX(S$19, S$19*S$20),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46.325-0.125i</v>
      </c>
      <c r="T25" s="94" t="str">
        <f>_xlfn.LET(
   _xlpm.decimal_digits, 3,
   _xlpm.k, _xlfn.SECH((PI()*$I$12)/(4*$I$10)),
   _xlpm.k_, TANH((PI()*$I$12)/(4*$I$10)),
   _xlpm.ko, TANH((PI()*$I$12)/(4*$I$10))*_xlfn.COTH(PI()*($I$12+$I$13)/(4*$I$10)),
   _xlpm.ko_, SQRT(1-_xlpm.ko^2),
   _xlpm.ϵr, COMPLEX(T$19, T$19*T$20),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46.395-0.13i</v>
      </c>
      <c r="U25" s="94" t="str">
        <f>_xlfn.LET(
   _xlpm.decimal_digits, 3,
   _xlpm.k, _xlfn.SECH((PI()*$I$12)/(4*$I$10)),
   _xlpm.k_, TANH((PI()*$I$12)/(4*$I$10)),
   _xlpm.ko, TANH((PI()*$I$12)/(4*$I$10))*_xlfn.COTH(PI()*($I$12+$I$13)/(4*$I$10)),
   _xlpm.ko_, SQRT(1-_xlpm.ko^2),
   _xlpm.ϵr, COMPLEX(U$19, U$19*U$20),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46.607-0.142i</v>
      </c>
      <c r="V25" s="94" t="str">
        <f>_xlfn.LET(
   _xlpm.decimal_digits, 3,
   _xlpm.k, _xlfn.SECH((PI()*$I$12)/(4*$I$10)),
   _xlpm.k_, TANH((PI()*$I$12)/(4*$I$10)),
   _xlpm.ko, TANH((PI()*$I$12)/(4*$I$10))*_xlfn.COTH(PI()*($I$12+$I$13)/(4*$I$10)),
   _xlpm.ko_, SQRT(1-_xlpm.ko^2),
   _xlpm.ϵr, COMPLEX(V$19, V$19*V$20),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46.646-0.165i</v>
      </c>
      <c r="W25" s="94" t="str">
        <f>_xlfn.LET(
   _xlpm.decimal_digits, 3,
   _xlpm.k, _xlfn.SECH((PI()*$I$12)/(4*$I$10)),
   _xlpm.k_, TANH((PI()*$I$12)/(4*$I$10)),
   _xlpm.ko, TANH((PI()*$I$12)/(4*$I$10))*_xlfn.COTH(PI()*($I$12+$I$13)/(4*$I$10)),
   _xlpm.ko_, SQRT(1-_xlpm.ko^2),
   _xlpm.ϵr, COMPLEX(W$19, W$19*W$20),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46.861-0.18i</v>
      </c>
      <c r="X25" s="104" t="str">
        <f>_xlfn.LET(
   _xlpm.decimal_digits, 3,
   _xlpm.k, _xlfn.SECH((PI()*$I$12)/(4*$I$10)),
   _xlpm.k_, TANH((PI()*$I$12)/(4*$I$10)),
   _xlpm.ko, TANH((PI()*$I$12)/(4*$I$10))*_xlfn.COTH(PI()*($I$12+$I$13)/(4*$I$10)),
   _xlpm.ko_, SQRT(1-_xlpm.ko^2),
   _xlpm.ϵr, COMPLEX(X$19, X$19*X$20),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47.079-0.191i</v>
      </c>
      <c r="Y25" s="189"/>
      <c r="AA25" s="102" t="s">
        <v>152</v>
      </c>
      <c r="AB25" s="186"/>
      <c r="AC25" s="94" t="str">
        <f>_xlfn.LET(
   _xlpm.decimal_digits, 3,
   _xlpm.k, _xlfn.SECH((PI()*$L$12)/(4*$L$10)),
   _xlpm.k_, TANH((PI()*$L$12)/(4*$L$10)),
   _xlpm.ko, TANH((PI()*$L$12)/(4*$L$10))*_xlfn.COTH(PI()*($L$12+$L$13)/(4*$L$10)),
   _xlpm.ko_, SQRT(1-_xlpm.ko^2),
   _xlpm.ϵr, COMPLEX(AC$19, AC$19*AC$20),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52.695-0.142i</v>
      </c>
      <c r="AD25" s="94" t="str">
        <f>_xlfn.LET(
   _xlpm.decimal_digits, 3,
   _xlpm.k, _xlfn.SECH((PI()*$L$12)/(4*$L$10)),
   _xlpm.k_, TANH((PI()*$L$12)/(4*$L$10)),
   _xlpm.ko, TANH((PI()*$L$12)/(4*$L$10))*_xlfn.COTH(PI()*($L$12+$L$13)/(4*$L$10)),
   _xlpm.ko_, SQRT(1-_xlpm.ko^2),
   _xlpm.ϵr, COMPLEX(AD$19, AD$19*AD$20),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52.777-0.148i</v>
      </c>
      <c r="AE25" s="94" t="str">
        <f>_xlfn.LET(
   _xlpm.decimal_digits, 3,
   _xlpm.k, _xlfn.SECH((PI()*$L$12)/(4*$L$10)),
   _xlpm.k_, TANH((PI()*$L$12)/(4*$L$10)),
   _xlpm.ko, TANH((PI()*$L$12)/(4*$L$10))*_xlfn.COTH(PI()*($L$12+$L$13)/(4*$L$10)),
   _xlpm.ko_, SQRT(1-_xlpm.ko^2),
   _xlpm.ϵr, COMPLEX(AE$19, AE$19*AE$20),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53.027-0.162i</v>
      </c>
      <c r="AF25" s="94" t="str">
        <f>_xlfn.LET(
   _xlpm.decimal_digits, 3,
   _xlpm.k, _xlfn.SECH((PI()*$L$12)/(4*$L$10)),
   _xlpm.k_, TANH((PI()*$L$12)/(4*$L$10)),
   _xlpm.ko, TANH((PI()*$L$12)/(4*$L$10))*_xlfn.COTH(PI()*($L$12+$L$13)/(4*$L$10)),
   _xlpm.ko_, SQRT(1-_xlpm.ko^2),
   _xlpm.ϵr, COMPLEX(AF$19, AF$19*AF$20),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53.018-0.19i</v>
      </c>
      <c r="AG25" s="94" t="str">
        <f>_xlfn.LET(
   _xlpm.decimal_digits, 3,
   _xlpm.k, _xlfn.SECH((PI()*$L$12)/(4*$L$10)),
   _xlpm.k_, TANH((PI()*$L$12)/(4*$L$10)),
   _xlpm.ko, TANH((PI()*$L$12)/(4*$L$10))*_xlfn.COTH(PI()*($L$12+$L$13)/(4*$L$10)),
   _xlpm.ko_, SQRT(1-_xlpm.ko^2),
   _xlpm.ϵr, COMPLEX(AG$19, AG$19*AG$20),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53.27-0.207i</v>
      </c>
      <c r="AH25" s="104" t="str">
        <f>_xlfn.LET(
   _xlpm.decimal_digits, 3,
   _xlpm.k, _xlfn.SECH((PI()*$L$12)/(4*$L$10)),
   _xlpm.k_, TANH((PI()*$L$12)/(4*$L$10)),
   _xlpm.ko, TANH((PI()*$L$12)/(4*$L$10))*_xlfn.COTH(PI()*($L$12+$L$13)/(4*$L$10)),
   _xlpm.ko_, SQRT(1-_xlpm.ko^2),
   _xlpm.ϵr, COMPLEX(AH$19, AH$19*AH$20),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53.526-0.217i</v>
      </c>
      <c r="AI25" s="189"/>
      <c r="AK25" s="102" t="s">
        <v>152</v>
      </c>
      <c r="AL25" s="186"/>
      <c r="AM25" s="147" t="str">
        <f>IMSUB(S25,I25)</f>
        <v>5.625-0.018i</v>
      </c>
      <c r="AN25" s="147" t="str">
        <f t="shared" ref="AN25" si="16">IMSUB(T25,J25)</f>
        <v>5.637-0.019i</v>
      </c>
      <c r="AO25" s="147" t="str">
        <f t="shared" ref="AO25" si="17">IMSUB(U25,K25)</f>
        <v>5.674-0.021i</v>
      </c>
      <c r="AP25" s="147" t="str">
        <f t="shared" ref="AP25" si="18">IMSUB(V25,L25)</f>
        <v>5.64-0.026i</v>
      </c>
      <c r="AQ25" s="147" t="str">
        <f t="shared" ref="AQ25" si="19">IMSUB(W25,M25)</f>
        <v>5.678-0.029i</v>
      </c>
      <c r="AR25" s="148" t="str">
        <f t="shared" ref="AR25" si="20">IMSUB(X25,N25)</f>
        <v>5.716-0.028i</v>
      </c>
      <c r="AT25" s="102" t="s">
        <v>152</v>
      </c>
      <c r="AU25" s="186"/>
      <c r="AV25" s="147" t="str">
        <f>IMSUB(AC25,S25)</f>
        <v>6.37-0.017i</v>
      </c>
      <c r="AW25" s="147" t="str">
        <f t="shared" ref="AW25:BA25" si="21">IMSUB(AD25,T25)</f>
        <v>6.382-0.018i</v>
      </c>
      <c r="AX25" s="147" t="str">
        <f t="shared" si="21"/>
        <v>6.42-0.02i</v>
      </c>
      <c r="AY25" s="147" t="str">
        <f t="shared" si="21"/>
        <v>6.372-0.025i</v>
      </c>
      <c r="AZ25" s="147" t="str">
        <f t="shared" si="21"/>
        <v>6.40900000000001-0.027i</v>
      </c>
      <c r="BA25" s="148" t="str">
        <f t="shared" si="21"/>
        <v>6.447-0.026i</v>
      </c>
    </row>
    <row r="26" spans="7:53" x14ac:dyDescent="0.55000000000000004">
      <c r="G26" s="23" t="s">
        <v>153</v>
      </c>
      <c r="H26" s="186"/>
      <c r="I26" s="20">
        <f t="shared" ref="I26:N26" si="22">2*IMABS(I25)</f>
        <v>81.400281301725244</v>
      </c>
      <c r="J26" s="20">
        <f t="shared" si="22"/>
        <v>81.51630229592115</v>
      </c>
      <c r="K26" s="20">
        <f t="shared" si="22"/>
        <v>81.866357681284441</v>
      </c>
      <c r="L26" s="20">
        <f t="shared" si="22"/>
        <v>82.012471173596523</v>
      </c>
      <c r="M26" s="20">
        <f t="shared" si="22"/>
        <v>82.36655364891746</v>
      </c>
      <c r="N26" s="25">
        <f t="shared" si="22"/>
        <v>82.726642334860898</v>
      </c>
      <c r="O26" s="19"/>
      <c r="Q26" s="23" t="s">
        <v>153</v>
      </c>
      <c r="R26" s="212"/>
      <c r="S26" s="20">
        <f>2*IMABS(S25)</f>
        <v>92.650337290265711</v>
      </c>
      <c r="T26" s="20">
        <f t="shared" ref="T26" si="23">2*IMABS(T25)</f>
        <v>92.790364262675453</v>
      </c>
      <c r="U26" s="20">
        <f t="shared" ref="U26" si="24">2*IMABS(U25)</f>
        <v>93.214432637869976</v>
      </c>
      <c r="V26" s="20">
        <f t="shared" ref="V26" si="25">2*IMABS(V25)</f>
        <v>93.292583649505616</v>
      </c>
      <c r="W26" s="20">
        <f t="shared" ref="W26" si="26">2*IMABS(W25)</f>
        <v>93.722691403949767</v>
      </c>
      <c r="X26" s="25">
        <f t="shared" ref="X26" si="27">2*IMABS(X25)</f>
        <v>94.158774885827839</v>
      </c>
      <c r="Y26" s="19"/>
      <c r="AA26" s="23" t="s">
        <v>153</v>
      </c>
      <c r="AB26" s="186"/>
      <c r="AC26" s="20">
        <f>2*IMABS(AC25)</f>
        <v>105.39038265420616</v>
      </c>
      <c r="AD26" s="20">
        <f t="shared" ref="AD26" si="28">2*IMABS(AD25)</f>
        <v>105.55441502845818</v>
      </c>
      <c r="AE26" s="20">
        <f t="shared" ref="AE26" si="29">2*IMABS(AE25)</f>
        <v>106.05449491652865</v>
      </c>
      <c r="AF26" s="20">
        <f t="shared" ref="AF26" si="30">2*IMABS(AF25)</f>
        <v>106.03668089863999</v>
      </c>
      <c r="AG26" s="20">
        <f t="shared" ref="AG26" si="31">2*IMABS(AG25)</f>
        <v>106.54080437090758</v>
      </c>
      <c r="AH26" s="25">
        <f t="shared" ref="AH26" si="32">2*IMABS(AH25)</f>
        <v>107.052879737072</v>
      </c>
      <c r="AI26" s="19"/>
      <c r="AK26" s="70" t="s">
        <v>153</v>
      </c>
      <c r="AL26" s="186"/>
      <c r="AM26" s="76">
        <f t="shared" si="8"/>
        <v>11.250055988540501</v>
      </c>
      <c r="AN26" s="76">
        <f t="shared" si="9"/>
        <v>11.274061966754299</v>
      </c>
      <c r="AO26" s="76">
        <f t="shared" si="9"/>
        <v>11.348074956585499</v>
      </c>
      <c r="AP26" s="76">
        <f t="shared" si="9"/>
        <v>11.2801124759091</v>
      </c>
      <c r="AQ26" s="76">
        <f t="shared" si="9"/>
        <v>11.3561377550323</v>
      </c>
      <c r="AR26" s="77">
        <f t="shared" si="9"/>
        <v>11.4321325509669</v>
      </c>
      <c r="AT26" s="70" t="s">
        <v>153</v>
      </c>
      <c r="AU26" s="186"/>
      <c r="AV26" s="76">
        <f t="shared" si="7"/>
        <v>12.740045363940499</v>
      </c>
      <c r="AW26" s="76">
        <f t="shared" si="1"/>
        <v>12.7640507657827</v>
      </c>
      <c r="AX26" s="76">
        <f t="shared" si="1"/>
        <v>12.840062278658699</v>
      </c>
      <c r="AY26" s="76">
        <f t="shared" si="1"/>
        <v>12.7440972491344</v>
      </c>
      <c r="AZ26" s="76">
        <f t="shared" si="1"/>
        <v>12.8181129669578</v>
      </c>
      <c r="BA26" s="77">
        <f t="shared" si="1"/>
        <v>12.894104851244199</v>
      </c>
    </row>
    <row r="27" spans="7:53" x14ac:dyDescent="0.55000000000000004">
      <c r="G27" s="23" t="s">
        <v>155</v>
      </c>
      <c r="H27" s="186"/>
      <c r="I27" s="20">
        <f t="shared" ref="I27:N27" si="33">IMABS(I24)/2</f>
        <v>27.922102074342469</v>
      </c>
      <c r="J27" s="20">
        <f t="shared" si="33"/>
        <v>27.962610187534356</v>
      </c>
      <c r="K27" s="20">
        <f t="shared" si="33"/>
        <v>28.086130140159927</v>
      </c>
      <c r="L27" s="20">
        <f t="shared" si="33"/>
        <v>28.137670661410482</v>
      </c>
      <c r="M27" s="20">
        <f t="shared" si="33"/>
        <v>28.262700658288122</v>
      </c>
      <c r="N27" s="25">
        <f t="shared" si="33"/>
        <v>28.38923292376883</v>
      </c>
      <c r="O27" s="19"/>
      <c r="Q27" s="23" t="s">
        <v>155</v>
      </c>
      <c r="R27" s="212"/>
      <c r="S27" s="20">
        <f>IMABS(S24)/2</f>
        <v>32.119616474983012</v>
      </c>
      <c r="T27" s="20">
        <f t="shared" ref="T27:X27" si="34">IMABS(T24)/2</f>
        <v>32.168125901270656</v>
      </c>
      <c r="U27" s="20">
        <f t="shared" si="34"/>
        <v>32.315150119564663</v>
      </c>
      <c r="V27" s="20">
        <f t="shared" si="34"/>
        <v>32.342700911488521</v>
      </c>
      <c r="W27" s="20">
        <f t="shared" si="34"/>
        <v>32.491238530563898</v>
      </c>
      <c r="X27" s="25">
        <f t="shared" si="34"/>
        <v>32.642266894319704</v>
      </c>
      <c r="Y27" s="19"/>
      <c r="AA27" s="23" t="s">
        <v>155</v>
      </c>
      <c r="AB27" s="186"/>
      <c r="AC27" s="20">
        <f>IMABS(AC24)/2</f>
        <v>36.375632011691565</v>
      </c>
      <c r="AD27" s="20">
        <f t="shared" ref="AD27:AH27" si="35">IMABS(AD24)/2</f>
        <v>36.43214278628146</v>
      </c>
      <c r="AE27" s="20">
        <f t="shared" si="35"/>
        <v>36.604669818207618</v>
      </c>
      <c r="AF27" s="20">
        <f t="shared" si="35"/>
        <v>36.598736241843106</v>
      </c>
      <c r="AG27" s="20">
        <f t="shared" si="35"/>
        <v>36.772778046402749</v>
      </c>
      <c r="AH27" s="25">
        <f t="shared" si="35"/>
        <v>36.949802441961715</v>
      </c>
      <c r="AI27" s="19"/>
      <c r="AK27" s="70" t="s">
        <v>155</v>
      </c>
      <c r="AL27" s="186"/>
      <c r="AM27" s="76">
        <f t="shared" si="8"/>
        <v>4.1975144006405403</v>
      </c>
      <c r="AN27" s="76">
        <f t="shared" si="9"/>
        <v>4.2055157137363004</v>
      </c>
      <c r="AO27" s="76">
        <f t="shared" si="9"/>
        <v>4.2290199794047396</v>
      </c>
      <c r="AP27" s="76">
        <f t="shared" si="9"/>
        <v>4.2050302500780399</v>
      </c>
      <c r="AQ27" s="76">
        <f t="shared" si="9"/>
        <v>4.2285378722757798</v>
      </c>
      <c r="AR27" s="77">
        <f t="shared" si="9"/>
        <v>4.2530339705508702</v>
      </c>
      <c r="AT27" s="70" t="s">
        <v>155</v>
      </c>
      <c r="AU27" s="186"/>
      <c r="AV27" s="76">
        <f t="shared" si="7"/>
        <v>4.2560155367085502</v>
      </c>
      <c r="AW27" s="76">
        <f t="shared" si="1"/>
        <v>4.2640168850107996</v>
      </c>
      <c r="AX27" s="76">
        <f t="shared" si="1"/>
        <v>4.2895196986429598</v>
      </c>
      <c r="AY27" s="76">
        <f t="shared" si="1"/>
        <v>4.2560353303545897</v>
      </c>
      <c r="AZ27" s="76">
        <f t="shared" si="1"/>
        <v>4.2815395158388503</v>
      </c>
      <c r="BA27" s="77">
        <f t="shared" si="1"/>
        <v>4.3075355476420096</v>
      </c>
    </row>
    <row r="28" spans="7:53" x14ac:dyDescent="0.55000000000000004">
      <c r="G28" s="23" t="s">
        <v>157</v>
      </c>
      <c r="H28" s="186"/>
      <c r="I28" s="20">
        <f t="shared" ref="I28:N28" si="36">(IMABS(I24)+IMABS(I25))/2</f>
        <v>48.27217239977378</v>
      </c>
      <c r="J28" s="20">
        <f t="shared" si="36"/>
        <v>48.34168576151464</v>
      </c>
      <c r="K28" s="20">
        <f t="shared" si="36"/>
        <v>48.552719560481037</v>
      </c>
      <c r="L28" s="20">
        <f t="shared" si="36"/>
        <v>48.640788454809609</v>
      </c>
      <c r="M28" s="20">
        <f t="shared" si="36"/>
        <v>48.854339070517483</v>
      </c>
      <c r="N28" s="25">
        <f t="shared" si="36"/>
        <v>49.070893507484058</v>
      </c>
      <c r="Q28" s="23" t="s">
        <v>157</v>
      </c>
      <c r="R28" s="212"/>
      <c r="S28" s="20">
        <f>(IMABS(S24)+IMABS(S25))/2</f>
        <v>55.282200797549436</v>
      </c>
      <c r="T28" s="20">
        <f t="shared" ref="T28:X28" si="37">(IMABS(T24)+IMABS(T25))/2</f>
        <v>55.365716966939516</v>
      </c>
      <c r="U28" s="20">
        <f t="shared" si="37"/>
        <v>55.618758279032157</v>
      </c>
      <c r="V28" s="20">
        <f t="shared" si="37"/>
        <v>55.665846823864925</v>
      </c>
      <c r="W28" s="20">
        <f t="shared" si="37"/>
        <v>55.92191138155134</v>
      </c>
      <c r="X28" s="25">
        <f t="shared" si="37"/>
        <v>56.18196061577666</v>
      </c>
      <c r="AA28" s="23" t="s">
        <v>157</v>
      </c>
      <c r="AB28" s="186"/>
      <c r="AC28" s="20">
        <f>(IMABS(AC24)+IMABS(AC25))/2</f>
        <v>62.723227675243109</v>
      </c>
      <c r="AD28" s="20">
        <f t="shared" ref="AD28:AH28" si="38">(IMABS(AD24)+IMABS(AD25))/2</f>
        <v>62.820746543396005</v>
      </c>
      <c r="AE28" s="20">
        <f t="shared" si="38"/>
        <v>63.118293547339782</v>
      </c>
      <c r="AF28" s="20">
        <f t="shared" si="38"/>
        <v>63.107906466503103</v>
      </c>
      <c r="AG28" s="20">
        <f t="shared" si="38"/>
        <v>63.407979139129644</v>
      </c>
      <c r="AH28" s="25">
        <f t="shared" si="38"/>
        <v>63.713022376229716</v>
      </c>
      <c r="AK28" s="70" t="s">
        <v>157</v>
      </c>
      <c r="AL28" s="186"/>
      <c r="AM28" s="76">
        <f t="shared" si="8"/>
        <v>7.0100283977756597</v>
      </c>
      <c r="AN28" s="76">
        <f t="shared" si="9"/>
        <v>7.0240312054248797</v>
      </c>
      <c r="AO28" s="76">
        <f t="shared" si="9"/>
        <v>7.0660387185511198</v>
      </c>
      <c r="AP28" s="76">
        <f t="shared" si="9"/>
        <v>7.0250583690553201</v>
      </c>
      <c r="AQ28" s="76">
        <f t="shared" si="9"/>
        <v>7.0675723110338602</v>
      </c>
      <c r="AR28" s="77">
        <f t="shared" si="9"/>
        <v>7.1110671082926</v>
      </c>
      <c r="AT28" s="70" t="s">
        <v>157</v>
      </c>
      <c r="AU28" s="186"/>
      <c r="AV28" s="76">
        <f t="shared" si="7"/>
        <v>7.4410268776936697</v>
      </c>
      <c r="AW28" s="76">
        <f t="shared" si="1"/>
        <v>7.4550295764564902</v>
      </c>
      <c r="AX28" s="76">
        <f t="shared" si="1"/>
        <v>7.4995352683076204</v>
      </c>
      <c r="AY28" s="76">
        <f t="shared" si="1"/>
        <v>7.4420596426381804</v>
      </c>
      <c r="AZ28" s="76">
        <f t="shared" si="1"/>
        <v>7.4860677575782999</v>
      </c>
      <c r="BA28" s="77">
        <f t="shared" si="1"/>
        <v>7.5310617604530599</v>
      </c>
    </row>
    <row r="29" spans="7:53" x14ac:dyDescent="0.55000000000000004">
      <c r="G29" s="23" t="s">
        <v>159</v>
      </c>
      <c r="H29" s="186"/>
      <c r="I29" s="20">
        <f t="shared" ref="I29:N29" si="39">(IMABS(I24)-IMABS(I25))/2</f>
        <v>7.5720317489111579</v>
      </c>
      <c r="J29" s="20">
        <f t="shared" si="39"/>
        <v>7.5835346135540682</v>
      </c>
      <c r="K29" s="20">
        <f t="shared" si="39"/>
        <v>7.6195407198388168</v>
      </c>
      <c r="L29" s="20">
        <f t="shared" si="39"/>
        <v>7.634552868011351</v>
      </c>
      <c r="M29" s="20">
        <f t="shared" si="39"/>
        <v>7.6710622460587565</v>
      </c>
      <c r="N29" s="25">
        <f t="shared" si="39"/>
        <v>7.7075723400536056</v>
      </c>
      <c r="Q29" s="23" t="s">
        <v>159</v>
      </c>
      <c r="R29" s="212"/>
      <c r="S29" s="20">
        <f>(IMABS(S24)-IMABS(S25))/2</f>
        <v>8.9570321524165841</v>
      </c>
      <c r="T29" s="20">
        <f t="shared" ref="T29:X29" si="40">(IMABS(T24)-IMABS(T25))/2</f>
        <v>8.9705348356017929</v>
      </c>
      <c r="U29" s="20">
        <f t="shared" si="40"/>
        <v>9.0115419600971691</v>
      </c>
      <c r="V29" s="20">
        <f t="shared" si="40"/>
        <v>9.0195549991121169</v>
      </c>
      <c r="W29" s="20">
        <f t="shared" si="40"/>
        <v>9.060565679576456</v>
      </c>
      <c r="X29" s="25">
        <f t="shared" si="40"/>
        <v>9.1025731728627441</v>
      </c>
      <c r="AA29" s="23" t="s">
        <v>159</v>
      </c>
      <c r="AB29" s="186"/>
      <c r="AC29" s="20">
        <f>(IMABS(AC24)-IMABS(AC25))/2</f>
        <v>10.028036348140024</v>
      </c>
      <c r="AD29" s="20">
        <f t="shared" ref="AD29:AH29" si="41">(IMABS(AD24)-IMABS(AD25))/2</f>
        <v>10.043539029166915</v>
      </c>
      <c r="AE29" s="20">
        <f t="shared" si="41"/>
        <v>10.091046089075455</v>
      </c>
      <c r="AF29" s="20">
        <f t="shared" si="41"/>
        <v>10.08956601718311</v>
      </c>
      <c r="AG29" s="20">
        <f t="shared" si="41"/>
        <v>10.137576953675854</v>
      </c>
      <c r="AH29" s="25">
        <f t="shared" si="41"/>
        <v>10.186582507693714</v>
      </c>
      <c r="AK29" s="70" t="s">
        <v>159</v>
      </c>
      <c r="AL29" s="186"/>
      <c r="AM29" s="76">
        <f t="shared" si="8"/>
        <v>1.38500040350543</v>
      </c>
      <c r="AN29" s="76">
        <f t="shared" si="9"/>
        <v>1.38700022204772</v>
      </c>
      <c r="AO29" s="76">
        <f t="shared" si="9"/>
        <v>1.3920012402583499</v>
      </c>
      <c r="AP29" s="76">
        <f t="shared" si="9"/>
        <v>1.3850021311007701</v>
      </c>
      <c r="AQ29" s="76">
        <f t="shared" si="9"/>
        <v>1.3895034335176999</v>
      </c>
      <c r="AR29" s="77">
        <f t="shared" si="9"/>
        <v>1.3950008328091399</v>
      </c>
      <c r="AT29" s="70" t="s">
        <v>159</v>
      </c>
      <c r="AU29" s="186"/>
      <c r="AV29" s="76">
        <f t="shared" si="7"/>
        <v>1.07100419572344</v>
      </c>
      <c r="AW29" s="76">
        <f t="shared" si="1"/>
        <v>1.07300419356512</v>
      </c>
      <c r="AX29" s="76">
        <f t="shared" si="1"/>
        <v>1.0795041289782901</v>
      </c>
      <c r="AY29" s="76">
        <f t="shared" si="1"/>
        <v>1.0700110180709901</v>
      </c>
      <c r="AZ29" s="76">
        <f t="shared" si="1"/>
        <v>1.0770112740994</v>
      </c>
      <c r="BA29" s="77">
        <f t="shared" si="1"/>
        <v>1.0840093348309701</v>
      </c>
    </row>
    <row r="30" spans="7:53" x14ac:dyDescent="0.55000000000000004">
      <c r="G30" s="23" t="s">
        <v>161</v>
      </c>
      <c r="H30" s="186"/>
      <c r="I30" s="89">
        <f t="shared" ref="I30:N30" si="42">I29/I28</f>
        <v>0.1568612178089305</v>
      </c>
      <c r="J30" s="89">
        <f t="shared" si="42"/>
        <v>0.15687360699347819</v>
      </c>
      <c r="K30" s="89">
        <f t="shared" si="42"/>
        <v>0.15693334562541497</v>
      </c>
      <c r="L30" s="89">
        <f t="shared" si="42"/>
        <v>0.15695783539989974</v>
      </c>
      <c r="M30" s="89">
        <f t="shared" si="42"/>
        <v>0.15701905689454049</v>
      </c>
      <c r="N30" s="105">
        <f t="shared" si="42"/>
        <v>0.15707014462408522</v>
      </c>
      <c r="Q30" s="23" t="s">
        <v>161</v>
      </c>
      <c r="R30" s="212"/>
      <c r="S30" s="89">
        <f>S29/S28</f>
        <v>0.16202379831473052</v>
      </c>
      <c r="T30" s="89">
        <f t="shared" ref="T30" si="43">T29/T28</f>
        <v>0.16202327590119281</v>
      </c>
      <c r="U30" s="89">
        <f t="shared" ref="U30" si="44">U29/U28</f>
        <v>0.16202342948555992</v>
      </c>
      <c r="V30" s="89">
        <f t="shared" ref="V30" si="45">V29/V28</f>
        <v>0.16203032045216773</v>
      </c>
      <c r="W30" s="89">
        <f t="shared" ref="W30" si="46">W29/W28</f>
        <v>0.16202174524681107</v>
      </c>
      <c r="X30" s="105">
        <f t="shared" ref="X30" si="47">X29/X28</f>
        <v>0.16201950008677016</v>
      </c>
      <c r="AA30" s="23" t="s">
        <v>161</v>
      </c>
      <c r="AB30" s="186"/>
      <c r="AC30" s="89">
        <f>AC29/AC28</f>
        <v>0.1598775560476792</v>
      </c>
      <c r="AD30" s="89">
        <f t="shared" ref="AD30" si="48">AD29/AD28</f>
        <v>0.1598761489125082</v>
      </c>
      <c r="AE30" s="89">
        <f t="shared" ref="AE30" si="49">AE29/AE28</f>
        <v>0.15987514113490728</v>
      </c>
      <c r="AF30" s="89">
        <f t="shared" ref="AF30" si="50">AF29/AF28</f>
        <v>0.15987800233142779</v>
      </c>
      <c r="AG30" s="89">
        <f t="shared" ref="AG30" si="51">AG29/AG28</f>
        <v>0.15987856877494874</v>
      </c>
      <c r="AH30" s="105">
        <f t="shared" ref="AH30" si="52">AH29/AH28</f>
        <v>0.15988226782809414</v>
      </c>
      <c r="AK30" s="70" t="s">
        <v>161</v>
      </c>
      <c r="AL30" s="186"/>
      <c r="AM30" s="149">
        <f t="shared" si="8"/>
        <v>5.1625805058000103E-3</v>
      </c>
      <c r="AN30" s="149">
        <f t="shared" si="9"/>
        <v>5.1496689077146201E-3</v>
      </c>
      <c r="AO30" s="149">
        <f t="shared" si="9"/>
        <v>5.0900838601449496E-3</v>
      </c>
      <c r="AP30" s="149">
        <f t="shared" si="9"/>
        <v>5.0724850522679797E-3</v>
      </c>
      <c r="AQ30" s="149">
        <f t="shared" si="9"/>
        <v>5.0026883522705798E-3</v>
      </c>
      <c r="AR30" s="150">
        <f t="shared" si="9"/>
        <v>4.9493554626849302E-3</v>
      </c>
      <c r="AT30" s="70" t="s">
        <v>161</v>
      </c>
      <c r="AU30" s="186"/>
      <c r="AV30" s="149">
        <f t="shared" si="7"/>
        <v>2.1462422670513199E-3</v>
      </c>
      <c r="AW30" s="149">
        <f t="shared" si="1"/>
        <v>2.1471269886846099E-3</v>
      </c>
      <c r="AX30" s="149">
        <f t="shared" si="1"/>
        <v>2.1482883506526401E-3</v>
      </c>
      <c r="AY30" s="149">
        <f t="shared" si="1"/>
        <v>2.1523181207399301E-3</v>
      </c>
      <c r="AZ30" s="149">
        <f t="shared" si="1"/>
        <v>2.1431764718623202E-3</v>
      </c>
      <c r="BA30" s="150">
        <f t="shared" si="1"/>
        <v>2.1372322586760101E-3</v>
      </c>
    </row>
    <row r="31" spans="7:53" x14ac:dyDescent="0.55000000000000004">
      <c r="G31" s="23" t="s">
        <v>163</v>
      </c>
      <c r="H31" s="186"/>
      <c r="I31" s="74">
        <f t="shared" ref="I31:N31" si="53">(IMABS(I24)-IMABS(I25))/(2*(IMABS(I24)+IMABS(I25)))</f>
        <v>7.8430608904465252E-2</v>
      </c>
      <c r="J31" s="74">
        <f t="shared" si="53"/>
        <v>7.8436803496739094E-2</v>
      </c>
      <c r="K31" s="74">
        <f t="shared" si="53"/>
        <v>7.8466672812707486E-2</v>
      </c>
      <c r="L31" s="74">
        <f t="shared" si="53"/>
        <v>7.8478917699949871E-2</v>
      </c>
      <c r="M31" s="74">
        <f t="shared" si="53"/>
        <v>7.8509528447270244E-2</v>
      </c>
      <c r="N31" s="101">
        <f t="shared" si="53"/>
        <v>7.8535072312042611E-2</v>
      </c>
      <c r="P31" s="19"/>
      <c r="Q31" s="23" t="s">
        <v>163</v>
      </c>
      <c r="R31" s="212"/>
      <c r="S31" s="74">
        <f>(IMABS(S24)-IMABS(S25))/(2*(IMABS(S24)+IMABS(S25)))</f>
        <v>8.1011899157365258E-2</v>
      </c>
      <c r="T31" s="74">
        <f t="shared" ref="T31:X31" si="54">(IMABS(T24)-IMABS(T25))/(2*(IMABS(T24)+IMABS(T25)))</f>
        <v>8.1011637950596405E-2</v>
      </c>
      <c r="U31" s="74">
        <f t="shared" si="54"/>
        <v>8.1011714742779961E-2</v>
      </c>
      <c r="V31" s="74">
        <f t="shared" si="54"/>
        <v>8.1015160226083863E-2</v>
      </c>
      <c r="W31" s="74">
        <f t="shared" si="54"/>
        <v>8.1010872623405533E-2</v>
      </c>
      <c r="X31" s="101">
        <f t="shared" si="54"/>
        <v>8.1009750043385079E-2</v>
      </c>
      <c r="AA31" s="23" t="s">
        <v>163</v>
      </c>
      <c r="AB31" s="186"/>
      <c r="AC31" s="74">
        <f>(IMABS(AC24)-IMABS(AC25))/(2*(IMABS(AC24)+IMABS(AC25)))</f>
        <v>7.9938778023839599E-2</v>
      </c>
      <c r="AD31" s="74">
        <f t="shared" ref="AD31:AH31" si="55">(IMABS(AD24)-IMABS(AD25))/(2*(IMABS(AD24)+IMABS(AD25)))</f>
        <v>7.9938074456254102E-2</v>
      </c>
      <c r="AE31" s="74">
        <f t="shared" si="55"/>
        <v>7.9937570567453639E-2</v>
      </c>
      <c r="AF31" s="74">
        <f t="shared" si="55"/>
        <v>7.9939001165713897E-2</v>
      </c>
      <c r="AG31" s="74">
        <f t="shared" si="55"/>
        <v>7.9939284387474371E-2</v>
      </c>
      <c r="AH31" s="101">
        <f t="shared" si="55"/>
        <v>7.9941133914047072E-2</v>
      </c>
      <c r="AK31" s="70" t="s">
        <v>163</v>
      </c>
      <c r="AL31" s="186"/>
      <c r="AM31" s="76">
        <f t="shared" si="8"/>
        <v>2.5812902529000099E-3</v>
      </c>
      <c r="AN31" s="76">
        <f t="shared" si="9"/>
        <v>2.57483445385731E-3</v>
      </c>
      <c r="AO31" s="76">
        <f t="shared" si="9"/>
        <v>2.54504193007248E-3</v>
      </c>
      <c r="AP31" s="76">
        <f t="shared" si="9"/>
        <v>2.5362425261339899E-3</v>
      </c>
      <c r="AQ31" s="76">
        <f t="shared" si="9"/>
        <v>2.5013441761352899E-3</v>
      </c>
      <c r="AR31" s="77">
        <f t="shared" si="9"/>
        <v>2.4746777313424699E-3</v>
      </c>
      <c r="AT31" s="70" t="s">
        <v>163</v>
      </c>
      <c r="AU31" s="186"/>
      <c r="AV31" s="76">
        <f t="shared" si="7"/>
        <v>1.0731211335256599E-3</v>
      </c>
      <c r="AW31" s="76">
        <f t="shared" si="1"/>
        <v>1.0735634943423E-3</v>
      </c>
      <c r="AX31" s="76">
        <f t="shared" si="1"/>
        <v>1.0741441753263201E-3</v>
      </c>
      <c r="AY31" s="76">
        <f t="shared" si="1"/>
        <v>1.07615906036997E-3</v>
      </c>
      <c r="AZ31" s="76">
        <f t="shared" si="1"/>
        <v>1.0715882359311601E-3</v>
      </c>
      <c r="BA31" s="77">
        <f t="shared" si="1"/>
        <v>1.06861612933801E-3</v>
      </c>
    </row>
    <row r="32" spans="7:53" x14ac:dyDescent="0.55000000000000004">
      <c r="G32" s="23" t="s">
        <v>165</v>
      </c>
      <c r="H32" s="188"/>
      <c r="I32" s="74">
        <f t="shared" ref="I32:N32" si="56">1/SQRT(I19)</f>
        <v>0.5225651068149384</v>
      </c>
      <c r="J32" s="74">
        <f t="shared" si="56"/>
        <v>0.52332776056869101</v>
      </c>
      <c r="K32" s="74">
        <f t="shared" si="56"/>
        <v>0.52563726396889099</v>
      </c>
      <c r="L32" s="74">
        <f t="shared" si="56"/>
        <v>0.52660190232490556</v>
      </c>
      <c r="M32" s="74">
        <f t="shared" si="56"/>
        <v>0.52894445328239581</v>
      </c>
      <c r="N32" s="101">
        <f t="shared" si="56"/>
        <v>0.53132056383923498</v>
      </c>
      <c r="Q32" s="23" t="s">
        <v>165</v>
      </c>
      <c r="R32" s="213"/>
      <c r="S32" s="74">
        <f>1/SQRT(S19)</f>
        <v>0.53356298184954154</v>
      </c>
      <c r="T32" s="74">
        <f t="shared" ref="T32:X32" si="57">1/SQRT(T19)</f>
        <v>0.53436930981471109</v>
      </c>
      <c r="U32" s="74">
        <f t="shared" si="57"/>
        <v>0.53681163677645449</v>
      </c>
      <c r="V32" s="74">
        <f t="shared" si="57"/>
        <v>0.53727000185593898</v>
      </c>
      <c r="W32" s="74">
        <f t="shared" si="57"/>
        <v>0.53974268991984298</v>
      </c>
      <c r="X32" s="101">
        <f t="shared" si="57"/>
        <v>0.54225167776060756</v>
      </c>
      <c r="AA32" s="23" t="s">
        <v>165</v>
      </c>
      <c r="AB32" s="188"/>
      <c r="AC32" s="74">
        <f>1/SQRT(AC19)</f>
        <v>0.5449073727717294</v>
      </c>
      <c r="AD32" s="74">
        <f t="shared" ref="AD32:AH32" si="58">1/SQRT(AD19)</f>
        <v>0.54575999988106172</v>
      </c>
      <c r="AE32" s="74">
        <f t="shared" si="58"/>
        <v>0.54834319568075984</v>
      </c>
      <c r="AF32" s="74">
        <f t="shared" si="58"/>
        <v>0.54825648943780525</v>
      </c>
      <c r="AG32" s="74">
        <f t="shared" si="58"/>
        <v>0.55086672204840792</v>
      </c>
      <c r="AH32" s="101">
        <f t="shared" si="58"/>
        <v>0.55351624007208444</v>
      </c>
      <c r="AK32" s="70" t="s">
        <v>165</v>
      </c>
      <c r="AL32" s="188"/>
      <c r="AM32" s="76">
        <f t="shared" si="8"/>
        <v>1.0997875034603101E-2</v>
      </c>
      <c r="AN32" s="76">
        <f t="shared" si="9"/>
        <v>1.10415492460201E-2</v>
      </c>
      <c r="AO32" s="76">
        <f t="shared" si="9"/>
        <v>1.1174372807563501E-2</v>
      </c>
      <c r="AP32" s="76">
        <f t="shared" si="9"/>
        <v>1.06680995310334E-2</v>
      </c>
      <c r="AQ32" s="76">
        <f t="shared" si="9"/>
        <v>1.07982366374472E-2</v>
      </c>
      <c r="AR32" s="77">
        <f t="shared" si="9"/>
        <v>1.0931113921372601E-2</v>
      </c>
      <c r="AT32" s="70" t="s">
        <v>165</v>
      </c>
      <c r="AU32" s="188"/>
      <c r="AV32" s="76">
        <f t="shared" si="7"/>
        <v>1.13443909221879E-2</v>
      </c>
      <c r="AW32" s="76">
        <f t="shared" si="1"/>
        <v>1.1390690066350601E-2</v>
      </c>
      <c r="AX32" s="76">
        <f t="shared" si="1"/>
        <v>1.15315589043054E-2</v>
      </c>
      <c r="AY32" s="76">
        <f t="shared" si="1"/>
        <v>1.09864875818663E-2</v>
      </c>
      <c r="AZ32" s="76">
        <f t="shared" si="1"/>
        <v>1.1124032128564901E-2</v>
      </c>
      <c r="BA32" s="77">
        <f t="shared" si="1"/>
        <v>1.12645623114769E-2</v>
      </c>
    </row>
    <row r="33" spans="7:53" x14ac:dyDescent="0.55000000000000004">
      <c r="G33" s="190" t="str">
        <f>_xlfn.CONCAT("Attenuation and Propagation Constants at Temp = ",$R$19,"°C (dB/m)")</f>
        <v>Attenuation and Propagation Constants at Temp = 25°C (dB/m)</v>
      </c>
      <c r="H33" s="191"/>
      <c r="I33" s="191"/>
      <c r="J33" s="191"/>
      <c r="K33" s="191"/>
      <c r="L33" s="191"/>
      <c r="M33" s="191"/>
      <c r="N33" s="192"/>
      <c r="Q33" s="190" t="str">
        <f>_xlfn.CONCAT("Attenuation and Propagation Constants at Temp = ",$R$19,"°C (dB/m)")</f>
        <v>Attenuation and Propagation Constants at Temp = 25°C (dB/m)</v>
      </c>
      <c r="R33" s="191"/>
      <c r="S33" s="191"/>
      <c r="T33" s="191"/>
      <c r="U33" s="191"/>
      <c r="V33" s="191"/>
      <c r="W33" s="191"/>
      <c r="X33" s="192"/>
      <c r="AA33" s="190" t="str">
        <f>_xlfn.CONCAT("Attenuation and Propagation Constants at Temp = ",$R$19,"°C (dB/m)")</f>
        <v>Attenuation and Propagation Constants at Temp = 25°C (dB/m)</v>
      </c>
      <c r="AB33" s="191"/>
      <c r="AC33" s="191"/>
      <c r="AD33" s="191"/>
      <c r="AE33" s="191"/>
      <c r="AF33" s="191"/>
      <c r="AG33" s="191"/>
      <c r="AH33" s="192"/>
      <c r="AK33" s="193" t="str">
        <f>_xlfn.CONCAT("Attenuation and Propagation Constants at Temp = ",$R$19,"°C (dB/m)")</f>
        <v>Attenuation and Propagation Constants at Temp = 25°C (dB/m)</v>
      </c>
      <c r="AL33" s="191"/>
      <c r="AM33" s="191"/>
      <c r="AN33" s="191"/>
      <c r="AO33" s="191"/>
      <c r="AP33" s="191"/>
      <c r="AQ33" s="191"/>
      <c r="AR33" s="194"/>
      <c r="AT33" s="193" t="str">
        <f>_xlfn.CONCAT("Attenuation and Propagation Constants at Temp = ",$R$19,"°C (dB/m)")</f>
        <v>Attenuation and Propagation Constants at Temp = 25°C (dB/m)</v>
      </c>
      <c r="AU33" s="191"/>
      <c r="AV33" s="191"/>
      <c r="AW33" s="191"/>
      <c r="AX33" s="191"/>
      <c r="AY33" s="191"/>
      <c r="AZ33" s="191"/>
      <c r="BA33" s="194"/>
    </row>
    <row r="34" spans="7:53" x14ac:dyDescent="0.55000000000000004">
      <c r="G34" s="44" t="s">
        <v>168</v>
      </c>
      <c r="H34" s="185">
        <f>H19</f>
        <v>25</v>
      </c>
      <c r="I34" s="78">
        <f t="shared" ref="I34:N34" si="59">20*LOG(EXP(1))*(2*PI()/(2*0.299795637693216))*SQRT(I19)*(S$18)*I20</f>
        <v>0.94057238337248161</v>
      </c>
      <c r="J34" s="78">
        <f t="shared" si="59"/>
        <v>2.9219607588438739</v>
      </c>
      <c r="K34" s="78">
        <f t="shared" si="59"/>
        <v>5.2814425957462383</v>
      </c>
      <c r="L34" s="78">
        <f t="shared" si="59"/>
        <v>12.010599179651122</v>
      </c>
      <c r="M34" s="78">
        <f t="shared" si="59"/>
        <v>19.484825574373271</v>
      </c>
      <c r="N34" s="106">
        <f t="shared" si="59"/>
        <v>27.752190001793799</v>
      </c>
      <c r="Q34" s="44" t="s">
        <v>168</v>
      </c>
      <c r="R34" s="185">
        <f>R19</f>
        <v>25</v>
      </c>
      <c r="S34" s="78">
        <f t="shared" ref="S34:X34" si="60">20*LOG(EXP(1))*(2*PI()/(2*0.299795637693216))*SQRT(S19)*(S$18)*S20</f>
        <v>0.92118517345497197</v>
      </c>
      <c r="T34" s="78">
        <f t="shared" si="60"/>
        <v>2.8615849606437496</v>
      </c>
      <c r="U34" s="78">
        <f t="shared" si="60"/>
        <v>5.1715030853417892</v>
      </c>
      <c r="V34" s="78">
        <f t="shared" si="60"/>
        <v>11.963526596516989</v>
      </c>
      <c r="W34" s="78">
        <f t="shared" si="60"/>
        <v>19.380808628024706</v>
      </c>
      <c r="X34" s="106">
        <f t="shared" si="60"/>
        <v>27.192740648441848</v>
      </c>
      <c r="AA34" s="44" t="s">
        <v>168</v>
      </c>
      <c r="AB34" s="185">
        <f>AB19</f>
        <v>25</v>
      </c>
      <c r="AC34" s="78">
        <f t="shared" ref="AC34:AH34" si="61">20*LOG(EXP(1))*(2*PI()/(2*0.299795637693216))*SQRT(AC19)*(S$18)*AC20</f>
        <v>0.90200707963282367</v>
      </c>
      <c r="AD34" s="78">
        <f t="shared" si="61"/>
        <v>2.8018601230002305</v>
      </c>
      <c r="AE34" s="78">
        <f t="shared" si="61"/>
        <v>5.0627473044327553</v>
      </c>
      <c r="AF34" s="78">
        <f t="shared" si="61"/>
        <v>11.911365689549413</v>
      </c>
      <c r="AG34" s="78">
        <f t="shared" si="61"/>
        <v>19.269468871185509</v>
      </c>
      <c r="AH34" s="106">
        <f t="shared" si="61"/>
        <v>26.639343477268856</v>
      </c>
      <c r="AK34" s="69" t="s">
        <v>168</v>
      </c>
      <c r="AL34" s="185">
        <f>AL19</f>
        <v>25</v>
      </c>
      <c r="AM34" s="141">
        <f t="shared" ref="AM34:AM41" si="62">IMABS(IMDIV(IMSUB(I34,S34),1))</f>
        <v>1.9387209917509599E-2</v>
      </c>
      <c r="AN34" s="78">
        <f t="shared" ref="AN34:AN41" si="63">IMABS(IMDIV(IMSUB(J34,T34),1))</f>
        <v>6.03757982001243E-2</v>
      </c>
      <c r="AO34" s="78">
        <f t="shared" ref="AO34:AO41" si="64">IMABS(IMDIV(IMSUB(K34,U34),1))</f>
        <v>0.10993951040444901</v>
      </c>
      <c r="AP34" s="78">
        <f t="shared" ref="AP34:AP41" si="65">IMABS(IMDIV(IMSUB(L34,V34),1))</f>
        <v>4.7072583134132998E-2</v>
      </c>
      <c r="AQ34" s="78">
        <f t="shared" ref="AQ34:AQ41" si="66">IMABS(IMDIV(IMSUB(M34,W34),1))</f>
        <v>0.104016946348565</v>
      </c>
      <c r="AR34" s="79">
        <f t="shared" ref="AR34:AR41" si="67">IMABS(IMDIV(IMSUB(N34,X34),1))</f>
        <v>0.55944935335195101</v>
      </c>
      <c r="AT34" s="69" t="s">
        <v>168</v>
      </c>
      <c r="AU34" s="185">
        <f>AU19</f>
        <v>25</v>
      </c>
      <c r="AV34" s="141">
        <f>IMABS(IMDIV(IMSUB(S34,AC34),1))</f>
        <v>1.9178093822148301E-2</v>
      </c>
      <c r="AW34" s="78">
        <f t="shared" ref="AW34:BA43" si="68">IMABS(IMDIV(IMSUB(T34,AD34),1))</f>
        <v>5.9724837643519102E-2</v>
      </c>
      <c r="AX34" s="78">
        <f t="shared" si="68"/>
        <v>0.108755780909034</v>
      </c>
      <c r="AY34" s="78">
        <f t="shared" si="68"/>
        <v>5.2160906967575499E-2</v>
      </c>
      <c r="AZ34" s="78">
        <f t="shared" si="68"/>
        <v>0.111339756839197</v>
      </c>
      <c r="BA34" s="79">
        <f t="shared" si="68"/>
        <v>0.55339717117299303</v>
      </c>
    </row>
    <row r="35" spans="7:53" x14ac:dyDescent="0.55000000000000004">
      <c r="G35" s="23" t="s">
        <v>169</v>
      </c>
      <c r="H35" s="186"/>
      <c r="I35" s="74">
        <f t="shared" ref="I35:N36" si="69">20*LOG(EXP(1))*I22/(2*IMABS(I24))</f>
        <v>4.3077466907397124</v>
      </c>
      <c r="J35" s="74">
        <f t="shared" si="69"/>
        <v>7.4502981226893494</v>
      </c>
      <c r="K35" s="74">
        <f t="shared" si="69"/>
        <v>9.5760736043328141</v>
      </c>
      <c r="L35" s="74">
        <f t="shared" si="69"/>
        <v>13.517804350938183</v>
      </c>
      <c r="M35" s="74">
        <f t="shared" si="69"/>
        <v>16.482459422615353</v>
      </c>
      <c r="N35" s="101">
        <f t="shared" si="69"/>
        <v>18.946904573392313</v>
      </c>
      <c r="Q35" s="23" t="s">
        <v>169</v>
      </c>
      <c r="R35" s="186"/>
      <c r="S35" s="74">
        <f>20*LOG(EXP(1))*S22/(2*IMABS(S24))</f>
        <v>4.0110518619731748</v>
      </c>
      <c r="T35" s="74">
        <f t="shared" ref="T35:X35" si="70">20*LOG(EXP(1))*T22/(2*IMABS(T24))</f>
        <v>6.9368560201028</v>
      </c>
      <c r="U35" s="74">
        <f t="shared" si="70"/>
        <v>8.9146981956682865</v>
      </c>
      <c r="V35" s="74">
        <f t="shared" si="70"/>
        <v>12.596514984838651</v>
      </c>
      <c r="W35" s="74">
        <f t="shared" si="70"/>
        <v>15.356691722716608</v>
      </c>
      <c r="X35" s="101">
        <f t="shared" si="70"/>
        <v>17.650329152019371</v>
      </c>
      <c r="AA35" s="23" t="s">
        <v>169</v>
      </c>
      <c r="AB35" s="186"/>
      <c r="AC35" s="74">
        <f>20*LOG(EXP(1))*AC22/(2*IMABS(AC24))</f>
        <v>3.7897385979164979</v>
      </c>
      <c r="AD35" s="74">
        <f t="shared" ref="AD35:AH35" si="71">20*LOG(EXP(1))*AD22/(2*IMABS(AD24))</f>
        <v>6.5536918033084</v>
      </c>
      <c r="AE35" s="74">
        <f t="shared" si="71"/>
        <v>8.4209415688402594</v>
      </c>
      <c r="AF35" s="74">
        <f t="shared" si="71"/>
        <v>11.910845821713977</v>
      </c>
      <c r="AG35" s="74">
        <f t="shared" si="71"/>
        <v>14.518544185803746</v>
      </c>
      <c r="AH35" s="101">
        <f t="shared" si="71"/>
        <v>16.684394837104076</v>
      </c>
      <c r="AK35" s="70" t="s">
        <v>169</v>
      </c>
      <c r="AL35" s="186"/>
      <c r="AM35" s="74">
        <f t="shared" si="62"/>
        <v>0.29669482876653802</v>
      </c>
      <c r="AN35" s="74">
        <f t="shared" si="63"/>
        <v>0.51344210258654899</v>
      </c>
      <c r="AO35" s="74">
        <f t="shared" si="64"/>
        <v>0.66137540866452804</v>
      </c>
      <c r="AP35" s="74">
        <f t="shared" si="65"/>
        <v>0.92128936609953305</v>
      </c>
      <c r="AQ35" s="74">
        <f t="shared" si="66"/>
        <v>1.12576769989874</v>
      </c>
      <c r="AR35" s="75">
        <f t="shared" si="67"/>
        <v>1.2965754213729399</v>
      </c>
      <c r="AT35" s="70" t="s">
        <v>169</v>
      </c>
      <c r="AU35" s="186"/>
      <c r="AV35" s="74">
        <f t="shared" ref="AV35:AV43" si="72">IMABS(IMDIV(IMSUB(S35,AC35),1))</f>
        <v>0.22131326405667701</v>
      </c>
      <c r="AW35" s="74">
        <f t="shared" si="68"/>
        <v>0.38316421679439999</v>
      </c>
      <c r="AX35" s="74">
        <f t="shared" si="68"/>
        <v>0.49375662682802701</v>
      </c>
      <c r="AY35" s="74">
        <f t="shared" si="68"/>
        <v>0.68566916312467396</v>
      </c>
      <c r="AZ35" s="74">
        <f t="shared" si="68"/>
        <v>0.83814753691286203</v>
      </c>
      <c r="BA35" s="75">
        <f t="shared" si="68"/>
        <v>0.96593431491529502</v>
      </c>
    </row>
    <row r="36" spans="7:53" x14ac:dyDescent="0.55000000000000004">
      <c r="G36" s="23" t="s">
        <v>172</v>
      </c>
      <c r="H36" s="186"/>
      <c r="I36" s="74">
        <f t="shared" si="69"/>
        <v>5.1349697721130285</v>
      </c>
      <c r="J36" s="74">
        <f t="shared" si="69"/>
        <v>8.8807644807398169</v>
      </c>
      <c r="K36" s="74">
        <f t="shared" si="69"/>
        <v>11.413293323824208</v>
      </c>
      <c r="L36" s="74">
        <f t="shared" si="69"/>
        <v>16.110456663999216</v>
      </c>
      <c r="M36" s="74">
        <f t="shared" si="69"/>
        <v>19.64125300112331</v>
      </c>
      <c r="N36" s="101">
        <f t="shared" si="69"/>
        <v>22.575633505406937</v>
      </c>
      <c r="Q36" s="23" t="s">
        <v>172</v>
      </c>
      <c r="R36" s="186"/>
      <c r="S36" s="74">
        <f>20*LOG(EXP(1))*S23/(2*IMABS(S25))</f>
        <v>4.8301332843348934</v>
      </c>
      <c r="T36" s="74">
        <f t="shared" ref="T36:X36" si="73">20*LOG(EXP(1))*T23/(2*IMABS(T25))</f>
        <v>8.3534135822858797</v>
      </c>
      <c r="U36" s="74">
        <f t="shared" si="73"/>
        <v>10.735142445353739</v>
      </c>
      <c r="V36" s="74">
        <f t="shared" si="73"/>
        <v>15.168597501589508</v>
      </c>
      <c r="W36" s="74">
        <f t="shared" si="73"/>
        <v>18.492700459475902</v>
      </c>
      <c r="X36" s="101">
        <f t="shared" si="73"/>
        <v>21.254822397860128</v>
      </c>
      <c r="AA36" s="23" t="s">
        <v>172</v>
      </c>
      <c r="AB36" s="186"/>
      <c r="AC36" s="74">
        <f>20*LOG(EXP(1))*AC23/(2*IMABS(AC25))</f>
        <v>4.6601179100759662</v>
      </c>
      <c r="AD36" s="74">
        <f t="shared" ref="AD36:AH36" si="74">20*LOG(EXP(1))*AD23/(2*IMABS(AD25))</f>
        <v>8.0588842649398469</v>
      </c>
      <c r="AE36" s="74">
        <f t="shared" si="74"/>
        <v>10.355008430714339</v>
      </c>
      <c r="AF36" s="74">
        <f t="shared" si="74"/>
        <v>14.646365088632061</v>
      </c>
      <c r="AG36" s="74">
        <f t="shared" si="74"/>
        <v>17.852942995237179</v>
      </c>
      <c r="AH36" s="101">
        <f t="shared" si="74"/>
        <v>20.516057580286368</v>
      </c>
      <c r="AK36" s="70" t="s">
        <v>172</v>
      </c>
      <c r="AL36" s="186"/>
      <c r="AM36" s="74">
        <f t="shared" si="62"/>
        <v>0.30483648777813499</v>
      </c>
      <c r="AN36" s="74">
        <f t="shared" si="63"/>
        <v>0.52735089845393701</v>
      </c>
      <c r="AO36" s="74">
        <f t="shared" si="64"/>
        <v>0.67815087847046795</v>
      </c>
      <c r="AP36" s="74">
        <f t="shared" si="65"/>
        <v>0.94185916240970802</v>
      </c>
      <c r="AQ36" s="74">
        <f t="shared" si="66"/>
        <v>1.1485525416474101</v>
      </c>
      <c r="AR36" s="75">
        <f t="shared" si="67"/>
        <v>1.3208111075468101</v>
      </c>
      <c r="AT36" s="70" t="s">
        <v>172</v>
      </c>
      <c r="AU36" s="186"/>
      <c r="AV36" s="74">
        <f t="shared" si="72"/>
        <v>0.17001537425892699</v>
      </c>
      <c r="AW36" s="74">
        <f t="shared" si="68"/>
        <v>0.29452931734603299</v>
      </c>
      <c r="AX36" s="74">
        <f t="shared" si="68"/>
        <v>0.380134014639401</v>
      </c>
      <c r="AY36" s="74">
        <f t="shared" si="68"/>
        <v>0.52223241295744705</v>
      </c>
      <c r="AZ36" s="74">
        <f t="shared" si="68"/>
        <v>0.63975746423872304</v>
      </c>
      <c r="BA36" s="75">
        <f t="shared" si="68"/>
        <v>0.73876481757376</v>
      </c>
    </row>
    <row r="37" spans="7:53" x14ac:dyDescent="0.55000000000000004">
      <c r="G37" s="23" t="s">
        <v>175</v>
      </c>
      <c r="H37" s="186"/>
      <c r="I37" s="74">
        <f>I35*(1+(2/PI())*ATAN(1.4*('Material Modeler'!$H$3/I21)^2))</f>
        <v>4.4507315963288523</v>
      </c>
      <c r="J37" s="74">
        <f>J35*(1+(2/PI())*ATAN(1.4*('Material Modeler'!$H$3/J21)^2))</f>
        <v>8.1868742108232233</v>
      </c>
      <c r="K37" s="74">
        <f>K35*(1+(2/PI())*ATAN(1.4*('Material Modeler'!$H$3/K21)^2))</f>
        <v>11.132090429904366</v>
      </c>
      <c r="L37" s="74">
        <f>L35*(1+(2/PI())*ATAN(1.4*('Material Modeler'!$H$3/L21)^2))</f>
        <v>17.656991774052766</v>
      </c>
      <c r="M37" s="74">
        <f>M35*(1+(2/PI())*ATAN(1.4*('Material Modeler'!$H$3/M21)^2))</f>
        <v>23.451511411887811</v>
      </c>
      <c r="N37" s="101">
        <f>N35*(1+(2/PI())*ATAN(1.4*('Material Modeler'!$H$3/N21)^2))</f>
        <v>28.678347293212727</v>
      </c>
      <c r="Q37" s="23" t="s">
        <v>175</v>
      </c>
      <c r="R37" s="186"/>
      <c r="S37" s="74">
        <f>S35*(1+(2/PI())*ATAN(1.4*('Material Modeler'!$H$3/S21)^2))</f>
        <v>4.1441887228360157</v>
      </c>
      <c r="T37" s="74">
        <f>T35*(1+(2/PI())*ATAN(1.4*('Material Modeler'!$H$3/T21)^2))</f>
        <v>7.6226704918317294</v>
      </c>
      <c r="U37" s="74">
        <f>U35*(1+(2/PI())*ATAN(1.4*('Material Modeler'!$H$3/U21)^2))</f>
        <v>10.363248087878379</v>
      </c>
      <c r="V37" s="74">
        <f>V35*(1+(2/PI())*ATAN(1.4*('Material Modeler'!$H$3/V21)^2))</f>
        <v>16.453601168860825</v>
      </c>
      <c r="W37" s="74">
        <f>W35*(1+(2/PI())*ATAN(1.4*('Material Modeler'!$H$3/W21)^2))</f>
        <v>21.84975081388593</v>
      </c>
      <c r="X37" s="101">
        <f>X35*(1+(2/PI())*ATAN(1.4*('Material Modeler'!$H$3/X21)^2))</f>
        <v>26.715829348292324</v>
      </c>
      <c r="AA37" s="23" t="s">
        <v>175</v>
      </c>
      <c r="AB37" s="186"/>
      <c r="AC37" s="74">
        <f>AC35*(1+(2/PI())*ATAN(1.4*('Material Modeler'!$H$3/AC21)^2))</f>
        <v>3.915529517051894</v>
      </c>
      <c r="AD37" s="74">
        <f>AD35*(1+(2/PI())*ATAN(1.4*('Material Modeler'!$H$3/AD21)^2))</f>
        <v>7.2016246231528518</v>
      </c>
      <c r="AE37" s="74">
        <f>AE35*(1+(2/PI())*ATAN(1.4*('Material Modeler'!$H$3/AE21)^2))</f>
        <v>9.7892609145000176</v>
      </c>
      <c r="AF37" s="74">
        <f>AF35*(1+(2/PI())*ATAN(1.4*('Material Modeler'!$H$3/AF21)^2))</f>
        <v>15.557978295596371</v>
      </c>
      <c r="AG37" s="74">
        <f>AG35*(1+(2/PI())*ATAN(1.4*('Material Modeler'!$H$3/AG21)^2))</f>
        <v>20.657220862937702</v>
      </c>
      <c r="AH37" s="101">
        <f>AH35*(1+(2/PI())*ATAN(1.4*('Material Modeler'!$H$3/AH21)^2))</f>
        <v>25.253775236061546</v>
      </c>
      <c r="AK37" s="70" t="s">
        <v>175</v>
      </c>
      <c r="AL37" s="186"/>
      <c r="AM37" s="74">
        <f t="shared" si="62"/>
        <v>0.30654287349283699</v>
      </c>
      <c r="AN37" s="74">
        <f t="shared" si="63"/>
        <v>0.56420371899149402</v>
      </c>
      <c r="AO37" s="74">
        <f t="shared" si="64"/>
        <v>0.768842342025987</v>
      </c>
      <c r="AP37" s="74">
        <f t="shared" si="65"/>
        <v>1.2033906051919401</v>
      </c>
      <c r="AQ37" s="74">
        <f t="shared" si="66"/>
        <v>1.6017605980018801</v>
      </c>
      <c r="AR37" s="75">
        <f t="shared" si="67"/>
        <v>1.9625179449204</v>
      </c>
      <c r="AT37" s="70" t="s">
        <v>175</v>
      </c>
      <c r="AU37" s="186"/>
      <c r="AV37" s="74">
        <f t="shared" si="72"/>
        <v>0.22865920578412199</v>
      </c>
      <c r="AW37" s="74">
        <f t="shared" si="68"/>
        <v>0.421045868678878</v>
      </c>
      <c r="AX37" s="74">
        <f t="shared" si="68"/>
        <v>0.57398717337836103</v>
      </c>
      <c r="AY37" s="74">
        <f t="shared" si="68"/>
        <v>0.895622873264454</v>
      </c>
      <c r="AZ37" s="74">
        <f t="shared" si="68"/>
        <v>1.1925299509482301</v>
      </c>
      <c r="BA37" s="75">
        <f t="shared" si="68"/>
        <v>1.46205411223078</v>
      </c>
    </row>
    <row r="38" spans="7:53" x14ac:dyDescent="0.55000000000000004">
      <c r="G38" s="23" t="s">
        <v>176</v>
      </c>
      <c r="H38" s="186"/>
      <c r="I38" s="74">
        <f>I36*(1+(2/PI())*ATAN(1.4*('Material Modeler'!$H$3/I21)^2))</f>
        <v>5.3054122843542926</v>
      </c>
      <c r="J38" s="74">
        <f>J36*(1+(2/PI())*ATAN(1.4*('Material Modeler'!$H$3/J21)^2))</f>
        <v>9.7587640792982082</v>
      </c>
      <c r="K38" s="74">
        <f>K36*(1+(2/PI())*ATAN(1.4*('Material Modeler'!$H$3/K21)^2))</f>
        <v>13.267840101641218</v>
      </c>
      <c r="L38" s="74">
        <f>L36*(1+(2/PI())*ATAN(1.4*('Material Modeler'!$H$3/L21)^2))</f>
        <v>21.043521078386153</v>
      </c>
      <c r="M38" s="74">
        <f>M36*(1+(2/PI())*ATAN(1.4*('Material Modeler'!$H$3/M21)^2))</f>
        <v>27.945894304318006</v>
      </c>
      <c r="N38" s="101">
        <f>N36*(1+(2/PI())*ATAN(1.4*('Material Modeler'!$H$3/N21)^2))</f>
        <v>34.170851260926121</v>
      </c>
      <c r="Q38" s="23" t="s">
        <v>176</v>
      </c>
      <c r="R38" s="186"/>
      <c r="S38" s="74">
        <f>S36*(1+(2/PI())*ATAN(1.4*('Material Modeler'!$H$3/S21)^2))</f>
        <v>4.9904575097885937</v>
      </c>
      <c r="T38" s="74">
        <f>T36*(1+(2/PI())*ATAN(1.4*('Material Modeler'!$H$3/T21)^2))</f>
        <v>9.1792764669221611</v>
      </c>
      <c r="U38" s="74">
        <f>U36*(1+(2/PI())*ATAN(1.4*('Material Modeler'!$H$3/U21)^2))</f>
        <v>12.479496442624583</v>
      </c>
      <c r="V38" s="74">
        <f>V36*(1+(2/PI())*ATAN(1.4*('Material Modeler'!$H$3/V21)^2))</f>
        <v>19.813262150882871</v>
      </c>
      <c r="W38" s="74">
        <f>W36*(1+(2/PI())*ATAN(1.4*('Material Modeler'!$H$3/W21)^2))</f>
        <v>26.311715062800236</v>
      </c>
      <c r="X38" s="101">
        <f>X36*(1+(2/PI())*ATAN(1.4*('Material Modeler'!$H$3/X21)^2))</f>
        <v>32.17164978164309</v>
      </c>
      <c r="AA38" s="23" t="s">
        <v>176</v>
      </c>
      <c r="AB38" s="186"/>
      <c r="AC38" s="74">
        <f>AC36*(1+(2/PI())*ATAN(1.4*('Material Modeler'!$H$3/AC21)^2))</f>
        <v>4.8147988992898547</v>
      </c>
      <c r="AD38" s="74">
        <f>AD36*(1+(2/PI())*ATAN(1.4*('Material Modeler'!$H$3/AD21)^2))</f>
        <v>8.8556284151524967</v>
      </c>
      <c r="AE38" s="74">
        <f>AE36*(1+(2/PI())*ATAN(1.4*('Material Modeler'!$H$3/AE21)^2))</f>
        <v>12.037594427112326</v>
      </c>
      <c r="AF38" s="74">
        <f>AF36*(1+(2/PI())*ATAN(1.4*('Material Modeler'!$H$3/AF21)^2))</f>
        <v>19.13112079269008</v>
      </c>
      <c r="AG38" s="74">
        <f>AG36*(1+(2/PI())*ATAN(1.4*('Material Modeler'!$H$3/AG21)^2))</f>
        <v>25.401457734767682</v>
      </c>
      <c r="AH38" s="101">
        <f>AH36*(1+(2/PI())*ATAN(1.4*('Material Modeler'!$H$3/AH21)^2))</f>
        <v>31.053443167770123</v>
      </c>
      <c r="AK38" s="70" t="s">
        <v>176</v>
      </c>
      <c r="AL38" s="186"/>
      <c r="AM38" s="74">
        <f t="shared" si="62"/>
        <v>0.31495477456569898</v>
      </c>
      <c r="AN38" s="74">
        <f t="shared" si="63"/>
        <v>0.57948761237604696</v>
      </c>
      <c r="AO38" s="74">
        <f t="shared" si="64"/>
        <v>0.78834365901663395</v>
      </c>
      <c r="AP38" s="74">
        <f t="shared" si="65"/>
        <v>1.23025892750328</v>
      </c>
      <c r="AQ38" s="74">
        <f t="shared" si="66"/>
        <v>1.6341792415177701</v>
      </c>
      <c r="AR38" s="75">
        <f t="shared" si="67"/>
        <v>1.9992014792830299</v>
      </c>
      <c r="AT38" s="70" t="s">
        <v>176</v>
      </c>
      <c r="AU38" s="186"/>
      <c r="AV38" s="74">
        <f t="shared" si="72"/>
        <v>0.17565861049873899</v>
      </c>
      <c r="AW38" s="74">
        <f t="shared" si="68"/>
        <v>0.32364805176966399</v>
      </c>
      <c r="AX38" s="74">
        <f t="shared" si="68"/>
        <v>0.441902015512257</v>
      </c>
      <c r="AY38" s="74">
        <f t="shared" si="68"/>
        <v>0.68214135819279098</v>
      </c>
      <c r="AZ38" s="74">
        <f t="shared" si="68"/>
        <v>0.91025732803255399</v>
      </c>
      <c r="BA38" s="75">
        <f t="shared" si="68"/>
        <v>1.11820661387297</v>
      </c>
    </row>
    <row r="39" spans="7:53" x14ac:dyDescent="0.55000000000000004">
      <c r="G39" s="107" t="s">
        <v>180</v>
      </c>
      <c r="H39" s="186"/>
      <c r="I39" s="74">
        <f t="shared" ref="I39:N39" si="75">(I37+I34)</f>
        <v>5.391303979701334</v>
      </c>
      <c r="J39" s="74">
        <f t="shared" si="75"/>
        <v>11.108834969667097</v>
      </c>
      <c r="K39" s="74">
        <f t="shared" si="75"/>
        <v>16.413533025650604</v>
      </c>
      <c r="L39" s="74">
        <f t="shared" si="75"/>
        <v>29.667590953703886</v>
      </c>
      <c r="M39" s="74">
        <f t="shared" si="75"/>
        <v>42.936336986261082</v>
      </c>
      <c r="N39" s="101">
        <f t="shared" si="75"/>
        <v>56.43053729500653</v>
      </c>
      <c r="Q39" s="107" t="s">
        <v>180</v>
      </c>
      <c r="R39" s="186"/>
      <c r="S39" s="74">
        <f>(S37+S34)</f>
        <v>5.0653738962909873</v>
      </c>
      <c r="T39" s="74">
        <f t="shared" ref="T39:X39" si="76">(T37+T34)</f>
        <v>10.484255452475479</v>
      </c>
      <c r="U39" s="74">
        <f t="shared" si="76"/>
        <v>15.534751173220169</v>
      </c>
      <c r="V39" s="74">
        <f t="shared" si="76"/>
        <v>28.417127765377813</v>
      </c>
      <c r="W39" s="74">
        <f t="shared" si="76"/>
        <v>41.230559441910636</v>
      </c>
      <c r="X39" s="101">
        <f t="shared" si="76"/>
        <v>53.908569996734172</v>
      </c>
      <c r="AA39" s="107" t="s">
        <v>180</v>
      </c>
      <c r="AB39" s="186"/>
      <c r="AC39" s="74">
        <f>(AC37+AC34)</f>
        <v>4.8175365966847181</v>
      </c>
      <c r="AD39" s="74">
        <f t="shared" ref="AD39:AH39" si="77">(AD37+AD34)</f>
        <v>10.003484746153083</v>
      </c>
      <c r="AE39" s="74">
        <f t="shared" si="77"/>
        <v>14.852008218932774</v>
      </c>
      <c r="AF39" s="74">
        <f t="shared" si="77"/>
        <v>27.469343985145784</v>
      </c>
      <c r="AG39" s="74">
        <f t="shared" si="77"/>
        <v>39.926689734123215</v>
      </c>
      <c r="AH39" s="101">
        <f t="shared" si="77"/>
        <v>51.893118713330402</v>
      </c>
      <c r="AK39" s="71" t="s">
        <v>180</v>
      </c>
      <c r="AL39" s="186"/>
      <c r="AM39" s="74">
        <f t="shared" si="62"/>
        <v>0.32593008341034702</v>
      </c>
      <c r="AN39" s="74">
        <f t="shared" si="63"/>
        <v>0.62457951719161797</v>
      </c>
      <c r="AO39" s="74">
        <f t="shared" si="64"/>
        <v>0.87878185243043605</v>
      </c>
      <c r="AP39" s="74">
        <f t="shared" si="65"/>
        <v>1.25046318832607</v>
      </c>
      <c r="AQ39" s="74">
        <f t="shared" si="66"/>
        <v>1.7057775443504499</v>
      </c>
      <c r="AR39" s="75">
        <f t="shared" si="67"/>
        <v>2.5219672982723602</v>
      </c>
      <c r="AT39" s="71" t="s">
        <v>180</v>
      </c>
      <c r="AU39" s="186"/>
      <c r="AV39" s="74">
        <f t="shared" si="72"/>
        <v>0.24783729960626899</v>
      </c>
      <c r="AW39" s="74">
        <f t="shared" si="68"/>
        <v>0.48077070632239599</v>
      </c>
      <c r="AX39" s="74">
        <f t="shared" si="68"/>
        <v>0.68274295428739495</v>
      </c>
      <c r="AY39" s="74">
        <f t="shared" si="68"/>
        <v>0.94778378023202903</v>
      </c>
      <c r="AZ39" s="74">
        <f t="shared" si="68"/>
        <v>1.30386970778742</v>
      </c>
      <c r="BA39" s="75">
        <f t="shared" si="68"/>
        <v>2.0154512834037699</v>
      </c>
    </row>
    <row r="40" spans="7:53" x14ac:dyDescent="0.55000000000000004">
      <c r="G40" s="107" t="s">
        <v>181</v>
      </c>
      <c r="H40" s="186"/>
      <c r="I40" s="74">
        <f t="shared" ref="I40:N40" si="78">(I38+I34)</f>
        <v>6.2459846677267743</v>
      </c>
      <c r="J40" s="74">
        <f t="shared" si="78"/>
        <v>12.680724838142082</v>
      </c>
      <c r="K40" s="74">
        <f t="shared" si="78"/>
        <v>18.549282697387454</v>
      </c>
      <c r="L40" s="74">
        <f t="shared" si="78"/>
        <v>33.054120258037273</v>
      </c>
      <c r="M40" s="74">
        <f t="shared" si="78"/>
        <v>47.430719878691278</v>
      </c>
      <c r="N40" s="101">
        <f t="shared" si="78"/>
        <v>61.92304126271992</v>
      </c>
      <c r="Q40" s="107" t="s">
        <v>181</v>
      </c>
      <c r="R40" s="186"/>
      <c r="S40" s="74">
        <f>(S38+S34)</f>
        <v>5.9116426832435653</v>
      </c>
      <c r="T40" s="74">
        <f t="shared" ref="T40:X40" si="79">(T38+T34)</f>
        <v>12.040861427565911</v>
      </c>
      <c r="U40" s="74">
        <f t="shared" si="79"/>
        <v>17.650999527966373</v>
      </c>
      <c r="V40" s="74">
        <f t="shared" si="79"/>
        <v>31.776788747399859</v>
      </c>
      <c r="W40" s="74">
        <f t="shared" si="79"/>
        <v>45.692523690824942</v>
      </c>
      <c r="X40" s="101">
        <f t="shared" si="79"/>
        <v>59.364390430084939</v>
      </c>
      <c r="AA40" s="107" t="s">
        <v>181</v>
      </c>
      <c r="AB40" s="186"/>
      <c r="AC40" s="74">
        <f>(AC38+AC34)</f>
        <v>5.7168059789226788</v>
      </c>
      <c r="AD40" s="74">
        <f t="shared" ref="AD40:AH40" si="80">(AD38+AD34)</f>
        <v>11.657488538152727</v>
      </c>
      <c r="AE40" s="74">
        <f t="shared" si="80"/>
        <v>17.100341731545083</v>
      </c>
      <c r="AF40" s="74">
        <f t="shared" si="80"/>
        <v>31.042486482239493</v>
      </c>
      <c r="AG40" s="74">
        <f t="shared" si="80"/>
        <v>44.670926605953191</v>
      </c>
      <c r="AH40" s="101">
        <f t="shared" si="80"/>
        <v>57.692786645038979</v>
      </c>
      <c r="AK40" s="71" t="s">
        <v>181</v>
      </c>
      <c r="AL40" s="186"/>
      <c r="AM40" s="74">
        <f t="shared" si="62"/>
        <v>0.33434198448320901</v>
      </c>
      <c r="AN40" s="74">
        <f t="shared" si="63"/>
        <v>0.63986341057617002</v>
      </c>
      <c r="AO40" s="74">
        <f t="shared" si="64"/>
        <v>0.898283169421081</v>
      </c>
      <c r="AP40" s="74">
        <f t="shared" si="65"/>
        <v>1.2773315106374099</v>
      </c>
      <c r="AQ40" s="74">
        <f t="shared" si="66"/>
        <v>1.7381961878663399</v>
      </c>
      <c r="AR40" s="75">
        <f t="shared" si="67"/>
        <v>2.5586508326349802</v>
      </c>
      <c r="AT40" s="71" t="s">
        <v>181</v>
      </c>
      <c r="AU40" s="186"/>
      <c r="AV40" s="74">
        <f t="shared" si="72"/>
        <v>0.19483670432088701</v>
      </c>
      <c r="AW40" s="74">
        <f t="shared" si="68"/>
        <v>0.38337288941318398</v>
      </c>
      <c r="AX40" s="74">
        <f t="shared" si="68"/>
        <v>0.55065779642129098</v>
      </c>
      <c r="AY40" s="74">
        <f t="shared" si="68"/>
        <v>0.73430226516036601</v>
      </c>
      <c r="AZ40" s="74">
        <f t="shared" si="68"/>
        <v>1.0215970848717499</v>
      </c>
      <c r="BA40" s="75">
        <f t="shared" si="68"/>
        <v>1.67160378504596</v>
      </c>
    </row>
    <row r="41" spans="7:53" x14ac:dyDescent="0.55000000000000004">
      <c r="G41" s="108" t="s">
        <v>183</v>
      </c>
      <c r="H41" s="186"/>
      <c r="I41" s="74">
        <f t="shared" ref="I41:N41" si="81">(2*PI()*I18*1000000000)/(299792458*I32)</f>
        <v>40.106868878520551</v>
      </c>
      <c r="J41" s="74">
        <f t="shared" si="81"/>
        <v>120.1452615283105</v>
      </c>
      <c r="K41" s="74">
        <f t="shared" si="81"/>
        <v>199.36229464847463</v>
      </c>
      <c r="L41" s="74">
        <f t="shared" si="81"/>
        <v>397.99419878634933</v>
      </c>
      <c r="M41" s="74">
        <f t="shared" si="81"/>
        <v>594.34738627443562</v>
      </c>
      <c r="N41" s="101">
        <f t="shared" si="81"/>
        <v>788.91921924024564</v>
      </c>
      <c r="Q41" s="108" t="s">
        <v>183</v>
      </c>
      <c r="R41" s="186"/>
      <c r="S41" s="74">
        <f>(2*PI()*S18*1000000000)/(299792458*S32)</f>
        <v>39.280180470666259</v>
      </c>
      <c r="T41" s="74">
        <f t="shared" ref="T41:X41" si="82">(2*PI()*T18*1000000000)/(299792458*T32)</f>
        <v>117.66272782460513</v>
      </c>
      <c r="U41" s="74">
        <f t="shared" si="82"/>
        <v>195.21233132511793</v>
      </c>
      <c r="V41" s="74">
        <f t="shared" si="82"/>
        <v>390.09157680715845</v>
      </c>
      <c r="W41" s="74">
        <f t="shared" si="82"/>
        <v>582.45671347478606</v>
      </c>
      <c r="X41" s="101">
        <f t="shared" si="82"/>
        <v>773.01559696674735</v>
      </c>
      <c r="AA41" s="108" t="s">
        <v>183</v>
      </c>
      <c r="AB41" s="186"/>
      <c r="AC41" s="74">
        <f>(2*PI()*AC18*1000000000)/(299792458*AC32)</f>
        <v>38.462408964865773</v>
      </c>
      <c r="AD41" s="74">
        <f t="shared" ref="AD41:AH41" si="83">(2*PI()*AD18*1000000000)/(299792458*AD32)</f>
        <v>115.20696033467635</v>
      </c>
      <c r="AE41" s="74">
        <f t="shared" si="83"/>
        <v>191.10705106404407</v>
      </c>
      <c r="AF41" s="74">
        <f t="shared" si="83"/>
        <v>382.2745489252319</v>
      </c>
      <c r="AG41" s="74">
        <f t="shared" si="83"/>
        <v>570.69476283435051</v>
      </c>
      <c r="AH41" s="101">
        <f t="shared" si="83"/>
        <v>757.28402175832809</v>
      </c>
      <c r="AK41" s="72" t="s">
        <v>183</v>
      </c>
      <c r="AL41" s="186"/>
      <c r="AM41" s="74">
        <f t="shared" si="62"/>
        <v>0.82668840785429198</v>
      </c>
      <c r="AN41" s="74">
        <f t="shared" si="63"/>
        <v>2.4825337037053701</v>
      </c>
      <c r="AO41" s="74">
        <f t="shared" si="64"/>
        <v>4.1499633233567002</v>
      </c>
      <c r="AP41" s="74">
        <f t="shared" si="65"/>
        <v>7.9026219791908803</v>
      </c>
      <c r="AQ41" s="74">
        <f t="shared" si="66"/>
        <v>11.8906727996496</v>
      </c>
      <c r="AR41" s="75">
        <f t="shared" si="67"/>
        <v>15.9036222734983</v>
      </c>
      <c r="AT41" s="72" t="s">
        <v>183</v>
      </c>
      <c r="AU41" s="186"/>
      <c r="AV41" s="74">
        <f t="shared" si="72"/>
        <v>0.81777150580048596</v>
      </c>
      <c r="AW41" s="74">
        <f t="shared" si="68"/>
        <v>2.4557674899287698</v>
      </c>
      <c r="AX41" s="74">
        <f t="shared" si="68"/>
        <v>4.1052802610738599</v>
      </c>
      <c r="AY41" s="74">
        <f t="shared" si="68"/>
        <v>7.81702788192655</v>
      </c>
      <c r="AZ41" s="74">
        <f t="shared" si="68"/>
        <v>11.761950640435501</v>
      </c>
      <c r="BA41" s="75">
        <f t="shared" si="68"/>
        <v>15.731575208419301</v>
      </c>
    </row>
    <row r="42" spans="7:53" x14ac:dyDescent="0.55000000000000004">
      <c r="G42" s="108" t="s">
        <v>184</v>
      </c>
      <c r="H42" s="186"/>
      <c r="I42" s="91" t="str">
        <f t="shared" ref="I42:N42" si="84">_xlfn.LET(
  _xlpm.decimal_digits, 3,
  _xlpm.result, COMPLEX(I39/(20*LOG10(EXP(1))),I41),
  COMPLEX(ROUND(IMREAL(_xlpm.result),_xlpm.decimal_digits), ROUND(IMAGINARY(_xlpm.result),_xlpm.decimal_digits))
)</f>
        <v>0.621+40.107i</v>
      </c>
      <c r="J42" s="92" t="str">
        <f t="shared" si="84"/>
        <v>1.279+120.145i</v>
      </c>
      <c r="K42" s="92" t="str">
        <f t="shared" si="84"/>
        <v>1.89+199.362i</v>
      </c>
      <c r="L42" s="92" t="str">
        <f t="shared" si="84"/>
        <v>3.416+397.994i</v>
      </c>
      <c r="M42" s="92" t="str">
        <f t="shared" si="84"/>
        <v>4.943+594.347i</v>
      </c>
      <c r="N42" s="109" t="str">
        <f t="shared" si="84"/>
        <v>6.497+788.919i</v>
      </c>
      <c r="Q42" s="108" t="s">
        <v>184</v>
      </c>
      <c r="R42" s="186"/>
      <c r="S42" s="91" t="str">
        <f>_xlfn.LET(
  _xlpm.decimal_digits, 3,
  _xlpm.result, COMPLEX(S39/(20*LOG10(EXP(1))),S41),
  COMPLEX(ROUND(IMREAL(_xlpm.result),_xlpm.decimal_digits), ROUND(IMAGINARY(_xlpm.result),_xlpm.decimal_digits))
)</f>
        <v>0.583+39.28i</v>
      </c>
      <c r="T42" s="92" t="str">
        <f t="shared" ref="T42" si="85">_xlfn.LET(
  _xlpm.decimal_digits, 3,
  _xlpm.result, COMPLEX(T39/(20*LOG10(EXP(1))),T41),
  COMPLEX(ROUND(IMREAL(_xlpm.result),_xlpm.decimal_digits), ROUND(IMAGINARY(_xlpm.result),_xlpm.decimal_digits))
)</f>
        <v>1.207+117.663i</v>
      </c>
      <c r="U42" s="92" t="str">
        <f t="shared" ref="U42" si="86">_xlfn.LET(
  _xlpm.decimal_digits, 3,
  _xlpm.result, COMPLEX(U39/(20*LOG10(EXP(1))),U41),
  COMPLEX(ROUND(IMREAL(_xlpm.result),_xlpm.decimal_digits), ROUND(IMAGINARY(_xlpm.result),_xlpm.decimal_digits))
)</f>
        <v>1.789+195.212i</v>
      </c>
      <c r="V42" s="92" t="str">
        <f t="shared" ref="V42" si="87">_xlfn.LET(
  _xlpm.decimal_digits, 3,
  _xlpm.result, COMPLEX(V39/(20*LOG10(EXP(1))),V41),
  COMPLEX(ROUND(IMREAL(_xlpm.result),_xlpm.decimal_digits), ROUND(IMAGINARY(_xlpm.result),_xlpm.decimal_digits))
)</f>
        <v>3.272+390.092i</v>
      </c>
      <c r="W42" s="92" t="str">
        <f t="shared" ref="W42" si="88">_xlfn.LET(
  _xlpm.decimal_digits, 3,
  _xlpm.result, COMPLEX(W39/(20*LOG10(EXP(1))),W41),
  COMPLEX(ROUND(IMREAL(_xlpm.result),_xlpm.decimal_digits), ROUND(IMAGINARY(_xlpm.result),_xlpm.decimal_digits))
)</f>
        <v>4.747+582.457i</v>
      </c>
      <c r="X42" s="109" t="str">
        <f t="shared" ref="X42" si="89">_xlfn.LET(
  _xlpm.decimal_digits, 3,
  _xlpm.result, COMPLEX(X39/(20*LOG10(EXP(1))),X41),
  COMPLEX(ROUND(IMREAL(_xlpm.result),_xlpm.decimal_digits), ROUND(IMAGINARY(_xlpm.result),_xlpm.decimal_digits))
)</f>
        <v>6.206+773.016i</v>
      </c>
      <c r="AA42" s="108" t="s">
        <v>184</v>
      </c>
      <c r="AB42" s="186"/>
      <c r="AC42" s="91" t="str">
        <f>_xlfn.LET(
  _xlpm.decimal_digits, 3,
  _xlpm.result, COMPLEX(AC39/(20*LOG10(EXP(1))),AC41),
  COMPLEX(ROUND(IMREAL(_xlpm.result),_xlpm.decimal_digits), ROUND(IMAGINARY(_xlpm.result),_xlpm.decimal_digits))
)</f>
        <v>0.555+38.462i</v>
      </c>
      <c r="AD42" s="92" t="str">
        <f t="shared" ref="AD42" si="90">_xlfn.LET(
  _xlpm.decimal_digits, 3,
  _xlpm.result, COMPLEX(AD39/(20*LOG10(EXP(1))),AD41),
  COMPLEX(ROUND(IMREAL(_xlpm.result),_xlpm.decimal_digits), ROUND(IMAGINARY(_xlpm.result),_xlpm.decimal_digits))
)</f>
        <v>1.152+115.207i</v>
      </c>
      <c r="AE42" s="92" t="str">
        <f t="shared" ref="AE42" si="91">_xlfn.LET(
  _xlpm.decimal_digits, 3,
  _xlpm.result, COMPLEX(AE39/(20*LOG10(EXP(1))),AE41),
  COMPLEX(ROUND(IMREAL(_xlpm.result),_xlpm.decimal_digits), ROUND(IMAGINARY(_xlpm.result),_xlpm.decimal_digits))
)</f>
        <v>1.71+191.107i</v>
      </c>
      <c r="AF42" s="92" t="str">
        <f t="shared" ref="AF42" si="92">_xlfn.LET(
  _xlpm.decimal_digits, 3,
  _xlpm.result, COMPLEX(AF39/(20*LOG10(EXP(1))),AF41),
  COMPLEX(ROUND(IMREAL(_xlpm.result),_xlpm.decimal_digits), ROUND(IMAGINARY(_xlpm.result),_xlpm.decimal_digits))
)</f>
        <v>3.163+382.275i</v>
      </c>
      <c r="AG42" s="92" t="str">
        <f t="shared" ref="AG42" si="93">_xlfn.LET(
  _xlpm.decimal_digits, 3,
  _xlpm.result, COMPLEX(AG39/(20*LOG10(EXP(1))),AG41),
  COMPLEX(ROUND(IMREAL(_xlpm.result),_xlpm.decimal_digits), ROUND(IMAGINARY(_xlpm.result),_xlpm.decimal_digits))
)</f>
        <v>4.597+570.695i</v>
      </c>
      <c r="AH42" s="109" t="str">
        <f t="shared" ref="AH42" si="94">_xlfn.LET(
  _xlpm.decimal_digits, 3,
  _xlpm.result, COMPLEX(AH39/(20*LOG10(EXP(1))),AH41),
  COMPLEX(ROUND(IMREAL(_xlpm.result),_xlpm.decimal_digits), ROUND(IMAGINARY(_xlpm.result),_xlpm.decimal_digits))
)</f>
        <v>5.974+757.284i</v>
      </c>
      <c r="AK42" s="72" t="s">
        <v>184</v>
      </c>
      <c r="AL42" s="186"/>
      <c r="AM42" s="74">
        <f>IMABS(IMDIV(IMSUB(I42,S42),1))</f>
        <v>0.82787257473598963</v>
      </c>
      <c r="AN42" s="92">
        <f t="shared" ref="AN42:AR43" si="95">IMABS(IMDIV(IMSUB(J42,T42),1))</f>
        <v>2.4830440994875627</v>
      </c>
      <c r="AO42" s="92">
        <f t="shared" si="95"/>
        <v>4.1512288542069173</v>
      </c>
      <c r="AP42" s="92">
        <f t="shared" si="95"/>
        <v>7.9033119639807108</v>
      </c>
      <c r="AQ42" s="92">
        <f t="shared" si="95"/>
        <v>11.891615365458135</v>
      </c>
      <c r="AR42" s="90">
        <f t="shared" si="95"/>
        <v>15.905662199355296</v>
      </c>
      <c r="AT42" s="72" t="s">
        <v>184</v>
      </c>
      <c r="AU42" s="186"/>
      <c r="AV42" s="92">
        <f t="shared" si="72"/>
        <v>0.81847907731352343</v>
      </c>
      <c r="AW42" s="92">
        <f t="shared" si="68"/>
        <v>2.4566157615711903</v>
      </c>
      <c r="AX42" s="92">
        <f t="shared" si="68"/>
        <v>4.1057601001519703</v>
      </c>
      <c r="AY42" s="92">
        <f t="shared" si="68"/>
        <v>7.8177599093346517</v>
      </c>
      <c r="AZ42" s="92">
        <f t="shared" si="68"/>
        <v>11.762956431101735</v>
      </c>
      <c r="BA42" s="90">
        <f t="shared" si="68"/>
        <v>15.733710560449495</v>
      </c>
    </row>
    <row r="43" spans="7:53" x14ac:dyDescent="0.55000000000000004">
      <c r="G43" s="110" t="s">
        <v>185</v>
      </c>
      <c r="H43" s="188"/>
      <c r="I43" s="82" t="str">
        <f t="shared" ref="I43:N43" si="96">_xlfn.LET(
  _xlpm.decimal_digits, 3,
  _xlpm.result, COMPLEX(I40/(20*LOG10(EXP(1))),I41),
  COMPLEX(ROUND(IMREAL(_xlpm.result),_xlpm.decimal_digits), ROUND(IMAGINARY(_xlpm.result),_xlpm.decimal_digits))
)</f>
        <v>0.719+40.107i</v>
      </c>
      <c r="J43" s="82" t="str">
        <f t="shared" si="96"/>
        <v>1.46+120.145i</v>
      </c>
      <c r="K43" s="82" t="str">
        <f t="shared" si="96"/>
        <v>2.136+199.362i</v>
      </c>
      <c r="L43" s="82" t="str">
        <f t="shared" si="96"/>
        <v>3.805+397.994i</v>
      </c>
      <c r="M43" s="82" t="str">
        <f t="shared" si="96"/>
        <v>5.461+594.347i</v>
      </c>
      <c r="N43" s="111" t="str">
        <f t="shared" si="96"/>
        <v>7.129+788.919i</v>
      </c>
      <c r="Q43" s="110" t="s">
        <v>185</v>
      </c>
      <c r="R43" s="188"/>
      <c r="S43" s="82" t="str">
        <f>_xlfn.LET(
  _xlpm.decimal_digits, 3,
  _xlpm.result, COMPLEX(S40/(20*LOG10(EXP(1))),S41),
  COMPLEX(ROUND(IMREAL(_xlpm.result),_xlpm.decimal_digits), ROUND(IMAGINARY(_xlpm.result),_xlpm.decimal_digits))
)</f>
        <v>0.681+39.28i</v>
      </c>
      <c r="T43" s="82" t="str">
        <f t="shared" ref="T43:X43" si="97">_xlfn.LET(
  _xlpm.decimal_digits, 3,
  _xlpm.result, COMPLEX(T40/(20*LOG10(EXP(1))),T41),
  COMPLEX(ROUND(IMREAL(_xlpm.result),_xlpm.decimal_digits), ROUND(IMAGINARY(_xlpm.result),_xlpm.decimal_digits))
)</f>
        <v>1.386+117.663i</v>
      </c>
      <c r="U43" s="82" t="str">
        <f t="shared" si="97"/>
        <v>2.032+195.212i</v>
      </c>
      <c r="V43" s="82" t="str">
        <f t="shared" si="97"/>
        <v>3.658+390.092i</v>
      </c>
      <c r="W43" s="82" t="str">
        <f t="shared" si="97"/>
        <v>5.261+582.457i</v>
      </c>
      <c r="X43" s="111" t="str">
        <f t="shared" si="97"/>
        <v>6.835+773.016i</v>
      </c>
      <c r="AA43" s="110" t="s">
        <v>185</v>
      </c>
      <c r="AB43" s="188"/>
      <c r="AC43" s="82" t="str">
        <f>_xlfn.LET(
  _xlpm.decimal_digits, 3,
  _xlpm.result, COMPLEX(AC40/(20*LOG10(EXP(1))),AC41),
  COMPLEX(ROUND(IMREAL(_xlpm.result),_xlpm.decimal_digits), ROUND(IMAGINARY(_xlpm.result),_xlpm.decimal_digits))
)</f>
        <v>0.658+38.462i</v>
      </c>
      <c r="AD43" s="82" t="str">
        <f t="shared" ref="AD43:AH43" si="98">_xlfn.LET(
  _xlpm.decimal_digits, 3,
  _xlpm.result, COMPLEX(AD40/(20*LOG10(EXP(1))),AD41),
  COMPLEX(ROUND(IMREAL(_xlpm.result),_xlpm.decimal_digits), ROUND(IMAGINARY(_xlpm.result),_xlpm.decimal_digits))
)</f>
        <v>1.342+115.207i</v>
      </c>
      <c r="AE43" s="82" t="str">
        <f t="shared" si="98"/>
        <v>1.969+191.107i</v>
      </c>
      <c r="AF43" s="82" t="str">
        <f t="shared" si="98"/>
        <v>3.574+382.275i</v>
      </c>
      <c r="AG43" s="82" t="str">
        <f t="shared" si="98"/>
        <v>5.143+570.695i</v>
      </c>
      <c r="AH43" s="111" t="str">
        <f t="shared" si="98"/>
        <v>6.642+757.284i</v>
      </c>
      <c r="AK43" s="95" t="s">
        <v>185</v>
      </c>
      <c r="AL43" s="188"/>
      <c r="AM43" s="74">
        <f>IMABS(IMDIV(IMSUB(I43,S43),1))</f>
        <v>0.82787257473598963</v>
      </c>
      <c r="AN43" s="82">
        <f t="shared" si="95"/>
        <v>2.4831028975860026</v>
      </c>
      <c r="AO43" s="82">
        <f t="shared" si="95"/>
        <v>4.1513029279974356</v>
      </c>
      <c r="AP43" s="82">
        <f t="shared" si="95"/>
        <v>7.9033671937978838</v>
      </c>
      <c r="AQ43" s="82">
        <f t="shared" si="95"/>
        <v>11.891681966820338</v>
      </c>
      <c r="AR43" s="83">
        <f t="shared" si="95"/>
        <v>15.90571736829245</v>
      </c>
      <c r="AT43" s="95" t="s">
        <v>185</v>
      </c>
      <c r="AU43" s="188"/>
      <c r="AV43" s="82">
        <f t="shared" si="72"/>
        <v>0.81832328574958479</v>
      </c>
      <c r="AW43" s="82">
        <f t="shared" si="68"/>
        <v>2.4563941051875204</v>
      </c>
      <c r="AX43" s="82">
        <f t="shared" si="68"/>
        <v>4.1054834063724961</v>
      </c>
      <c r="AY43" s="82">
        <f t="shared" si="68"/>
        <v>7.8174513110092443</v>
      </c>
      <c r="AZ43" s="82">
        <f t="shared" si="68"/>
        <v>11.762591891245638</v>
      </c>
      <c r="BA43" s="83">
        <f t="shared" si="68"/>
        <v>15.733183816379949</v>
      </c>
    </row>
    <row r="44" spans="7:53" x14ac:dyDescent="0.55000000000000004">
      <c r="G44" s="190" t="str">
        <f>_xlfn.CONCAT("RLGC Parameters at Temp = ",$R$19,"°C (dB/m)")</f>
        <v>RLGC Parameters at Temp = 25°C (dB/m)</v>
      </c>
      <c r="H44" s="191"/>
      <c r="I44" s="191"/>
      <c r="J44" s="191"/>
      <c r="K44" s="191"/>
      <c r="L44" s="191"/>
      <c r="M44" s="191"/>
      <c r="N44" s="192"/>
      <c r="Q44" s="190" t="str">
        <f>_xlfn.CONCAT("RLGC Parameters at Temp = ",$R$19,"°C (dB/m)")</f>
        <v>RLGC Parameters at Temp = 25°C (dB/m)</v>
      </c>
      <c r="R44" s="191"/>
      <c r="S44" s="191"/>
      <c r="T44" s="191"/>
      <c r="U44" s="191"/>
      <c r="V44" s="191"/>
      <c r="W44" s="191"/>
      <c r="X44" s="192"/>
      <c r="AA44" s="190" t="str">
        <f>_xlfn.CONCAT("RLGC Parameters at Temp = ",$R$19,"°C (dB/m)")</f>
        <v>RLGC Parameters at Temp = 25°C (dB/m)</v>
      </c>
      <c r="AB44" s="191"/>
      <c r="AC44" s="191"/>
      <c r="AD44" s="191"/>
      <c r="AE44" s="191"/>
      <c r="AF44" s="191"/>
      <c r="AG44" s="191"/>
      <c r="AH44" s="192"/>
      <c r="AK44" s="193" t="str">
        <f>_xlfn.CONCAT("RLGC Parameters at Temp = ",$R$19,"°C (dB/m)")</f>
        <v>RLGC Parameters at Temp = 25°C (dB/m)</v>
      </c>
      <c r="AL44" s="191"/>
      <c r="AM44" s="191"/>
      <c r="AN44" s="191"/>
      <c r="AO44" s="191"/>
      <c r="AP44" s="191"/>
      <c r="AQ44" s="191"/>
      <c r="AR44" s="194"/>
      <c r="AT44" s="193" t="str">
        <f>_xlfn.CONCAT("RLGC Parameters at Temp = ",$R$19,"°C (dB/m)")</f>
        <v>RLGC Parameters at Temp = 25°C (dB/m)</v>
      </c>
      <c r="AU44" s="191"/>
      <c r="AV44" s="191"/>
      <c r="AW44" s="191"/>
      <c r="AX44" s="191"/>
      <c r="AY44" s="191"/>
      <c r="AZ44" s="191"/>
      <c r="BA44" s="194"/>
    </row>
    <row r="45" spans="7:53" x14ac:dyDescent="0.55000000000000004">
      <c r="G45" s="108" t="s">
        <v>186</v>
      </c>
      <c r="H45" s="185">
        <f>H19</f>
        <v>25</v>
      </c>
      <c r="I45" s="98">
        <f t="shared" ref="I45:N46" si="99">IMREAL(IMPRODUCT(I42,I24))</f>
        <v>40.735281000000001</v>
      </c>
      <c r="J45" s="98">
        <f t="shared" si="99"/>
        <v>90.390839999999997</v>
      </c>
      <c r="K45" s="98">
        <f t="shared" si="99"/>
        <v>140.25598199999999</v>
      </c>
      <c r="L45" s="98">
        <f t="shared" si="99"/>
        <v>270.24222400000002</v>
      </c>
      <c r="M45" s="98">
        <f t="shared" si="99"/>
        <v>405.998986</v>
      </c>
      <c r="N45" s="112">
        <f t="shared" si="99"/>
        <v>550.33803599999999</v>
      </c>
      <c r="O45" s="20"/>
      <c r="Q45" s="108" t="s">
        <v>186</v>
      </c>
      <c r="R45" s="185">
        <f>R19</f>
        <v>25</v>
      </c>
      <c r="S45" s="98">
        <f t="shared" ref="S45:S46" si="100">IMREAL(IMPRODUCT(S42,S24))</f>
        <v>44.246777000000002</v>
      </c>
      <c r="T45" s="98">
        <f t="shared" ref="T45:X45" si="101">IMREAL(IMPRODUCT(T42,T24))</f>
        <v>98.832892000000001</v>
      </c>
      <c r="U45" s="98">
        <f t="shared" si="101"/>
        <v>154.07983400000001</v>
      </c>
      <c r="V45" s="98">
        <f t="shared" si="101"/>
        <v>300.59029600000002</v>
      </c>
      <c r="W45" s="98">
        <f t="shared" si="101"/>
        <v>453.50134700000001</v>
      </c>
      <c r="X45" s="112">
        <f t="shared" si="101"/>
        <v>609.22872800000005</v>
      </c>
      <c r="Y45" s="20"/>
      <c r="AA45" s="108" t="s">
        <v>186</v>
      </c>
      <c r="AB45" s="185">
        <f>AB19</f>
        <v>25</v>
      </c>
      <c r="AC45" s="98">
        <f t="shared" ref="AC45:AH45" si="102">IMREAL(IMPRODUCT(AC42,AC24))</f>
        <v>47.915357</v>
      </c>
      <c r="AD45" s="98">
        <f t="shared" si="102"/>
        <v>107.44155600000001</v>
      </c>
      <c r="AE45" s="98">
        <f t="shared" si="102"/>
        <v>167.80425099999999</v>
      </c>
      <c r="AF45" s="98">
        <f t="shared" si="102"/>
        <v>332.06043599999998</v>
      </c>
      <c r="AG45" s="98">
        <f t="shared" si="102"/>
        <v>501.30513500000001</v>
      </c>
      <c r="AH45" s="112">
        <f t="shared" si="102"/>
        <v>667.90054199999997</v>
      </c>
      <c r="AI45" s="20"/>
      <c r="AK45" s="72" t="s">
        <v>186</v>
      </c>
      <c r="AL45" s="185">
        <f>AL19</f>
        <v>25</v>
      </c>
      <c r="AM45" s="141">
        <f>IMABS(IMDIV(I45-S45,1))</f>
        <v>3.5114960000000002</v>
      </c>
      <c r="AN45" s="98">
        <f t="shared" ref="AN45:AR60" si="103">IMABS(IMDIV(J45-T45,1))</f>
        <v>8.4420520000000003</v>
      </c>
      <c r="AO45" s="98">
        <f t="shared" si="103"/>
        <v>13.823852</v>
      </c>
      <c r="AP45" s="98">
        <f t="shared" si="103"/>
        <v>30.348071999999998</v>
      </c>
      <c r="AQ45" s="98">
        <f t="shared" si="103"/>
        <v>47.502361000000001</v>
      </c>
      <c r="AR45" s="112">
        <f t="shared" si="103"/>
        <v>58.890692000000101</v>
      </c>
      <c r="AT45" s="72" t="s">
        <v>186</v>
      </c>
      <c r="AU45" s="185">
        <f>AU19</f>
        <v>25</v>
      </c>
      <c r="AV45" s="141">
        <f>IMABS(IMDIV(IMSUB(S45,AC45),1))</f>
        <v>3.66858</v>
      </c>
      <c r="AW45" s="141">
        <f t="shared" ref="AW45:BA60" si="104">IMABS(IMDIV(IMSUB(T45,AD45),1))</f>
        <v>8.6086639999999992</v>
      </c>
      <c r="AX45" s="141">
        <f t="shared" si="104"/>
        <v>13.724417000000001</v>
      </c>
      <c r="AY45" s="141">
        <f t="shared" si="104"/>
        <v>31.470140000000001</v>
      </c>
      <c r="AZ45" s="141">
        <f t="shared" si="104"/>
        <v>47.803787999999997</v>
      </c>
      <c r="BA45" s="112">
        <f>IMABS(IMDIV(IMSUB(X45,AH45),1))</f>
        <v>58.671813999999898</v>
      </c>
    </row>
    <row r="46" spans="7:53" x14ac:dyDescent="0.55000000000000004">
      <c r="G46" s="108" t="s">
        <v>187</v>
      </c>
      <c r="H46" s="186"/>
      <c r="I46" s="93">
        <f t="shared" si="99"/>
        <v>33.554749000000001</v>
      </c>
      <c r="J46" s="93">
        <f t="shared" si="99"/>
        <v>72.842775000000003</v>
      </c>
      <c r="K46" s="93">
        <f t="shared" si="99"/>
        <v>111.55569</v>
      </c>
      <c r="L46" s="93">
        <f t="shared" si="99"/>
        <v>211.348996</v>
      </c>
      <c r="M46" s="93">
        <f t="shared" si="99"/>
        <v>314.64675999999997</v>
      </c>
      <c r="N46" s="113">
        <f t="shared" si="99"/>
        <v>423.47062399999999</v>
      </c>
      <c r="O46" s="20"/>
      <c r="Q46" s="108" t="s">
        <v>187</v>
      </c>
      <c r="R46" s="186"/>
      <c r="S46" s="93">
        <f t="shared" si="100"/>
        <v>36.457324999999997</v>
      </c>
      <c r="T46" s="93">
        <f t="shared" ref="T46:X46" si="105">IMREAL(IMPRODUCT(T43,T25))</f>
        <v>79.59966</v>
      </c>
      <c r="U46" s="93">
        <f t="shared" si="105"/>
        <v>122.425528</v>
      </c>
      <c r="V46" s="93">
        <f t="shared" si="105"/>
        <v>234.99624800000001</v>
      </c>
      <c r="W46" s="93">
        <f t="shared" si="105"/>
        <v>351.37798099999998</v>
      </c>
      <c r="X46" s="113">
        <f t="shared" si="105"/>
        <v>469.43102099999999</v>
      </c>
      <c r="Y46" s="20"/>
      <c r="AA46" s="108" t="s">
        <v>187</v>
      </c>
      <c r="AB46" s="186"/>
      <c r="AC46" s="93">
        <f t="shared" ref="AC46:AH46" si="106">IMREAL(IMPRODUCT(AC43,AC25))</f>
        <v>40.134914000000002</v>
      </c>
      <c r="AD46" s="93">
        <f t="shared" si="106"/>
        <v>87.877369999999999</v>
      </c>
      <c r="AE46" s="93">
        <f t="shared" si="106"/>
        <v>135.369497</v>
      </c>
      <c r="AF46" s="93">
        <f t="shared" si="106"/>
        <v>262.118582</v>
      </c>
      <c r="AG46" s="93">
        <f t="shared" si="106"/>
        <v>392.10147499999999</v>
      </c>
      <c r="AH46" s="113">
        <f t="shared" si="106"/>
        <v>519.85032000000001</v>
      </c>
      <c r="AI46" s="20"/>
      <c r="AK46" s="72" t="s">
        <v>187</v>
      </c>
      <c r="AL46" s="186"/>
      <c r="AM46" s="93">
        <f t="shared" ref="AM46:AM68" si="107">IMABS(IMDIV(I46-S46,1))</f>
        <v>2.9025759999999998</v>
      </c>
      <c r="AN46" s="93">
        <f t="shared" si="103"/>
        <v>6.7568849999999996</v>
      </c>
      <c r="AO46" s="93">
        <f t="shared" si="103"/>
        <v>10.869838</v>
      </c>
      <c r="AP46" s="93">
        <f t="shared" si="103"/>
        <v>23.647252000000002</v>
      </c>
      <c r="AQ46" s="93">
        <f t="shared" si="103"/>
        <v>36.731220999999998</v>
      </c>
      <c r="AR46" s="113">
        <f t="shared" si="103"/>
        <v>45.960397</v>
      </c>
      <c r="AT46" s="72" t="s">
        <v>187</v>
      </c>
      <c r="AU46" s="186"/>
      <c r="AV46" s="93">
        <f t="shared" ref="AV46:AV68" si="108">IMABS(IMDIV(IMSUB(S46,AC46),1))</f>
        <v>3.6775890000000002</v>
      </c>
      <c r="AW46" s="93">
        <f t="shared" si="104"/>
        <v>8.2777100000000008</v>
      </c>
      <c r="AX46" s="93">
        <f t="shared" si="104"/>
        <v>12.943968999999999</v>
      </c>
      <c r="AY46" s="93">
        <f t="shared" si="104"/>
        <v>27.122333999999999</v>
      </c>
      <c r="AZ46" s="93">
        <f t="shared" si="104"/>
        <v>40.723494000000002</v>
      </c>
      <c r="BA46" s="113">
        <f t="shared" si="104"/>
        <v>50.419299000000002</v>
      </c>
    </row>
    <row r="47" spans="7:53" x14ac:dyDescent="0.55000000000000004">
      <c r="G47" s="108" t="s">
        <v>188</v>
      </c>
      <c r="H47" s="186"/>
      <c r="I47" s="93">
        <f t="shared" ref="I47:N48" si="109">IMAGINARY(IMPRODUCT(I42,I24))/(2*PI()*S$18)</f>
        <v>356.45002136748002</v>
      </c>
      <c r="J47" s="93">
        <f t="shared" si="109"/>
        <v>356.44915720919067</v>
      </c>
      <c r="K47" s="93">
        <f t="shared" si="109"/>
        <v>356.45102051038174</v>
      </c>
      <c r="L47" s="93">
        <f t="shared" si="109"/>
        <v>356.45045815230588</v>
      </c>
      <c r="M47" s="93">
        <f t="shared" si="109"/>
        <v>356.44777474691364</v>
      </c>
      <c r="N47" s="113">
        <f t="shared" si="109"/>
        <v>356.44141054393197</v>
      </c>
      <c r="O47" s="20"/>
      <c r="Q47" s="108" t="s">
        <v>188</v>
      </c>
      <c r="R47" s="186"/>
      <c r="S47" s="93">
        <f t="shared" ref="S47:X48" si="110">IMAGINARY(IMPRODUCT(S42,S24))/(2*PI()*S$18)</f>
        <v>401.58087620252348</v>
      </c>
      <c r="T47" s="93">
        <f t="shared" si="110"/>
        <v>401.58768405521425</v>
      </c>
      <c r="U47" s="93">
        <f t="shared" si="110"/>
        <v>401.58609081874096</v>
      </c>
      <c r="V47" s="93">
        <f t="shared" si="110"/>
        <v>401.58540247361208</v>
      </c>
      <c r="W47" s="93">
        <f t="shared" si="110"/>
        <v>401.58016378255695</v>
      </c>
      <c r="X47" s="113">
        <f t="shared" si="110"/>
        <v>401.57926030238627</v>
      </c>
      <c r="Y47" s="20"/>
      <c r="AA47" s="108" t="s">
        <v>188</v>
      </c>
      <c r="AB47" s="186"/>
      <c r="AC47" s="93">
        <f t="shared" ref="AC47:AH48" si="111">IMAGINARY(IMPRODUCT(AC42,AC24))/(2*PI()*S$18)</f>
        <v>445.32192593504652</v>
      </c>
      <c r="AD47" s="93">
        <f t="shared" si="111"/>
        <v>445.32655702558054</v>
      </c>
      <c r="AE47" s="93">
        <f t="shared" si="111"/>
        <v>445.3273411183232</v>
      </c>
      <c r="AF47" s="93">
        <f t="shared" si="111"/>
        <v>445.32430507862881</v>
      </c>
      <c r="AG47" s="93">
        <f t="shared" si="111"/>
        <v>445.32029515922727</v>
      </c>
      <c r="AH47" s="113">
        <f t="shared" si="111"/>
        <v>445.32145205120344</v>
      </c>
      <c r="AI47" s="20"/>
      <c r="AK47" s="72" t="s">
        <v>188</v>
      </c>
      <c r="AL47" s="186"/>
      <c r="AM47" s="93">
        <f t="shared" si="107"/>
        <v>45.1308548350435</v>
      </c>
      <c r="AN47" s="93">
        <f t="shared" si="103"/>
        <v>45.138526846023602</v>
      </c>
      <c r="AO47" s="93">
        <f t="shared" si="103"/>
        <v>45.135070308359197</v>
      </c>
      <c r="AP47" s="93">
        <f t="shared" si="103"/>
        <v>45.1349443213062</v>
      </c>
      <c r="AQ47" s="93">
        <f t="shared" si="103"/>
        <v>45.1323890356433</v>
      </c>
      <c r="AR47" s="113">
        <f t="shared" si="103"/>
        <v>45.137849758454301</v>
      </c>
      <c r="AT47" s="72" t="s">
        <v>188</v>
      </c>
      <c r="AU47" s="186"/>
      <c r="AV47" s="93">
        <f t="shared" si="108"/>
        <v>43.741049732523003</v>
      </c>
      <c r="AW47" s="93">
        <f t="shared" si="104"/>
        <v>43.738872970366302</v>
      </c>
      <c r="AX47" s="93">
        <f t="shared" si="104"/>
        <v>43.741250299582198</v>
      </c>
      <c r="AY47" s="93">
        <f t="shared" si="104"/>
        <v>43.738902605016698</v>
      </c>
      <c r="AZ47" s="93">
        <f t="shared" si="104"/>
        <v>43.740131376670298</v>
      </c>
      <c r="BA47" s="113">
        <f t="shared" si="104"/>
        <v>43.742191748817199</v>
      </c>
    </row>
    <row r="48" spans="7:53" x14ac:dyDescent="0.55000000000000004">
      <c r="G48" s="108" t="s">
        <v>189</v>
      </c>
      <c r="H48" s="186"/>
      <c r="I48" s="93">
        <f t="shared" si="109"/>
        <v>259.78510694803964</v>
      </c>
      <c r="J48" s="93">
        <f t="shared" si="109"/>
        <v>259.7784197347957</v>
      </c>
      <c r="K48" s="93">
        <f t="shared" si="109"/>
        <v>259.74807016038761</v>
      </c>
      <c r="L48" s="93">
        <f t="shared" si="109"/>
        <v>259.73470892784468</v>
      </c>
      <c r="M48" s="93">
        <f t="shared" si="109"/>
        <v>259.70020717604177</v>
      </c>
      <c r="N48" s="113">
        <f t="shared" si="109"/>
        <v>259.66840841629931</v>
      </c>
      <c r="O48" s="20"/>
      <c r="Q48" s="108" t="s">
        <v>189</v>
      </c>
      <c r="R48" s="186"/>
      <c r="S48" s="93">
        <f t="shared" si="110"/>
        <v>289.59210751286429</v>
      </c>
      <c r="T48" s="93">
        <f t="shared" si="110"/>
        <v>289.59805354153821</v>
      </c>
      <c r="U48" s="93">
        <f t="shared" si="110"/>
        <v>289.59697017384059</v>
      </c>
      <c r="V48" s="93">
        <f t="shared" si="110"/>
        <v>289.59241168979156</v>
      </c>
      <c r="W48" s="93">
        <f t="shared" si="110"/>
        <v>289.59377728164463</v>
      </c>
      <c r="X48" s="113">
        <f t="shared" si="110"/>
        <v>289.59447318398065</v>
      </c>
      <c r="Y48" s="20"/>
      <c r="AA48" s="108" t="s">
        <v>189</v>
      </c>
      <c r="AB48" s="186"/>
      <c r="AC48" s="93">
        <f t="shared" si="111"/>
        <v>322.55322020889651</v>
      </c>
      <c r="AD48" s="93">
        <f t="shared" si="111"/>
        <v>322.55832701355547</v>
      </c>
      <c r="AE48" s="93">
        <f t="shared" si="111"/>
        <v>322.55970230324971</v>
      </c>
      <c r="AF48" s="93">
        <f t="shared" si="111"/>
        <v>322.55577225840898</v>
      </c>
      <c r="AG48" s="93">
        <f t="shared" si="111"/>
        <v>322.55251185268611</v>
      </c>
      <c r="AH48" s="113">
        <f t="shared" si="111"/>
        <v>322.550904424897</v>
      </c>
      <c r="AI48" s="20"/>
      <c r="AK48" s="72" t="s">
        <v>189</v>
      </c>
      <c r="AL48" s="186"/>
      <c r="AM48" s="93">
        <f t="shared" si="107"/>
        <v>29.807000564824602</v>
      </c>
      <c r="AN48" s="93">
        <f t="shared" si="103"/>
        <v>29.819633806742502</v>
      </c>
      <c r="AO48" s="93">
        <f t="shared" si="103"/>
        <v>29.848900013453001</v>
      </c>
      <c r="AP48" s="93">
        <f t="shared" si="103"/>
        <v>29.8577027619469</v>
      </c>
      <c r="AQ48" s="93">
        <f t="shared" si="103"/>
        <v>29.893570105602901</v>
      </c>
      <c r="AR48" s="113">
        <f t="shared" si="103"/>
        <v>29.9260647676813</v>
      </c>
      <c r="AT48" s="72" t="s">
        <v>189</v>
      </c>
      <c r="AU48" s="186"/>
      <c r="AV48" s="93">
        <f t="shared" si="108"/>
        <v>32.961112696032203</v>
      </c>
      <c r="AW48" s="93">
        <f t="shared" si="104"/>
        <v>32.960273472017299</v>
      </c>
      <c r="AX48" s="93">
        <f t="shared" si="104"/>
        <v>32.962732129409098</v>
      </c>
      <c r="AY48" s="93">
        <f t="shared" si="104"/>
        <v>32.963360568617396</v>
      </c>
      <c r="AZ48" s="93">
        <f t="shared" si="104"/>
        <v>32.958734571041497</v>
      </c>
      <c r="BA48" s="113">
        <f t="shared" si="104"/>
        <v>32.956431240916302</v>
      </c>
    </row>
    <row r="49" spans="7:53" x14ac:dyDescent="0.55000000000000004">
      <c r="G49" s="114" t="s">
        <v>190</v>
      </c>
      <c r="H49" s="186"/>
      <c r="I49" s="97">
        <f t="shared" ref="I49:N50" si="112">IMREAL(IMDIV(I42,I24))</f>
        <v>9.1782194568300994E-3</v>
      </c>
      <c r="J49" s="97">
        <f t="shared" si="112"/>
        <v>1.6838726251567199E-2</v>
      </c>
      <c r="K49" s="97">
        <f t="shared" si="112"/>
        <v>2.2842093185821599E-2</v>
      </c>
      <c r="L49" s="97">
        <f t="shared" si="112"/>
        <v>3.6069364220549099E-2</v>
      </c>
      <c r="M49" s="97">
        <f t="shared" si="112"/>
        <v>4.7825157259130703E-2</v>
      </c>
      <c r="N49" s="115">
        <f t="shared" si="112"/>
        <v>5.8141210419157499E-2</v>
      </c>
      <c r="O49" s="20"/>
      <c r="Q49" s="114" t="s">
        <v>190</v>
      </c>
      <c r="R49" s="186"/>
      <c r="S49" s="97">
        <f t="shared" ref="S49:S50" si="113">IMREAL(IMDIV(S42,S24))</f>
        <v>7.4287088064190496E-3</v>
      </c>
      <c r="T49" s="97">
        <f t="shared" ref="T49:X49" si="114">IMREAL(IMDIV(T42,T24))</f>
        <v>1.3643904431994701E-2</v>
      </c>
      <c r="U49" s="97">
        <f t="shared" si="114"/>
        <v>1.8473762836937802E-2</v>
      </c>
      <c r="V49" s="97">
        <f t="shared" si="114"/>
        <v>2.9326587769264199E-2</v>
      </c>
      <c r="W49" s="97">
        <f t="shared" si="114"/>
        <v>3.8704359041652099E-2</v>
      </c>
      <c r="X49" s="115">
        <f t="shared" si="114"/>
        <v>4.7178076238381203E-2</v>
      </c>
      <c r="Y49" s="20"/>
      <c r="AA49" s="114" t="s">
        <v>190</v>
      </c>
      <c r="AB49" s="186"/>
      <c r="AC49" s="97">
        <f t="shared" ref="AC49:AH49" si="115">IMREAL(IMDIV(AC42,AC24))</f>
        <v>6.2043881215479001E-3</v>
      </c>
      <c r="AD49" s="97">
        <f t="shared" si="115"/>
        <v>1.13834576190805E-2</v>
      </c>
      <c r="AE49" s="97">
        <f t="shared" si="115"/>
        <v>1.5406077849272899E-2</v>
      </c>
      <c r="AF49" s="97">
        <f t="shared" si="115"/>
        <v>2.4446988549149899E-2</v>
      </c>
      <c r="AG49" s="97">
        <f t="shared" si="115"/>
        <v>3.2329312180045901E-2</v>
      </c>
      <c r="AH49" s="115">
        <f t="shared" si="115"/>
        <v>3.9377172741596397E-2</v>
      </c>
      <c r="AI49" s="20"/>
      <c r="AK49" s="96" t="s">
        <v>190</v>
      </c>
      <c r="AL49" s="186"/>
      <c r="AM49" s="97">
        <f t="shared" si="107"/>
        <v>1.74951065041105E-3</v>
      </c>
      <c r="AN49" s="97">
        <f t="shared" si="103"/>
        <v>3.1948218195725002E-3</v>
      </c>
      <c r="AO49" s="97">
        <f t="shared" si="103"/>
        <v>4.3683303488837996E-3</v>
      </c>
      <c r="AP49" s="97">
        <f t="shared" si="103"/>
        <v>6.7427764512848999E-3</v>
      </c>
      <c r="AQ49" s="97">
        <f t="shared" si="103"/>
        <v>9.1207982174786005E-3</v>
      </c>
      <c r="AR49" s="115">
        <f t="shared" si="103"/>
        <v>1.09631341807763E-2</v>
      </c>
      <c r="AT49" s="96" t="s">
        <v>190</v>
      </c>
      <c r="AU49" s="186"/>
      <c r="AV49" s="97">
        <f t="shared" si="108"/>
        <v>1.2243206848711499E-3</v>
      </c>
      <c r="AW49" s="97">
        <f t="shared" si="104"/>
        <v>2.2604468129142001E-3</v>
      </c>
      <c r="AX49" s="97">
        <f t="shared" si="104"/>
        <v>3.0676849876649002E-3</v>
      </c>
      <c r="AY49" s="97">
        <f t="shared" si="104"/>
        <v>4.8795992201143001E-3</v>
      </c>
      <c r="AZ49" s="97">
        <f t="shared" si="104"/>
        <v>6.3750468616062001E-3</v>
      </c>
      <c r="BA49" s="115">
        <f t="shared" si="104"/>
        <v>7.80090349678481E-3</v>
      </c>
    </row>
    <row r="50" spans="7:53" x14ac:dyDescent="0.55000000000000004">
      <c r="G50" s="108" t="s">
        <v>191</v>
      </c>
      <c r="H50" s="186"/>
      <c r="I50" s="97">
        <f t="shared" si="112"/>
        <v>1.5075055331267601E-2</v>
      </c>
      <c r="J50" s="97">
        <f t="shared" si="112"/>
        <v>2.7793063919742698E-2</v>
      </c>
      <c r="K50" s="97">
        <f t="shared" si="112"/>
        <v>3.7785220207350798E-2</v>
      </c>
      <c r="L50" s="97">
        <f t="shared" si="112"/>
        <v>5.9890564271698803E-2</v>
      </c>
      <c r="M50" s="97">
        <f t="shared" si="112"/>
        <v>7.9686911734827906E-2</v>
      </c>
      <c r="N50" s="115">
        <f t="shared" si="112"/>
        <v>9.7189002638408906E-2</v>
      </c>
      <c r="O50" s="20"/>
      <c r="Q50" s="108" t="s">
        <v>191</v>
      </c>
      <c r="R50" s="186"/>
      <c r="S50" s="97">
        <f t="shared" si="113"/>
        <v>1.2412423688721599E-2</v>
      </c>
      <c r="T50" s="97">
        <f t="shared" ref="T50:X50" si="116">IMREAL(IMDIV(T43,T25))</f>
        <v>2.27674730454871E-2</v>
      </c>
      <c r="U50" s="97">
        <f t="shared" si="116"/>
        <v>3.0837084205033099E-2</v>
      </c>
      <c r="V50" s="97">
        <f t="shared" si="116"/>
        <v>4.8838197387413303E-2</v>
      </c>
      <c r="W50" s="97">
        <f t="shared" si="116"/>
        <v>6.4523853522816199E-2</v>
      </c>
      <c r="X50" s="115">
        <f t="shared" si="116"/>
        <v>7.8565922122676393E-2</v>
      </c>
      <c r="Y50" s="20"/>
      <c r="AA50" s="108" t="s">
        <v>191</v>
      </c>
      <c r="AB50" s="186"/>
      <c r="AC50" s="97">
        <f t="shared" ref="AC50:AH50" si="117">IMREAL(IMDIV(AC43,AC25))</f>
        <v>1.0519980859766E-2</v>
      </c>
      <c r="AD50" s="97">
        <f t="shared" si="117"/>
        <v>1.9306185350423E-2</v>
      </c>
      <c r="AE50" s="97">
        <f t="shared" si="117"/>
        <v>2.6121525318133498E-2</v>
      </c>
      <c r="AF50" s="97">
        <f t="shared" si="117"/>
        <v>4.1571110763447799E-2</v>
      </c>
      <c r="AG50" s="97">
        <f t="shared" si="117"/>
        <v>5.4914818990779803E-2</v>
      </c>
      <c r="AH50" s="115">
        <f t="shared" si="117"/>
        <v>6.67307997269668E-2</v>
      </c>
      <c r="AI50" s="20"/>
      <c r="AK50" s="72" t="s">
        <v>191</v>
      </c>
      <c r="AL50" s="186"/>
      <c r="AM50" s="97">
        <f t="shared" si="107"/>
        <v>2.6626316425459999E-3</v>
      </c>
      <c r="AN50" s="97">
        <f t="shared" si="103"/>
        <v>5.0255908742556001E-3</v>
      </c>
      <c r="AO50" s="97">
        <f t="shared" si="103"/>
        <v>6.9481360023176996E-3</v>
      </c>
      <c r="AP50" s="97">
        <f t="shared" si="103"/>
        <v>1.10523668842855E-2</v>
      </c>
      <c r="AQ50" s="97">
        <f t="shared" si="103"/>
        <v>1.51630582120117E-2</v>
      </c>
      <c r="AR50" s="115">
        <f t="shared" si="103"/>
        <v>1.8623080515732499E-2</v>
      </c>
      <c r="AT50" s="72" t="s">
        <v>191</v>
      </c>
      <c r="AU50" s="186"/>
      <c r="AV50" s="97">
        <f t="shared" si="108"/>
        <v>1.8924428289555999E-3</v>
      </c>
      <c r="AW50" s="97">
        <f t="shared" si="104"/>
        <v>3.4612876950641E-3</v>
      </c>
      <c r="AX50" s="97">
        <f t="shared" si="104"/>
        <v>4.7155588868995997E-3</v>
      </c>
      <c r="AY50" s="97">
        <f t="shared" si="104"/>
        <v>7.2670866239654998E-3</v>
      </c>
      <c r="AZ50" s="97">
        <f t="shared" si="104"/>
        <v>9.6090345320364E-3</v>
      </c>
      <c r="BA50" s="115">
        <f t="shared" si="104"/>
        <v>1.1835122395709601E-2</v>
      </c>
    </row>
    <row r="51" spans="7:53" x14ac:dyDescent="0.55000000000000004">
      <c r="G51" s="108" t="s">
        <v>192</v>
      </c>
      <c r="H51" s="186"/>
      <c r="I51" s="93">
        <f t="shared" ref="I51:N52" si="118">IMAGINARY(IMDIV(I42,I24))/(2*PI()*S$18)*1000</f>
        <v>114.30857168531871</v>
      </c>
      <c r="J51" s="93">
        <f t="shared" si="118"/>
        <v>113.97461715106022</v>
      </c>
      <c r="K51" s="93">
        <f t="shared" si="118"/>
        <v>112.97468284399865</v>
      </c>
      <c r="L51" s="93">
        <f t="shared" si="118"/>
        <v>112.56123959478863</v>
      </c>
      <c r="M51" s="93">
        <f t="shared" si="118"/>
        <v>111.56701664137695</v>
      </c>
      <c r="N51" s="113">
        <f t="shared" si="118"/>
        <v>110.57318578071863</v>
      </c>
      <c r="O51" s="20"/>
      <c r="Q51" s="108" t="s">
        <v>192</v>
      </c>
      <c r="R51" s="186"/>
      <c r="S51" s="93">
        <f t="shared" ref="S51:X52" si="119">IMAGINARY(IMDIV(S42,S24))/(2*PI()*S$18)*1000</f>
        <v>97.321108754346724</v>
      </c>
      <c r="T51" s="93">
        <f t="shared" si="119"/>
        <v>97.027267979004378</v>
      </c>
      <c r="U51" s="93">
        <f t="shared" si="119"/>
        <v>96.145857862966494</v>
      </c>
      <c r="V51" s="93">
        <f t="shared" si="119"/>
        <v>95.982274474893003</v>
      </c>
      <c r="W51" s="93">
        <f t="shared" si="119"/>
        <v>95.105767264782187</v>
      </c>
      <c r="X51" s="113">
        <f t="shared" si="119"/>
        <v>94.227758536449443</v>
      </c>
      <c r="Y51" s="20"/>
      <c r="AA51" s="108" t="s">
        <v>192</v>
      </c>
      <c r="AB51" s="186"/>
      <c r="AC51" s="93">
        <f t="shared" ref="AC51:AH52" si="120">IMAGINARY(IMDIV(AC42,AC24))/(2*PI()*S$18)*1000</f>
        <v>84.144698535717851</v>
      </c>
      <c r="AD51" s="93">
        <f t="shared" si="120"/>
        <v>83.882910273167042</v>
      </c>
      <c r="AE51" s="93">
        <f t="shared" si="120"/>
        <v>83.094074485598085</v>
      </c>
      <c r="AF51" s="93">
        <f t="shared" si="120"/>
        <v>83.120864470388213</v>
      </c>
      <c r="AG51" s="93">
        <f t="shared" si="120"/>
        <v>82.335442539582104</v>
      </c>
      <c r="AH51" s="113">
        <f t="shared" si="120"/>
        <v>81.548712282193705</v>
      </c>
      <c r="AI51" s="20"/>
      <c r="AK51" s="72" t="s">
        <v>192</v>
      </c>
      <c r="AL51" s="186"/>
      <c r="AM51" s="93">
        <f t="shared" si="107"/>
        <v>16.987462930972001</v>
      </c>
      <c r="AN51" s="93">
        <f t="shared" si="103"/>
        <v>16.947349172055802</v>
      </c>
      <c r="AO51" s="93">
        <f t="shared" si="103"/>
        <v>16.828824981032199</v>
      </c>
      <c r="AP51" s="93">
        <f t="shared" si="103"/>
        <v>16.578965119895599</v>
      </c>
      <c r="AQ51" s="93">
        <f t="shared" si="103"/>
        <v>16.4612493765948</v>
      </c>
      <c r="AR51" s="113">
        <f t="shared" si="103"/>
        <v>16.345427244269199</v>
      </c>
      <c r="AT51" s="72" t="s">
        <v>192</v>
      </c>
      <c r="AU51" s="186"/>
      <c r="AV51" s="93">
        <f t="shared" si="108"/>
        <v>13.1764102186289</v>
      </c>
      <c r="AW51" s="93">
        <f t="shared" si="104"/>
        <v>13.144357705837299</v>
      </c>
      <c r="AX51" s="93">
        <f t="shared" si="104"/>
        <v>13.0517833773684</v>
      </c>
      <c r="AY51" s="93">
        <f t="shared" si="104"/>
        <v>12.861410004504799</v>
      </c>
      <c r="AZ51" s="93">
        <f t="shared" si="104"/>
        <v>12.7703247252001</v>
      </c>
      <c r="BA51" s="113">
        <f t="shared" si="104"/>
        <v>12.679046254255701</v>
      </c>
    </row>
    <row r="52" spans="7:53" x14ac:dyDescent="0.55000000000000004">
      <c r="G52" s="108" t="s">
        <v>193</v>
      </c>
      <c r="H52" s="186"/>
      <c r="I52" s="93">
        <f t="shared" si="118"/>
        <v>156.84235932262888</v>
      </c>
      <c r="J52" s="93">
        <f t="shared" si="118"/>
        <v>156.38779818739025</v>
      </c>
      <c r="K52" s="93">
        <f t="shared" si="118"/>
        <v>155.03469290274168</v>
      </c>
      <c r="L52" s="93">
        <f t="shared" si="118"/>
        <v>154.47504597411412</v>
      </c>
      <c r="M52" s="93">
        <f t="shared" si="118"/>
        <v>153.12981574806724</v>
      </c>
      <c r="N52" s="113">
        <f t="shared" si="118"/>
        <v>151.78164041664675</v>
      </c>
      <c r="O52" s="20"/>
      <c r="Q52" s="108" t="s">
        <v>193</v>
      </c>
      <c r="R52" s="186"/>
      <c r="S52" s="93">
        <f t="shared" si="119"/>
        <v>134.95635406309492</v>
      </c>
      <c r="T52" s="93">
        <f t="shared" si="119"/>
        <v>134.54840055527328</v>
      </c>
      <c r="U52" s="93">
        <f t="shared" si="119"/>
        <v>133.3261169739192</v>
      </c>
      <c r="V52" s="93">
        <f t="shared" si="119"/>
        <v>133.10112888412809</v>
      </c>
      <c r="W52" s="93">
        <f t="shared" si="119"/>
        <v>131.88331328925779</v>
      </c>
      <c r="X52" s="113">
        <f t="shared" si="119"/>
        <v>130.66516470475545</v>
      </c>
      <c r="Y52" s="20"/>
      <c r="AA52" s="108" t="s">
        <v>193</v>
      </c>
      <c r="AB52" s="186"/>
      <c r="AC52" s="93">
        <f t="shared" si="120"/>
        <v>116.17146167165944</v>
      </c>
      <c r="AD52" s="93">
        <f t="shared" si="120"/>
        <v>115.80940109430851</v>
      </c>
      <c r="AE52" s="93">
        <f t="shared" si="120"/>
        <v>114.72003772939334</v>
      </c>
      <c r="AF52" s="93">
        <f t="shared" si="120"/>
        <v>114.75765392419584</v>
      </c>
      <c r="AG52" s="93">
        <f t="shared" si="120"/>
        <v>113.6734114518017</v>
      </c>
      <c r="AH52" s="113">
        <f t="shared" si="120"/>
        <v>112.58808483807157</v>
      </c>
      <c r="AI52" s="20"/>
      <c r="AK52" s="72" t="s">
        <v>193</v>
      </c>
      <c r="AL52" s="186"/>
      <c r="AM52" s="93">
        <f t="shared" si="107"/>
        <v>21.886005259533999</v>
      </c>
      <c r="AN52" s="93">
        <f t="shared" si="103"/>
        <v>21.839397632116999</v>
      </c>
      <c r="AO52" s="93">
        <f t="shared" si="103"/>
        <v>21.708575928822501</v>
      </c>
      <c r="AP52" s="93">
        <f t="shared" si="103"/>
        <v>21.373917089986001</v>
      </c>
      <c r="AQ52" s="93">
        <f t="shared" si="103"/>
        <v>21.246502458809498</v>
      </c>
      <c r="AR52" s="113">
        <f t="shared" si="103"/>
        <v>21.116475711891301</v>
      </c>
      <c r="AT52" s="72" t="s">
        <v>193</v>
      </c>
      <c r="AU52" s="186"/>
      <c r="AV52" s="93">
        <f t="shared" si="108"/>
        <v>18.784892391435498</v>
      </c>
      <c r="AW52" s="93">
        <f t="shared" si="104"/>
        <v>18.738999460964799</v>
      </c>
      <c r="AX52" s="93">
        <f t="shared" si="104"/>
        <v>18.606079244525901</v>
      </c>
      <c r="AY52" s="93">
        <f t="shared" si="104"/>
        <v>18.343474959932301</v>
      </c>
      <c r="AZ52" s="93">
        <f t="shared" si="104"/>
        <v>18.209901837456101</v>
      </c>
      <c r="BA52" s="113">
        <f t="shared" si="104"/>
        <v>18.077079866683899</v>
      </c>
    </row>
    <row r="53" spans="7:53" x14ac:dyDescent="0.55000000000000004">
      <c r="G53" s="23" t="s">
        <v>194</v>
      </c>
      <c r="H53" s="186"/>
      <c r="I53" s="93">
        <f t="shared" ref="I53:N53" si="121">0.5*IMREAL(IMSUM(IMPRODUCT(I42,I24),IMPRODUCT(I43,I25)))</f>
        <v>37.145015000000001</v>
      </c>
      <c r="J53" s="93">
        <f t="shared" si="121"/>
        <v>81.616807499999993</v>
      </c>
      <c r="K53" s="93">
        <f t="shared" si="121"/>
        <v>125.90583599999999</v>
      </c>
      <c r="L53" s="93">
        <f t="shared" si="121"/>
        <v>240.79561000000001</v>
      </c>
      <c r="M53" s="93">
        <f t="shared" si="121"/>
        <v>360.32287300000002</v>
      </c>
      <c r="N53" s="113">
        <f t="shared" si="121"/>
        <v>486.90433000000002</v>
      </c>
      <c r="Q53" s="23" t="s">
        <v>194</v>
      </c>
      <c r="R53" s="186"/>
      <c r="S53" s="93">
        <f t="shared" ref="S53" si="122">0.5*IMREAL(IMSUM(IMPRODUCT(S42,S24),IMPRODUCT(S43,S25)))</f>
        <v>40.352051000000003</v>
      </c>
      <c r="T53" s="93">
        <f t="shared" ref="T53:X53" si="123">0.5*IMREAL(IMSUM(IMPRODUCT(T42,T24),IMPRODUCT(T43,T25)))</f>
        <v>89.216275999999993</v>
      </c>
      <c r="U53" s="93">
        <f t="shared" si="123"/>
        <v>138.252681</v>
      </c>
      <c r="V53" s="93">
        <f t="shared" si="123"/>
        <v>267.793272</v>
      </c>
      <c r="W53" s="93">
        <f t="shared" si="123"/>
        <v>402.43966399999999</v>
      </c>
      <c r="X53" s="113">
        <f t="shared" si="123"/>
        <v>539.32987449999996</v>
      </c>
      <c r="AA53" s="23" t="s">
        <v>194</v>
      </c>
      <c r="AB53" s="186"/>
      <c r="AC53" s="93">
        <f t="shared" ref="AC53:AH53" si="124">0.5*IMREAL(IMSUM(IMPRODUCT(AC42,AC24),IMPRODUCT(AC43,AC25)))</f>
        <v>44.025135499999998</v>
      </c>
      <c r="AD53" s="93">
        <f t="shared" si="124"/>
        <v>97.659463000000002</v>
      </c>
      <c r="AE53" s="93">
        <f t="shared" si="124"/>
        <v>151.58687399999999</v>
      </c>
      <c r="AF53" s="93">
        <f t="shared" si="124"/>
        <v>297.08950900000002</v>
      </c>
      <c r="AG53" s="93">
        <f t="shared" si="124"/>
        <v>446.703305</v>
      </c>
      <c r="AH53" s="113">
        <f t="shared" si="124"/>
        <v>593.87543100000005</v>
      </c>
      <c r="AK53" s="70" t="s">
        <v>194</v>
      </c>
      <c r="AL53" s="186"/>
      <c r="AM53" s="93">
        <f t="shared" si="107"/>
        <v>3.207036</v>
      </c>
      <c r="AN53" s="93">
        <f t="shared" si="103"/>
        <v>7.5994685000000004</v>
      </c>
      <c r="AO53" s="93">
        <f t="shared" si="103"/>
        <v>12.346845</v>
      </c>
      <c r="AP53" s="93">
        <f t="shared" si="103"/>
        <v>26.997661999999998</v>
      </c>
      <c r="AQ53" s="93">
        <f t="shared" si="103"/>
        <v>42.116790999999999</v>
      </c>
      <c r="AR53" s="113">
        <f t="shared" si="103"/>
        <v>52.425544499999901</v>
      </c>
      <c r="AT53" s="70" t="s">
        <v>194</v>
      </c>
      <c r="AU53" s="186"/>
      <c r="AV53" s="93">
        <f t="shared" si="108"/>
        <v>3.6730844999999901</v>
      </c>
      <c r="AW53" s="93">
        <f t="shared" si="104"/>
        <v>8.4431870000000107</v>
      </c>
      <c r="AX53" s="93">
        <f t="shared" si="104"/>
        <v>13.334193000000001</v>
      </c>
      <c r="AY53" s="93">
        <f t="shared" si="104"/>
        <v>29.296237000000001</v>
      </c>
      <c r="AZ53" s="93">
        <f t="shared" si="104"/>
        <v>44.263641</v>
      </c>
      <c r="BA53" s="113">
        <f t="shared" si="104"/>
        <v>54.545556500000103</v>
      </c>
    </row>
    <row r="54" spans="7:53" x14ac:dyDescent="0.55000000000000004">
      <c r="G54" s="23" t="s">
        <v>195</v>
      </c>
      <c r="H54" s="186"/>
      <c r="I54" s="74">
        <f t="shared" ref="I54:N54" si="125">0.5*IMREAL(IMSUB(IMPRODUCT(I42,I24),IMPRODUCT(I43,I25)))</f>
        <v>3.5902660000000002</v>
      </c>
      <c r="J54" s="74">
        <f t="shared" si="125"/>
        <v>8.7740325000000006</v>
      </c>
      <c r="K54" s="74">
        <f t="shared" si="125"/>
        <v>14.350146000000001</v>
      </c>
      <c r="L54" s="74">
        <f t="shared" si="125"/>
        <v>29.446614</v>
      </c>
      <c r="M54" s="74">
        <f t="shared" si="125"/>
        <v>45.676113000000001</v>
      </c>
      <c r="N54" s="101">
        <f t="shared" si="125"/>
        <v>63.433706000000001</v>
      </c>
      <c r="Q54" s="23" t="s">
        <v>195</v>
      </c>
      <c r="R54" s="186"/>
      <c r="S54" s="74">
        <f t="shared" ref="S54" si="126">0.5*IMREAL(IMSUB(IMPRODUCT(S42,S24),IMPRODUCT(S43,S25)))</f>
        <v>3.8947259999999999</v>
      </c>
      <c r="T54" s="74">
        <f t="shared" ref="T54:X54" si="127">0.5*IMREAL(IMSUB(IMPRODUCT(T42,T24),IMPRODUCT(T43,T25)))</f>
        <v>9.6166160000000005</v>
      </c>
      <c r="U54" s="74">
        <f t="shared" si="127"/>
        <v>15.827152999999999</v>
      </c>
      <c r="V54" s="74">
        <f t="shared" si="127"/>
        <v>32.797024</v>
      </c>
      <c r="W54" s="74">
        <f t="shared" si="127"/>
        <v>51.061683000000002</v>
      </c>
      <c r="X54" s="101">
        <f t="shared" si="127"/>
        <v>69.898853500000001</v>
      </c>
      <c r="AA54" s="23" t="s">
        <v>195</v>
      </c>
      <c r="AB54" s="186"/>
      <c r="AC54" s="74">
        <f t="shared" ref="AC54:AH54" si="128">0.5*IMREAL(IMSUB(IMPRODUCT(AC42,AC24),IMPRODUCT(AC43,AC25)))</f>
        <v>3.8902215</v>
      </c>
      <c r="AD54" s="74">
        <f t="shared" si="128"/>
        <v>9.7820929999999997</v>
      </c>
      <c r="AE54" s="74">
        <f t="shared" si="128"/>
        <v>16.217376999999999</v>
      </c>
      <c r="AF54" s="74">
        <f t="shared" si="128"/>
        <v>34.970927000000003</v>
      </c>
      <c r="AG54" s="74">
        <f t="shared" si="128"/>
        <v>54.60183</v>
      </c>
      <c r="AH54" s="101">
        <f t="shared" si="128"/>
        <v>74.025110999999995</v>
      </c>
      <c r="AK54" s="70" t="s">
        <v>195</v>
      </c>
      <c r="AL54" s="186"/>
      <c r="AM54" s="74">
        <f t="shared" si="107"/>
        <v>0.30446000000000001</v>
      </c>
      <c r="AN54" s="74">
        <f t="shared" si="103"/>
        <v>0.84258350000000004</v>
      </c>
      <c r="AO54" s="74">
        <f t="shared" si="103"/>
        <v>1.477007</v>
      </c>
      <c r="AP54" s="74">
        <f t="shared" si="103"/>
        <v>3.3504100000000001</v>
      </c>
      <c r="AQ54" s="74">
        <f t="shared" si="103"/>
        <v>5.3855700000000004</v>
      </c>
      <c r="AR54" s="101">
        <f t="shared" si="103"/>
        <v>6.4651474999999996</v>
      </c>
      <c r="AT54" s="70" t="s">
        <v>195</v>
      </c>
      <c r="AU54" s="186"/>
      <c r="AV54" s="74">
        <f t="shared" si="108"/>
        <v>4.5044999999999096E-3</v>
      </c>
      <c r="AW54" s="74">
        <f t="shared" si="104"/>
        <v>0.16547699999999901</v>
      </c>
      <c r="AX54" s="74">
        <f t="shared" si="104"/>
        <v>0.39022400000000002</v>
      </c>
      <c r="AY54" s="74">
        <f t="shared" si="104"/>
        <v>2.1739030000000001</v>
      </c>
      <c r="AZ54" s="74">
        <f t="shared" si="104"/>
        <v>3.5401470000000002</v>
      </c>
      <c r="BA54" s="101">
        <f t="shared" si="104"/>
        <v>4.1262574999999897</v>
      </c>
    </row>
    <row r="55" spans="7:53" x14ac:dyDescent="0.55000000000000004">
      <c r="G55" s="23" t="s">
        <v>196</v>
      </c>
      <c r="H55" s="186"/>
      <c r="I55" s="74">
        <f t="shared" ref="I55:N55" si="129">0.5*IMAGINARY(IMSUM(IMPRODUCT(I42,I24),IMPRODUCT(I43,I25)))/(2*PI()*I18)</f>
        <v>308.11756415775983</v>
      </c>
      <c r="J55" s="74">
        <f t="shared" si="129"/>
        <v>308.11378847199319</v>
      </c>
      <c r="K55" s="74">
        <f t="shared" si="129"/>
        <v>308.09954533538468</v>
      </c>
      <c r="L55" s="74">
        <f t="shared" si="129"/>
        <v>308.09258354007522</v>
      </c>
      <c r="M55" s="74">
        <f t="shared" si="129"/>
        <v>308.07399096147776</v>
      </c>
      <c r="N55" s="101">
        <f t="shared" si="129"/>
        <v>308.05490948011567</v>
      </c>
      <c r="Q55" s="23" t="s">
        <v>196</v>
      </c>
      <c r="R55" s="186"/>
      <c r="S55" s="74">
        <f t="shared" ref="S55" si="130">0.5*IMAGINARY(IMSUM(IMPRODUCT(S42,S24),IMPRODUCT(S43,S25)))/(2*PI()*S18)</f>
        <v>345.58649185769389</v>
      </c>
      <c r="T55" s="74">
        <f t="shared" ref="T55:X55" si="131">0.5*IMAGINARY(IMSUM(IMPRODUCT(T42,T24),IMPRODUCT(T43,T25)))/(2*PI()*T18)</f>
        <v>345.59286879837623</v>
      </c>
      <c r="U55" s="74">
        <f t="shared" si="131"/>
        <v>345.59153049629072</v>
      </c>
      <c r="V55" s="74">
        <f t="shared" si="131"/>
        <v>345.58890708170179</v>
      </c>
      <c r="W55" s="74">
        <f t="shared" si="131"/>
        <v>345.58697053210079</v>
      </c>
      <c r="X55" s="101">
        <f t="shared" si="131"/>
        <v>345.58686674318346</v>
      </c>
      <c r="AA55" s="23" t="s">
        <v>196</v>
      </c>
      <c r="AB55" s="186"/>
      <c r="AC55" s="74">
        <f t="shared" ref="AC55:AH55" si="132">0.5*IMAGINARY(IMSUM(IMPRODUCT(AC42,AC24),IMPRODUCT(AC43,AC25)))/(2*PI()*AC18)</f>
        <v>383.93757307197149</v>
      </c>
      <c r="AD55" s="74">
        <f t="shared" si="132"/>
        <v>383.94244201956803</v>
      </c>
      <c r="AE55" s="74">
        <f t="shared" si="132"/>
        <v>383.94352171078646</v>
      </c>
      <c r="AF55" s="74">
        <f t="shared" si="132"/>
        <v>383.94003866851892</v>
      </c>
      <c r="AG55" s="74">
        <f t="shared" si="132"/>
        <v>383.93640350595672</v>
      </c>
      <c r="AH55" s="101">
        <f t="shared" si="132"/>
        <v>383.93617823805022</v>
      </c>
      <c r="AK55" s="70" t="s">
        <v>196</v>
      </c>
      <c r="AL55" s="186"/>
      <c r="AM55" s="74">
        <f t="shared" si="107"/>
        <v>37.468927699934099</v>
      </c>
      <c r="AN55" s="74">
        <f t="shared" si="103"/>
        <v>37.479080326382999</v>
      </c>
      <c r="AO55" s="74">
        <f t="shared" si="103"/>
        <v>37.491985160905998</v>
      </c>
      <c r="AP55" s="74">
        <f t="shared" si="103"/>
        <v>37.496323541626602</v>
      </c>
      <c r="AQ55" s="74">
        <f t="shared" si="103"/>
        <v>37.512979570623003</v>
      </c>
      <c r="AR55" s="101">
        <f t="shared" si="103"/>
        <v>37.531957263067802</v>
      </c>
      <c r="AT55" s="70" t="s">
        <v>196</v>
      </c>
      <c r="AU55" s="186"/>
      <c r="AV55" s="74">
        <f t="shared" si="108"/>
        <v>38.351081214277599</v>
      </c>
      <c r="AW55" s="74">
        <f t="shared" si="104"/>
        <v>38.349573221191797</v>
      </c>
      <c r="AX55" s="74">
        <f t="shared" si="104"/>
        <v>38.351991214495698</v>
      </c>
      <c r="AY55" s="74">
        <f t="shared" si="104"/>
        <v>38.351131586817097</v>
      </c>
      <c r="AZ55" s="74">
        <f t="shared" si="104"/>
        <v>38.349432973855897</v>
      </c>
      <c r="BA55" s="101">
        <f t="shared" si="104"/>
        <v>38.349311494866797</v>
      </c>
    </row>
    <row r="56" spans="7:53" x14ac:dyDescent="0.55000000000000004">
      <c r="G56" s="23" t="s">
        <v>197</v>
      </c>
      <c r="H56" s="186"/>
      <c r="I56" s="74">
        <f t="shared" ref="I56:N56" si="133">0.5*IMAGINARY(IMSUB(IMPRODUCT(I42,I24),IMPRODUCT(I43,I25)))/(2*PI()*I18)</f>
        <v>48.332457209720197</v>
      </c>
      <c r="J56" s="74">
        <f t="shared" si="133"/>
        <v>48.33536873719747</v>
      </c>
      <c r="K56" s="74">
        <f t="shared" si="133"/>
        <v>48.351475174997056</v>
      </c>
      <c r="L56" s="74">
        <f t="shared" si="133"/>
        <v>48.357874612230596</v>
      </c>
      <c r="M56" s="74">
        <f t="shared" si="133"/>
        <v>48.373783785435968</v>
      </c>
      <c r="N56" s="101">
        <f t="shared" si="133"/>
        <v>48.386501063816297</v>
      </c>
      <c r="Q56" s="23" t="s">
        <v>197</v>
      </c>
      <c r="R56" s="186"/>
      <c r="S56" s="74">
        <f t="shared" ref="S56" si="134">0.5*IMAGINARY(IMSUB(IMPRODUCT(S42,S24),IMPRODUCT(S43,S25)))/(2*PI()*S18)</f>
        <v>55.994384344829598</v>
      </c>
      <c r="T56" s="74">
        <f t="shared" ref="T56:X56" si="135">0.5*IMAGINARY(IMSUB(IMPRODUCT(T42,T24),IMPRODUCT(T43,T25)))/(2*PI()*T18)</f>
        <v>55.994815256838024</v>
      </c>
      <c r="U56" s="74">
        <f t="shared" si="135"/>
        <v>55.994560322450177</v>
      </c>
      <c r="V56" s="74">
        <f t="shared" si="135"/>
        <v>55.996495391910265</v>
      </c>
      <c r="W56" s="74">
        <f t="shared" si="135"/>
        <v>55.993193250456173</v>
      </c>
      <c r="X56" s="101">
        <f t="shared" si="135"/>
        <v>55.99239355920281</v>
      </c>
      <c r="AA56" s="23" t="s">
        <v>197</v>
      </c>
      <c r="AB56" s="186"/>
      <c r="AC56" s="74">
        <f t="shared" ref="AC56:AH56" si="136">0.5*IMAGINARY(IMSUB(IMPRODUCT(AC42,AC24),IMPRODUCT(AC43,AC25)))/(2*PI()*AC18)</f>
        <v>61.384352863074994</v>
      </c>
      <c r="AD56" s="74">
        <f t="shared" si="136"/>
        <v>61.384115006012543</v>
      </c>
      <c r="AE56" s="74">
        <f t="shared" si="136"/>
        <v>61.383819407536741</v>
      </c>
      <c r="AF56" s="74">
        <f t="shared" si="136"/>
        <v>61.384266410109916</v>
      </c>
      <c r="AG56" s="74">
        <f t="shared" si="136"/>
        <v>61.383891653270581</v>
      </c>
      <c r="AH56" s="101">
        <f t="shared" si="136"/>
        <v>61.385273813153198</v>
      </c>
      <c r="AK56" s="70" t="s">
        <v>197</v>
      </c>
      <c r="AL56" s="186"/>
      <c r="AM56" s="74">
        <f t="shared" si="107"/>
        <v>7.6619271351093996</v>
      </c>
      <c r="AN56" s="74">
        <f t="shared" si="103"/>
        <v>7.6594465196405501</v>
      </c>
      <c r="AO56" s="74">
        <f t="shared" si="103"/>
        <v>7.6430851474531201</v>
      </c>
      <c r="AP56" s="74">
        <f t="shared" si="103"/>
        <v>7.6386207796796697</v>
      </c>
      <c r="AQ56" s="74">
        <f t="shared" si="103"/>
        <v>7.6194094650202002</v>
      </c>
      <c r="AR56" s="101">
        <f t="shared" si="103"/>
        <v>7.6058924953865104</v>
      </c>
      <c r="AT56" s="70" t="s">
        <v>197</v>
      </c>
      <c r="AU56" s="186"/>
      <c r="AV56" s="74">
        <f t="shared" si="108"/>
        <v>5.3899685182454</v>
      </c>
      <c r="AW56" s="74">
        <f t="shared" si="104"/>
        <v>5.38929974917452</v>
      </c>
      <c r="AX56" s="74">
        <f t="shared" si="104"/>
        <v>5.38925908508656</v>
      </c>
      <c r="AY56" s="74">
        <f t="shared" si="104"/>
        <v>5.3877710181996497</v>
      </c>
      <c r="AZ56" s="74">
        <f t="shared" si="104"/>
        <v>5.3906984028144098</v>
      </c>
      <c r="BA56" s="101">
        <f t="shared" si="104"/>
        <v>5.3928802539503904</v>
      </c>
    </row>
    <row r="57" spans="7:53" x14ac:dyDescent="0.55000000000000004">
      <c r="G57" s="23" t="s">
        <v>198</v>
      </c>
      <c r="H57" s="186"/>
      <c r="I57" s="76">
        <f t="shared" ref="I57:N57" si="137">0.5*IMREAL(IMSUM(IMDIV(I42,I24),IMDIV(I43,I25))) + 0.5*IMREAL(IMSUB(IMDIV(I42,I24),IMDIV(I43,I25)))</f>
        <v>9.1782194568300994E-3</v>
      </c>
      <c r="J57" s="76">
        <f t="shared" si="137"/>
        <v>1.6838726251567199E-2</v>
      </c>
      <c r="K57" s="76">
        <f t="shared" si="137"/>
        <v>2.2842093185821599E-2</v>
      </c>
      <c r="L57" s="76">
        <f t="shared" si="137"/>
        <v>3.6069364220549099E-2</v>
      </c>
      <c r="M57" s="76">
        <f t="shared" si="137"/>
        <v>4.7825157259130904E-2</v>
      </c>
      <c r="N57" s="116">
        <f t="shared" si="137"/>
        <v>5.8141210419157305E-2</v>
      </c>
      <c r="Q57" s="23" t="s">
        <v>198</v>
      </c>
      <c r="R57" s="186"/>
      <c r="S57" s="76">
        <f t="shared" ref="S57" si="138">0.5*IMREAL(IMSUM(IMDIV(S42,S24),IMDIV(S43,S25))) + 0.5*IMREAL(IMSUB(IMDIV(S42,S24),IMDIV(S43,S25)))</f>
        <v>7.4287088064190245E-3</v>
      </c>
      <c r="T57" s="76">
        <f t="shared" ref="T57:X57" si="139">0.5*IMREAL(IMSUM(IMDIV(T42,T24),IMDIV(T43,T25))) + 0.5*IMREAL(IMSUB(IMDIV(T42,T24),IMDIV(T43,T25)))</f>
        <v>1.3643904431994699E-2</v>
      </c>
      <c r="U57" s="76">
        <f t="shared" si="139"/>
        <v>1.8473762836937798E-2</v>
      </c>
      <c r="V57" s="76">
        <f t="shared" si="139"/>
        <v>2.9326587769264202E-2</v>
      </c>
      <c r="W57" s="76">
        <f t="shared" si="139"/>
        <v>3.8704359041651953E-2</v>
      </c>
      <c r="X57" s="116">
        <f t="shared" si="139"/>
        <v>4.7178076238381411E-2</v>
      </c>
      <c r="AA57" s="23" t="s">
        <v>198</v>
      </c>
      <c r="AB57" s="186"/>
      <c r="AC57" s="76">
        <f t="shared" ref="AC57:AH57" si="140">0.5*IMREAL(IMSUM(IMDIV(AC42,AC24),IMDIV(AC43,AC25))) + 0.5*IMREAL(IMSUB(IMDIV(AC42,AC24),IMDIV(AC43,AC25)))</f>
        <v>6.2043881215479001E-3</v>
      </c>
      <c r="AD57" s="76">
        <f t="shared" si="140"/>
        <v>1.1383457619080502E-2</v>
      </c>
      <c r="AE57" s="76">
        <f t="shared" si="140"/>
        <v>1.5406077849272899E-2</v>
      </c>
      <c r="AF57" s="76">
        <f t="shared" si="140"/>
        <v>2.4446988549149895E-2</v>
      </c>
      <c r="AG57" s="76">
        <f t="shared" si="140"/>
        <v>3.2329312180045901E-2</v>
      </c>
      <c r="AH57" s="116">
        <f t="shared" si="140"/>
        <v>3.93771727415963E-2</v>
      </c>
      <c r="AK57" s="70" t="s">
        <v>198</v>
      </c>
      <c r="AL57" s="186"/>
      <c r="AM57" s="76">
        <f t="shared" si="107"/>
        <v>1.74951065041107E-3</v>
      </c>
      <c r="AN57" s="76">
        <f t="shared" si="103"/>
        <v>3.1948218195725002E-3</v>
      </c>
      <c r="AO57" s="76">
        <f t="shared" si="103"/>
        <v>4.3683303488837996E-3</v>
      </c>
      <c r="AP57" s="76">
        <f t="shared" si="103"/>
        <v>6.7427764512848999E-3</v>
      </c>
      <c r="AQ57" s="76">
        <f t="shared" si="103"/>
        <v>9.1207982174789492E-3</v>
      </c>
      <c r="AR57" s="116">
        <f t="shared" si="103"/>
        <v>1.0963134180775901E-2</v>
      </c>
      <c r="AT57" s="70" t="s">
        <v>198</v>
      </c>
      <c r="AU57" s="186"/>
      <c r="AV57" s="76">
        <f t="shared" si="108"/>
        <v>1.22432068487112E-3</v>
      </c>
      <c r="AW57" s="76">
        <f t="shared" si="104"/>
        <v>2.2604468129142001E-3</v>
      </c>
      <c r="AX57" s="76">
        <f t="shared" si="104"/>
        <v>3.0676849876649002E-3</v>
      </c>
      <c r="AY57" s="76">
        <f t="shared" si="104"/>
        <v>4.8795992201143097E-3</v>
      </c>
      <c r="AZ57" s="76">
        <f t="shared" si="104"/>
        <v>6.3750468616060501E-3</v>
      </c>
      <c r="BA57" s="116">
        <f t="shared" si="104"/>
        <v>7.8009034967851101E-3</v>
      </c>
    </row>
    <row r="58" spans="7:53" x14ac:dyDescent="0.55000000000000004">
      <c r="G58" s="23" t="s">
        <v>199</v>
      </c>
      <c r="H58" s="186"/>
      <c r="I58" s="76">
        <f t="shared" ref="I58:N58" si="141">-0.5*IMREAL(IMSUB(IMDIV(I42,I24),IMDIV(I43,I25)))</f>
        <v>2.9484179372187501E-3</v>
      </c>
      <c r="J58" s="76">
        <f t="shared" si="141"/>
        <v>5.4771688340877504E-3</v>
      </c>
      <c r="K58" s="76">
        <f t="shared" si="141"/>
        <v>7.4715635107646004E-3</v>
      </c>
      <c r="L58" s="76">
        <f t="shared" si="141"/>
        <v>1.191060002557485E-2</v>
      </c>
      <c r="M58" s="76">
        <f t="shared" si="141"/>
        <v>1.5930877237848601E-2</v>
      </c>
      <c r="N58" s="116">
        <f t="shared" si="141"/>
        <v>1.95238961096257E-2</v>
      </c>
      <c r="Q58" s="23" t="s">
        <v>199</v>
      </c>
      <c r="R58" s="186"/>
      <c r="S58" s="76">
        <f t="shared" ref="S58" si="142">-0.5*IMREAL(IMSUB(IMDIV(S42,S24),IMDIV(S43,S25)))</f>
        <v>2.4918574411512749E-3</v>
      </c>
      <c r="T58" s="76">
        <f t="shared" ref="T58:X58" si="143">-0.5*IMREAL(IMSUB(IMDIV(T42,T24),IMDIV(T43,T25)))</f>
        <v>4.5617843067461998E-3</v>
      </c>
      <c r="U58" s="76">
        <f t="shared" si="143"/>
        <v>6.1816606840476504E-3</v>
      </c>
      <c r="V58" s="76">
        <f t="shared" si="143"/>
        <v>9.7558048090745503E-3</v>
      </c>
      <c r="W58" s="76">
        <f t="shared" si="143"/>
        <v>1.290974724058205E-2</v>
      </c>
      <c r="X58" s="116">
        <f t="shared" si="143"/>
        <v>1.5693922942147599E-2</v>
      </c>
      <c r="AA58" s="23" t="s">
        <v>199</v>
      </c>
      <c r="AB58" s="186"/>
      <c r="AC58" s="76">
        <f t="shared" ref="AC58:AH58" si="144">-0.5*IMREAL(IMSUB(IMDIV(AC42,AC24),IMDIV(AC43,AC25)))</f>
        <v>2.1577963691090502E-3</v>
      </c>
      <c r="AD58" s="76">
        <f t="shared" si="144"/>
        <v>3.9613638656712498E-3</v>
      </c>
      <c r="AE58" s="76">
        <f t="shared" si="144"/>
        <v>5.3577237344303004E-3</v>
      </c>
      <c r="AF58" s="76">
        <f t="shared" si="144"/>
        <v>8.5620611071489505E-3</v>
      </c>
      <c r="AG58" s="76">
        <f t="shared" si="144"/>
        <v>1.1292753405366949E-2</v>
      </c>
      <c r="AH58" s="116">
        <f t="shared" si="144"/>
        <v>1.3676813492685199E-2</v>
      </c>
      <c r="AK58" s="70" t="s">
        <v>199</v>
      </c>
      <c r="AL58" s="186"/>
      <c r="AM58" s="76">
        <f t="shared" si="107"/>
        <v>4.5656049606747503E-4</v>
      </c>
      <c r="AN58" s="76">
        <f t="shared" si="103"/>
        <v>9.1538452734155095E-4</v>
      </c>
      <c r="AO58" s="76">
        <f t="shared" si="103"/>
        <v>1.28990282671695E-3</v>
      </c>
      <c r="AP58" s="76">
        <f t="shared" si="103"/>
        <v>2.1547952165003E-3</v>
      </c>
      <c r="AQ58" s="76">
        <f t="shared" si="103"/>
        <v>3.0211299972665502E-3</v>
      </c>
      <c r="AR58" s="116">
        <f t="shared" si="103"/>
        <v>3.8299731674780999E-3</v>
      </c>
      <c r="AT58" s="70" t="s">
        <v>199</v>
      </c>
      <c r="AU58" s="186"/>
      <c r="AV58" s="76">
        <f t="shared" si="108"/>
        <v>3.3406107204222502E-4</v>
      </c>
      <c r="AW58" s="76">
        <f t="shared" si="104"/>
        <v>6.0042044107494995E-4</v>
      </c>
      <c r="AX58" s="76">
        <f t="shared" si="104"/>
        <v>8.2393694961734997E-4</v>
      </c>
      <c r="AY58" s="76">
        <f t="shared" si="104"/>
        <v>1.1937437019256E-3</v>
      </c>
      <c r="AZ58" s="76">
        <f t="shared" si="104"/>
        <v>1.6169938352150999E-3</v>
      </c>
      <c r="BA58" s="116">
        <f t="shared" si="104"/>
        <v>2.0171094494624E-3</v>
      </c>
    </row>
    <row r="59" spans="7:53" x14ac:dyDescent="0.55000000000000004">
      <c r="G59" s="23" t="s">
        <v>200</v>
      </c>
      <c r="H59" s="186"/>
      <c r="I59" s="74">
        <f t="shared" ref="I59:N59" si="145">0.5*IMAGINARY(IMSUM(IMDIV(I42,I24),IMDIV(I43,I25)))/(2*PI()*S$18)*1000 + 0.5*IMAGINARY(IMSUB(IMDIV(I42,I24),IMDIV(I43,I25)))/(2*PI()*S$18)*1000</f>
        <v>114.30857168531855</v>
      </c>
      <c r="J59" s="74">
        <f t="shared" si="145"/>
        <v>113.9746171510602</v>
      </c>
      <c r="K59" s="74">
        <f t="shared" si="145"/>
        <v>112.97468284399864</v>
      </c>
      <c r="L59" s="74">
        <f t="shared" si="145"/>
        <v>112.56123959478846</v>
      </c>
      <c r="M59" s="74">
        <f t="shared" si="145"/>
        <v>111.56701664137694</v>
      </c>
      <c r="N59" s="101">
        <f t="shared" si="145"/>
        <v>110.57318578071863</v>
      </c>
      <c r="Q59" s="23" t="s">
        <v>200</v>
      </c>
      <c r="R59" s="186"/>
      <c r="S59" s="74">
        <f t="shared" ref="S59:X59" si="146">0.5*IMAGINARY(IMSUM(IMDIV(S42,S24),IMDIV(S43,S25)))/(2*PI()*S$18)*1000 + 0.5*IMAGINARY(IMSUB(IMDIV(S42,S24),IMDIV(S43,S25)))/(2*PI()*S$18)*1000</f>
        <v>97.321108754346568</v>
      </c>
      <c r="T59" s="74">
        <f t="shared" si="146"/>
        <v>97.027267979004378</v>
      </c>
      <c r="U59" s="74">
        <f t="shared" si="146"/>
        <v>96.145857862966494</v>
      </c>
      <c r="V59" s="74">
        <f t="shared" si="146"/>
        <v>95.98227447489333</v>
      </c>
      <c r="W59" s="74">
        <f t="shared" si="146"/>
        <v>95.105767264782131</v>
      </c>
      <c r="X59" s="101">
        <f t="shared" si="146"/>
        <v>94.227758536449457</v>
      </c>
      <c r="AA59" s="23" t="s">
        <v>200</v>
      </c>
      <c r="AB59" s="186"/>
      <c r="AC59" s="74">
        <f t="shared" ref="AC59:AH59" si="147">0.5*IMAGINARY(IMSUM(IMDIV(AC42,AC24),IMDIV(AC43,AC25)))/(2*PI()*S$18)*1000 + 0.5*IMAGINARY(IMSUB(IMDIV(AC42,AC24),IMDIV(AC43,AC25)))/(2*PI()*S$18)*1000</f>
        <v>84.144698535718234</v>
      </c>
      <c r="AD59" s="74">
        <f t="shared" si="147"/>
        <v>83.882910273167028</v>
      </c>
      <c r="AE59" s="74">
        <f t="shared" si="147"/>
        <v>83.094074485598071</v>
      </c>
      <c r="AF59" s="74">
        <f t="shared" si="147"/>
        <v>83.12086447038854</v>
      </c>
      <c r="AG59" s="74">
        <f t="shared" si="147"/>
        <v>82.33544253958226</v>
      </c>
      <c r="AH59" s="101">
        <f t="shared" si="147"/>
        <v>81.548712282193705</v>
      </c>
      <c r="AK59" s="70" t="s">
        <v>200</v>
      </c>
      <c r="AL59" s="186"/>
      <c r="AM59" s="74">
        <f t="shared" si="107"/>
        <v>16.987462930972001</v>
      </c>
      <c r="AN59" s="74">
        <f t="shared" si="103"/>
        <v>16.947349172055802</v>
      </c>
      <c r="AO59" s="74">
        <f t="shared" si="103"/>
        <v>16.828824981032099</v>
      </c>
      <c r="AP59" s="74">
        <f t="shared" si="103"/>
        <v>16.578965119895098</v>
      </c>
      <c r="AQ59" s="74">
        <f t="shared" si="103"/>
        <v>16.4612493765948</v>
      </c>
      <c r="AR59" s="101">
        <f t="shared" si="103"/>
        <v>16.345427244269199</v>
      </c>
      <c r="AT59" s="70" t="s">
        <v>200</v>
      </c>
      <c r="AU59" s="186"/>
      <c r="AV59" s="74">
        <f t="shared" si="108"/>
        <v>13.1764102186283</v>
      </c>
      <c r="AW59" s="74">
        <f t="shared" si="104"/>
        <v>13.1443577058374</v>
      </c>
      <c r="AX59" s="74">
        <f t="shared" si="104"/>
        <v>13.0517833773684</v>
      </c>
      <c r="AY59" s="74">
        <f t="shared" si="104"/>
        <v>12.861410004504799</v>
      </c>
      <c r="AZ59" s="74">
        <f t="shared" si="104"/>
        <v>12.770324725199901</v>
      </c>
      <c r="BA59" s="101">
        <f t="shared" si="104"/>
        <v>12.6790462542558</v>
      </c>
    </row>
    <row r="60" spans="7:53" x14ac:dyDescent="0.55000000000000004">
      <c r="G60" s="23" t="s">
        <v>201</v>
      </c>
      <c r="H60" s="186"/>
      <c r="I60" s="74">
        <f t="shared" ref="I60:N60" si="148">-0.5*IMAGINARY(IMSUB(IMDIV(I42,I24),IMDIV(I43,I25)))/(2*PI()*S$18)*1000</f>
        <v>21.266893818655088</v>
      </c>
      <c r="J60" s="74">
        <f t="shared" si="148"/>
        <v>21.206590518165012</v>
      </c>
      <c r="K60" s="74">
        <f t="shared" si="148"/>
        <v>21.03000502937153</v>
      </c>
      <c r="L60" s="74">
        <f t="shared" si="148"/>
        <v>20.95690318966275</v>
      </c>
      <c r="M60" s="74">
        <f t="shared" si="148"/>
        <v>20.781399553345153</v>
      </c>
      <c r="N60" s="101">
        <f t="shared" si="148"/>
        <v>20.604227317964053</v>
      </c>
      <c r="Q60" s="23" t="s">
        <v>201</v>
      </c>
      <c r="R60" s="186"/>
      <c r="S60" s="74">
        <f t="shared" ref="S60:X60" si="149">-0.5*IMAGINARY(IMSUB(IMDIV(S42,S24),IMDIV(S43,S25)))/(2*PI()*S$18)*1000</f>
        <v>18.817622654374087</v>
      </c>
      <c r="T60" s="74">
        <f t="shared" si="149"/>
        <v>18.760566288134441</v>
      </c>
      <c r="U60" s="74">
        <f t="shared" si="149"/>
        <v>18.590129555476352</v>
      </c>
      <c r="V60" s="74">
        <f t="shared" si="149"/>
        <v>18.559427204617535</v>
      </c>
      <c r="W60" s="74">
        <f t="shared" si="149"/>
        <v>18.388773012237795</v>
      </c>
      <c r="X60" s="101">
        <f t="shared" si="149"/>
        <v>18.218703084152992</v>
      </c>
      <c r="AA60" s="23" t="s">
        <v>201</v>
      </c>
      <c r="AB60" s="186"/>
      <c r="AC60" s="74">
        <f t="shared" ref="AC60:AH60" si="150">-0.5*IMAGINARY(IMSUB(IMDIV(AC42,AC24),IMDIV(AC43,AC25)))/(2*PI()*S$18)*1000</f>
        <v>16.013381567970796</v>
      </c>
      <c r="AD60" s="74">
        <f t="shared" si="150"/>
        <v>15.963245410570735</v>
      </c>
      <c r="AE60" s="74">
        <f t="shared" si="150"/>
        <v>15.812981621897627</v>
      </c>
      <c r="AF60" s="74">
        <f t="shared" si="150"/>
        <v>15.818394726903801</v>
      </c>
      <c r="AG60" s="74">
        <f t="shared" si="150"/>
        <v>15.66898445610979</v>
      </c>
      <c r="AH60" s="101">
        <f t="shared" si="150"/>
        <v>15.519686277938927</v>
      </c>
      <c r="AK60" s="70" t="s">
        <v>201</v>
      </c>
      <c r="AL60" s="186"/>
      <c r="AM60" s="74">
        <f t="shared" si="107"/>
        <v>2.4492711642809999</v>
      </c>
      <c r="AN60" s="74">
        <f t="shared" si="103"/>
        <v>2.4460242300305701</v>
      </c>
      <c r="AO60" s="74">
        <f t="shared" si="103"/>
        <v>2.4398754738951798</v>
      </c>
      <c r="AP60" s="74">
        <f t="shared" si="103"/>
        <v>2.3974759850452201</v>
      </c>
      <c r="AQ60" s="74">
        <f t="shared" si="103"/>
        <v>2.3926265411073602</v>
      </c>
      <c r="AR60" s="101">
        <f t="shared" si="103"/>
        <v>2.38552423381106</v>
      </c>
      <c r="AT60" s="70" t="s">
        <v>201</v>
      </c>
      <c r="AU60" s="186"/>
      <c r="AV60" s="74">
        <f t="shared" si="108"/>
        <v>2.8042410864032901</v>
      </c>
      <c r="AW60" s="74">
        <f t="shared" si="104"/>
        <v>2.7973208775637102</v>
      </c>
      <c r="AX60" s="74">
        <f t="shared" si="104"/>
        <v>2.7771479335787199</v>
      </c>
      <c r="AY60" s="74">
        <f t="shared" si="104"/>
        <v>2.74103247771373</v>
      </c>
      <c r="AZ60" s="74">
        <f t="shared" si="104"/>
        <v>2.7197885561280102</v>
      </c>
      <c r="BA60" s="101">
        <f t="shared" si="104"/>
        <v>2.6990168062140598</v>
      </c>
    </row>
    <row r="61" spans="7:53" x14ac:dyDescent="0.55000000000000004">
      <c r="G61" s="23" t="s">
        <v>202</v>
      </c>
      <c r="H61" s="186"/>
      <c r="I61" s="74">
        <f t="shared" ref="I61:N64" si="151">I53</f>
        <v>37.145015000000001</v>
      </c>
      <c r="J61" s="74">
        <f t="shared" si="151"/>
        <v>81.616807499999993</v>
      </c>
      <c r="K61" s="74">
        <f t="shared" si="151"/>
        <v>125.90583599999999</v>
      </c>
      <c r="L61" s="74">
        <f t="shared" si="151"/>
        <v>240.79561000000001</v>
      </c>
      <c r="M61" s="74">
        <f t="shared" si="151"/>
        <v>360.32287300000002</v>
      </c>
      <c r="N61" s="101">
        <f t="shared" si="151"/>
        <v>486.90433000000002</v>
      </c>
      <c r="Q61" s="23" t="s">
        <v>202</v>
      </c>
      <c r="R61" s="186"/>
      <c r="S61" s="74">
        <f>S53</f>
        <v>40.352051000000003</v>
      </c>
      <c r="T61" s="74">
        <f t="shared" ref="T61:X61" si="152">T53</f>
        <v>89.216275999999993</v>
      </c>
      <c r="U61" s="74">
        <f t="shared" si="152"/>
        <v>138.252681</v>
      </c>
      <c r="V61" s="74">
        <f t="shared" si="152"/>
        <v>267.793272</v>
      </c>
      <c r="W61" s="74">
        <f t="shared" si="152"/>
        <v>402.43966399999999</v>
      </c>
      <c r="X61" s="101">
        <f t="shared" si="152"/>
        <v>539.32987449999996</v>
      </c>
      <c r="AA61" s="23" t="s">
        <v>202</v>
      </c>
      <c r="AB61" s="186"/>
      <c r="AC61" s="74">
        <f>AC53</f>
        <v>44.025135499999998</v>
      </c>
      <c r="AD61" s="74">
        <f t="shared" ref="AD61:AH61" si="153">AD53</f>
        <v>97.659463000000002</v>
      </c>
      <c r="AE61" s="74">
        <f t="shared" si="153"/>
        <v>151.58687399999999</v>
      </c>
      <c r="AF61" s="74">
        <f t="shared" si="153"/>
        <v>297.08950900000002</v>
      </c>
      <c r="AG61" s="74">
        <f t="shared" si="153"/>
        <v>446.703305</v>
      </c>
      <c r="AH61" s="101">
        <f t="shared" si="153"/>
        <v>593.87543100000005</v>
      </c>
      <c r="AK61" s="70" t="s">
        <v>202</v>
      </c>
      <c r="AL61" s="186"/>
      <c r="AM61" s="74">
        <f t="shared" si="107"/>
        <v>3.207036</v>
      </c>
      <c r="AN61" s="74">
        <f t="shared" ref="AN61:AN68" si="154">IMABS(IMDIV(J61-T61,1))</f>
        <v>7.5994685000000004</v>
      </c>
      <c r="AO61" s="74">
        <f t="shared" ref="AO61:AO68" si="155">IMABS(IMDIV(K61-U61,1))</f>
        <v>12.346845</v>
      </c>
      <c r="AP61" s="74">
        <f t="shared" ref="AP61:AP68" si="156">IMABS(IMDIV(L61-V61,1))</f>
        <v>26.997661999999998</v>
      </c>
      <c r="AQ61" s="74">
        <f t="shared" ref="AQ61:AQ68" si="157">IMABS(IMDIV(M61-W61,1))</f>
        <v>42.116790999999999</v>
      </c>
      <c r="AR61" s="101">
        <f t="shared" ref="AR61:AR68" si="158">IMABS(IMDIV(N61-X61,1))</f>
        <v>52.425544499999901</v>
      </c>
      <c r="AT61" s="70" t="s">
        <v>202</v>
      </c>
      <c r="AU61" s="186"/>
      <c r="AV61" s="74">
        <f t="shared" si="108"/>
        <v>3.6730844999999901</v>
      </c>
      <c r="AW61" s="74">
        <f t="shared" ref="AW61:AW68" si="159">IMABS(IMDIV(IMSUB(T61,AD61),1))</f>
        <v>8.4431870000000107</v>
      </c>
      <c r="AX61" s="74">
        <f t="shared" ref="AX61:AX68" si="160">IMABS(IMDIV(IMSUB(U61,AE61),1))</f>
        <v>13.334193000000001</v>
      </c>
      <c r="AY61" s="74">
        <f t="shared" ref="AY61:AY68" si="161">IMABS(IMDIV(IMSUB(V61,AF61),1))</f>
        <v>29.296237000000001</v>
      </c>
      <c r="AZ61" s="74">
        <f t="shared" ref="AZ61:BA68" si="162">IMABS(IMDIV(IMSUB(W61,AG61),1))</f>
        <v>44.263641</v>
      </c>
      <c r="BA61" s="101">
        <f t="shared" si="162"/>
        <v>54.545556500000103</v>
      </c>
    </row>
    <row r="62" spans="7:53" x14ac:dyDescent="0.55000000000000004">
      <c r="G62" s="23" t="s">
        <v>203</v>
      </c>
      <c r="H62" s="186"/>
      <c r="I62" s="74">
        <f t="shared" si="151"/>
        <v>3.5902660000000002</v>
      </c>
      <c r="J62" s="74">
        <f t="shared" si="151"/>
        <v>8.7740325000000006</v>
      </c>
      <c r="K62" s="74">
        <f t="shared" si="151"/>
        <v>14.350146000000001</v>
      </c>
      <c r="L62" s="74">
        <f t="shared" si="151"/>
        <v>29.446614</v>
      </c>
      <c r="M62" s="74">
        <f t="shared" si="151"/>
        <v>45.676113000000001</v>
      </c>
      <c r="N62" s="101">
        <f t="shared" si="151"/>
        <v>63.433706000000001</v>
      </c>
      <c r="Q62" s="23" t="s">
        <v>203</v>
      </c>
      <c r="R62" s="186"/>
      <c r="S62" s="74">
        <f>S54</f>
        <v>3.8947259999999999</v>
      </c>
      <c r="T62" s="74">
        <f t="shared" ref="T62:X62" si="163">T54</f>
        <v>9.6166160000000005</v>
      </c>
      <c r="U62" s="74">
        <f t="shared" si="163"/>
        <v>15.827152999999999</v>
      </c>
      <c r="V62" s="74">
        <f t="shared" si="163"/>
        <v>32.797024</v>
      </c>
      <c r="W62" s="74">
        <f t="shared" si="163"/>
        <v>51.061683000000002</v>
      </c>
      <c r="X62" s="101">
        <f t="shared" si="163"/>
        <v>69.898853500000001</v>
      </c>
      <c r="AA62" s="23" t="s">
        <v>203</v>
      </c>
      <c r="AB62" s="186"/>
      <c r="AC62" s="74">
        <f>AC54</f>
        <v>3.8902215</v>
      </c>
      <c r="AD62" s="74">
        <f t="shared" ref="AD62:AH62" si="164">AD54</f>
        <v>9.7820929999999997</v>
      </c>
      <c r="AE62" s="74">
        <f t="shared" si="164"/>
        <v>16.217376999999999</v>
      </c>
      <c r="AF62" s="74">
        <f t="shared" si="164"/>
        <v>34.970927000000003</v>
      </c>
      <c r="AG62" s="74">
        <f t="shared" si="164"/>
        <v>54.60183</v>
      </c>
      <c r="AH62" s="101">
        <f t="shared" si="164"/>
        <v>74.025110999999995</v>
      </c>
      <c r="AK62" s="70" t="s">
        <v>203</v>
      </c>
      <c r="AL62" s="186"/>
      <c r="AM62" s="74">
        <f t="shared" si="107"/>
        <v>0.30446000000000001</v>
      </c>
      <c r="AN62" s="74">
        <f t="shared" si="154"/>
        <v>0.84258350000000004</v>
      </c>
      <c r="AO62" s="74">
        <f t="shared" si="155"/>
        <v>1.477007</v>
      </c>
      <c r="AP62" s="74">
        <f t="shared" si="156"/>
        <v>3.3504100000000001</v>
      </c>
      <c r="AQ62" s="74">
        <f t="shared" si="157"/>
        <v>5.3855700000000004</v>
      </c>
      <c r="AR62" s="101">
        <f t="shared" si="158"/>
        <v>6.4651474999999996</v>
      </c>
      <c r="AT62" s="70" t="s">
        <v>203</v>
      </c>
      <c r="AU62" s="186"/>
      <c r="AV62" s="74">
        <f t="shared" si="108"/>
        <v>4.5044999999999096E-3</v>
      </c>
      <c r="AW62" s="74">
        <f t="shared" si="159"/>
        <v>0.16547699999999901</v>
      </c>
      <c r="AX62" s="74">
        <f t="shared" si="160"/>
        <v>0.39022400000000002</v>
      </c>
      <c r="AY62" s="74">
        <f t="shared" si="161"/>
        <v>2.1739030000000001</v>
      </c>
      <c r="AZ62" s="74">
        <f t="shared" si="162"/>
        <v>3.5401470000000002</v>
      </c>
      <c r="BA62" s="101">
        <f t="shared" si="162"/>
        <v>4.1262574999999897</v>
      </c>
    </row>
    <row r="63" spans="7:53" x14ac:dyDescent="0.55000000000000004">
      <c r="G63" s="23" t="s">
        <v>204</v>
      </c>
      <c r="H63" s="186"/>
      <c r="I63" s="74">
        <f t="shared" si="151"/>
        <v>308.11756415775983</v>
      </c>
      <c r="J63" s="74">
        <f t="shared" si="151"/>
        <v>308.11378847199319</v>
      </c>
      <c r="K63" s="74">
        <f t="shared" si="151"/>
        <v>308.09954533538468</v>
      </c>
      <c r="L63" s="74">
        <f t="shared" si="151"/>
        <v>308.09258354007522</v>
      </c>
      <c r="M63" s="74">
        <f t="shared" si="151"/>
        <v>308.07399096147776</v>
      </c>
      <c r="N63" s="101">
        <f t="shared" si="151"/>
        <v>308.05490948011567</v>
      </c>
      <c r="Q63" s="23" t="s">
        <v>204</v>
      </c>
      <c r="R63" s="186"/>
      <c r="S63" s="74">
        <f>S55</f>
        <v>345.58649185769389</v>
      </c>
      <c r="T63" s="74">
        <f t="shared" ref="T63:X63" si="165">T55</f>
        <v>345.59286879837623</v>
      </c>
      <c r="U63" s="74">
        <f t="shared" si="165"/>
        <v>345.59153049629072</v>
      </c>
      <c r="V63" s="74">
        <f t="shared" si="165"/>
        <v>345.58890708170179</v>
      </c>
      <c r="W63" s="74">
        <f t="shared" si="165"/>
        <v>345.58697053210079</v>
      </c>
      <c r="X63" s="101">
        <f t="shared" si="165"/>
        <v>345.58686674318346</v>
      </c>
      <c r="AA63" s="23" t="s">
        <v>204</v>
      </c>
      <c r="AB63" s="186"/>
      <c r="AC63" s="74">
        <f>AC55</f>
        <v>383.93757307197149</v>
      </c>
      <c r="AD63" s="74">
        <f t="shared" ref="AD63:AH63" si="166">AD55</f>
        <v>383.94244201956803</v>
      </c>
      <c r="AE63" s="74">
        <f t="shared" si="166"/>
        <v>383.94352171078646</v>
      </c>
      <c r="AF63" s="74">
        <f t="shared" si="166"/>
        <v>383.94003866851892</v>
      </c>
      <c r="AG63" s="74">
        <f t="shared" si="166"/>
        <v>383.93640350595672</v>
      </c>
      <c r="AH63" s="101">
        <f t="shared" si="166"/>
        <v>383.93617823805022</v>
      </c>
      <c r="AK63" s="70" t="s">
        <v>204</v>
      </c>
      <c r="AL63" s="186"/>
      <c r="AM63" s="74">
        <f t="shared" si="107"/>
        <v>37.468927699934099</v>
      </c>
      <c r="AN63" s="74">
        <f t="shared" si="154"/>
        <v>37.479080326382999</v>
      </c>
      <c r="AO63" s="74">
        <f t="shared" si="155"/>
        <v>37.491985160905998</v>
      </c>
      <c r="AP63" s="74">
        <f t="shared" si="156"/>
        <v>37.496323541626602</v>
      </c>
      <c r="AQ63" s="74">
        <f t="shared" si="157"/>
        <v>37.512979570623003</v>
      </c>
      <c r="AR63" s="101">
        <f t="shared" si="158"/>
        <v>37.531957263067802</v>
      </c>
      <c r="AT63" s="70" t="s">
        <v>204</v>
      </c>
      <c r="AU63" s="186"/>
      <c r="AV63" s="74">
        <f t="shared" si="108"/>
        <v>38.351081214277599</v>
      </c>
      <c r="AW63" s="74">
        <f t="shared" si="159"/>
        <v>38.349573221191797</v>
      </c>
      <c r="AX63" s="74">
        <f t="shared" si="160"/>
        <v>38.351991214495698</v>
      </c>
      <c r="AY63" s="74">
        <f t="shared" si="161"/>
        <v>38.351131586817097</v>
      </c>
      <c r="AZ63" s="74">
        <f t="shared" si="162"/>
        <v>38.349432973855897</v>
      </c>
      <c r="BA63" s="101">
        <f t="shared" si="162"/>
        <v>38.349311494866797</v>
      </c>
    </row>
    <row r="64" spans="7:53" x14ac:dyDescent="0.55000000000000004">
      <c r="G64" s="23" t="s">
        <v>205</v>
      </c>
      <c r="H64" s="186"/>
      <c r="I64" s="74">
        <f t="shared" si="151"/>
        <v>48.332457209720197</v>
      </c>
      <c r="J64" s="74">
        <f t="shared" si="151"/>
        <v>48.33536873719747</v>
      </c>
      <c r="K64" s="74">
        <f t="shared" si="151"/>
        <v>48.351475174997056</v>
      </c>
      <c r="L64" s="74">
        <f t="shared" si="151"/>
        <v>48.357874612230596</v>
      </c>
      <c r="M64" s="74">
        <f t="shared" si="151"/>
        <v>48.373783785435968</v>
      </c>
      <c r="N64" s="101">
        <f t="shared" si="151"/>
        <v>48.386501063816297</v>
      </c>
      <c r="Q64" s="23" t="s">
        <v>205</v>
      </c>
      <c r="R64" s="186"/>
      <c r="S64" s="74">
        <f>S56</f>
        <v>55.994384344829598</v>
      </c>
      <c r="T64" s="74">
        <f t="shared" ref="T64:X64" si="167">T56</f>
        <v>55.994815256838024</v>
      </c>
      <c r="U64" s="74">
        <f t="shared" si="167"/>
        <v>55.994560322450177</v>
      </c>
      <c r="V64" s="74">
        <f t="shared" si="167"/>
        <v>55.996495391910265</v>
      </c>
      <c r="W64" s="74">
        <f t="shared" si="167"/>
        <v>55.993193250456173</v>
      </c>
      <c r="X64" s="101">
        <f t="shared" si="167"/>
        <v>55.99239355920281</v>
      </c>
      <c r="AA64" s="23" t="s">
        <v>205</v>
      </c>
      <c r="AB64" s="186"/>
      <c r="AC64" s="74">
        <f>AC56</f>
        <v>61.384352863074994</v>
      </c>
      <c r="AD64" s="74">
        <f t="shared" ref="AD64:AH64" si="168">AD56</f>
        <v>61.384115006012543</v>
      </c>
      <c r="AE64" s="74">
        <f t="shared" si="168"/>
        <v>61.383819407536741</v>
      </c>
      <c r="AF64" s="74">
        <f t="shared" si="168"/>
        <v>61.384266410109916</v>
      </c>
      <c r="AG64" s="74">
        <f t="shared" si="168"/>
        <v>61.383891653270581</v>
      </c>
      <c r="AH64" s="101">
        <f t="shared" si="168"/>
        <v>61.385273813153198</v>
      </c>
      <c r="AK64" s="70" t="s">
        <v>205</v>
      </c>
      <c r="AL64" s="186"/>
      <c r="AM64" s="74">
        <f t="shared" si="107"/>
        <v>7.6619271351093996</v>
      </c>
      <c r="AN64" s="74">
        <f t="shared" si="154"/>
        <v>7.6594465196405501</v>
      </c>
      <c r="AO64" s="74">
        <f t="shared" si="155"/>
        <v>7.6430851474531201</v>
      </c>
      <c r="AP64" s="74">
        <f t="shared" si="156"/>
        <v>7.6386207796796697</v>
      </c>
      <c r="AQ64" s="74">
        <f t="shared" si="157"/>
        <v>7.6194094650202002</v>
      </c>
      <c r="AR64" s="101">
        <f t="shared" si="158"/>
        <v>7.6058924953865104</v>
      </c>
      <c r="AT64" s="70" t="s">
        <v>205</v>
      </c>
      <c r="AU64" s="186"/>
      <c r="AV64" s="74">
        <f t="shared" si="108"/>
        <v>5.3899685182454</v>
      </c>
      <c r="AW64" s="74">
        <f t="shared" si="159"/>
        <v>5.38929974917452</v>
      </c>
      <c r="AX64" s="74">
        <f t="shared" si="160"/>
        <v>5.38925908508656</v>
      </c>
      <c r="AY64" s="74">
        <f t="shared" si="161"/>
        <v>5.3877710181996497</v>
      </c>
      <c r="AZ64" s="74">
        <f t="shared" si="162"/>
        <v>5.3906984028144098</v>
      </c>
      <c r="BA64" s="101">
        <f t="shared" si="162"/>
        <v>5.3928802539503904</v>
      </c>
    </row>
    <row r="65" spans="7:53" x14ac:dyDescent="0.55000000000000004">
      <c r="G65" s="108" t="s">
        <v>206</v>
      </c>
      <c r="H65" s="186"/>
      <c r="I65" s="76">
        <f t="shared" ref="I65:N65" si="169">I57+I58</f>
        <v>1.212663739404885E-2</v>
      </c>
      <c r="J65" s="76">
        <f t="shared" si="169"/>
        <v>2.2315895085654951E-2</v>
      </c>
      <c r="K65" s="76">
        <f t="shared" si="169"/>
        <v>3.03136566965862E-2</v>
      </c>
      <c r="L65" s="76">
        <f t="shared" si="169"/>
        <v>4.7979964246123948E-2</v>
      </c>
      <c r="M65" s="76">
        <f t="shared" si="169"/>
        <v>6.3756034496979502E-2</v>
      </c>
      <c r="N65" s="116">
        <f t="shared" si="169"/>
        <v>7.7665106528783001E-2</v>
      </c>
      <c r="Q65" s="108" t="s">
        <v>206</v>
      </c>
      <c r="R65" s="186"/>
      <c r="S65" s="76">
        <f>S57+S58</f>
        <v>9.9205662475702998E-3</v>
      </c>
      <c r="T65" s="76">
        <f t="shared" ref="T65:X65" si="170">T57+T58</f>
        <v>1.8205688738740899E-2</v>
      </c>
      <c r="U65" s="76">
        <f t="shared" si="170"/>
        <v>2.4655423520985448E-2</v>
      </c>
      <c r="V65" s="76">
        <f t="shared" si="170"/>
        <v>3.9082392578338752E-2</v>
      </c>
      <c r="W65" s="76">
        <f t="shared" si="170"/>
        <v>5.1614106282234007E-2</v>
      </c>
      <c r="X65" s="116">
        <f t="shared" si="170"/>
        <v>6.2871999180529006E-2</v>
      </c>
      <c r="AA65" s="108" t="s">
        <v>206</v>
      </c>
      <c r="AB65" s="186"/>
      <c r="AC65" s="76">
        <f>AC57+AC58</f>
        <v>8.3621844906569508E-3</v>
      </c>
      <c r="AD65" s="76">
        <f t="shared" ref="AD65:AH65" si="171">AD57+AD58</f>
        <v>1.5344821484751751E-2</v>
      </c>
      <c r="AE65" s="76">
        <f t="shared" si="171"/>
        <v>2.0763801583703199E-2</v>
      </c>
      <c r="AF65" s="76">
        <f t="shared" si="171"/>
        <v>3.3009049656298847E-2</v>
      </c>
      <c r="AG65" s="76">
        <f t="shared" si="171"/>
        <v>4.3622065585412852E-2</v>
      </c>
      <c r="AH65" s="116">
        <f t="shared" si="171"/>
        <v>5.3053986234281501E-2</v>
      </c>
      <c r="AK65" s="72" t="s">
        <v>206</v>
      </c>
      <c r="AL65" s="186"/>
      <c r="AM65" s="76">
        <f t="shared" si="107"/>
        <v>2.2060711464785502E-3</v>
      </c>
      <c r="AN65" s="76">
        <f t="shared" si="154"/>
        <v>4.1102063469140504E-3</v>
      </c>
      <c r="AO65" s="76">
        <f t="shared" si="155"/>
        <v>5.6582331756007496E-3</v>
      </c>
      <c r="AP65" s="76">
        <f t="shared" si="156"/>
        <v>8.8975716677852004E-3</v>
      </c>
      <c r="AQ65" s="76">
        <f t="shared" si="157"/>
        <v>1.2141928214745501E-2</v>
      </c>
      <c r="AR65" s="116">
        <f t="shared" si="158"/>
        <v>1.4793107348254E-2</v>
      </c>
      <c r="AT65" s="72" t="s">
        <v>206</v>
      </c>
      <c r="AU65" s="186"/>
      <c r="AV65" s="76">
        <f t="shared" si="108"/>
        <v>1.5583817569133501E-3</v>
      </c>
      <c r="AW65" s="76">
        <f t="shared" si="159"/>
        <v>2.86086725398915E-3</v>
      </c>
      <c r="AX65" s="76">
        <f t="shared" si="160"/>
        <v>3.8916219372822501E-3</v>
      </c>
      <c r="AY65" s="76">
        <f t="shared" si="161"/>
        <v>6.0733429220399104E-3</v>
      </c>
      <c r="AZ65" s="76">
        <f t="shared" si="162"/>
        <v>7.9920406968211604E-3</v>
      </c>
      <c r="BA65" s="116">
        <f t="shared" si="162"/>
        <v>9.8180129462474997E-3</v>
      </c>
    </row>
    <row r="66" spans="7:53" x14ac:dyDescent="0.55000000000000004">
      <c r="G66" s="108" t="s">
        <v>207</v>
      </c>
      <c r="H66" s="186"/>
      <c r="I66" s="76">
        <f t="shared" ref="I66:N66" si="172">-I58</f>
        <v>-2.9484179372187501E-3</v>
      </c>
      <c r="J66" s="76">
        <f t="shared" si="172"/>
        <v>-5.4771688340877504E-3</v>
      </c>
      <c r="K66" s="76">
        <f t="shared" si="172"/>
        <v>-7.4715635107646004E-3</v>
      </c>
      <c r="L66" s="76">
        <f t="shared" si="172"/>
        <v>-1.191060002557485E-2</v>
      </c>
      <c r="M66" s="76">
        <f t="shared" si="172"/>
        <v>-1.5930877237848601E-2</v>
      </c>
      <c r="N66" s="116">
        <f t="shared" si="172"/>
        <v>-1.95238961096257E-2</v>
      </c>
      <c r="Q66" s="108" t="s">
        <v>207</v>
      </c>
      <c r="R66" s="186"/>
      <c r="S66" s="76">
        <f>-S58</f>
        <v>-2.4918574411512749E-3</v>
      </c>
      <c r="T66" s="76">
        <f t="shared" ref="T66:X66" si="173">-T58</f>
        <v>-4.5617843067461998E-3</v>
      </c>
      <c r="U66" s="76">
        <f t="shared" si="173"/>
        <v>-6.1816606840476504E-3</v>
      </c>
      <c r="V66" s="76">
        <f t="shared" si="173"/>
        <v>-9.7558048090745503E-3</v>
      </c>
      <c r="W66" s="76">
        <f t="shared" si="173"/>
        <v>-1.290974724058205E-2</v>
      </c>
      <c r="X66" s="116">
        <f t="shared" si="173"/>
        <v>-1.5693922942147599E-2</v>
      </c>
      <c r="AA66" s="108" t="s">
        <v>207</v>
      </c>
      <c r="AB66" s="186"/>
      <c r="AC66" s="76">
        <f>-AC58</f>
        <v>-2.1577963691090502E-3</v>
      </c>
      <c r="AD66" s="76">
        <f t="shared" ref="AD66:AH66" si="174">-AD58</f>
        <v>-3.9613638656712498E-3</v>
      </c>
      <c r="AE66" s="76">
        <f t="shared" si="174"/>
        <v>-5.3577237344303004E-3</v>
      </c>
      <c r="AF66" s="76">
        <f t="shared" si="174"/>
        <v>-8.5620611071489505E-3</v>
      </c>
      <c r="AG66" s="76">
        <f t="shared" si="174"/>
        <v>-1.1292753405366949E-2</v>
      </c>
      <c r="AH66" s="116">
        <f t="shared" si="174"/>
        <v>-1.3676813492685199E-2</v>
      </c>
      <c r="AK66" s="72" t="s">
        <v>207</v>
      </c>
      <c r="AL66" s="186"/>
      <c r="AM66" s="76">
        <f t="shared" si="107"/>
        <v>4.5656049606747503E-4</v>
      </c>
      <c r="AN66" s="76">
        <f t="shared" si="154"/>
        <v>9.1538452734155095E-4</v>
      </c>
      <c r="AO66" s="76">
        <f t="shared" si="155"/>
        <v>1.28990282671695E-3</v>
      </c>
      <c r="AP66" s="76">
        <f t="shared" si="156"/>
        <v>2.1547952165003E-3</v>
      </c>
      <c r="AQ66" s="76">
        <f t="shared" si="157"/>
        <v>3.0211299972665502E-3</v>
      </c>
      <c r="AR66" s="116">
        <f t="shared" si="158"/>
        <v>3.8299731674780999E-3</v>
      </c>
      <c r="AT66" s="72" t="s">
        <v>207</v>
      </c>
      <c r="AU66" s="186"/>
      <c r="AV66" s="76">
        <f t="shared" si="108"/>
        <v>3.3406107204222502E-4</v>
      </c>
      <c r="AW66" s="76">
        <f t="shared" si="159"/>
        <v>6.0042044107494995E-4</v>
      </c>
      <c r="AX66" s="76">
        <f t="shared" si="160"/>
        <v>8.2393694961734997E-4</v>
      </c>
      <c r="AY66" s="76">
        <f t="shared" si="161"/>
        <v>1.1937437019256E-3</v>
      </c>
      <c r="AZ66" s="76">
        <f t="shared" si="162"/>
        <v>1.6169938352150999E-3</v>
      </c>
      <c r="BA66" s="116">
        <f t="shared" si="162"/>
        <v>2.0171094494624E-3</v>
      </c>
    </row>
    <row r="67" spans="7:53" x14ac:dyDescent="0.55000000000000004">
      <c r="G67" s="108" t="s">
        <v>208</v>
      </c>
      <c r="H67" s="186"/>
      <c r="I67" s="74">
        <f t="shared" ref="I67:N67" si="175">I59+I60</f>
        <v>135.57546550397365</v>
      </c>
      <c r="J67" s="74">
        <f t="shared" si="175"/>
        <v>135.18120766922522</v>
      </c>
      <c r="K67" s="74">
        <f t="shared" si="175"/>
        <v>134.00468787337016</v>
      </c>
      <c r="L67" s="74">
        <f t="shared" si="175"/>
        <v>133.51814278445121</v>
      </c>
      <c r="M67" s="74">
        <f t="shared" si="175"/>
        <v>132.34841619472209</v>
      </c>
      <c r="N67" s="101">
        <f t="shared" si="175"/>
        <v>131.17741309868268</v>
      </c>
      <c r="Q67" s="108" t="s">
        <v>208</v>
      </c>
      <c r="R67" s="186"/>
      <c r="S67" s="74">
        <f>S59+S60</f>
        <v>116.13873140872066</v>
      </c>
      <c r="T67" s="74">
        <f t="shared" ref="T67:X67" si="176">T59+T60</f>
        <v>115.78783426713882</v>
      </c>
      <c r="U67" s="74">
        <f t="shared" si="176"/>
        <v>114.73598741844285</v>
      </c>
      <c r="V67" s="74">
        <f t="shared" si="176"/>
        <v>114.54170167951087</v>
      </c>
      <c r="W67" s="74">
        <f t="shared" si="176"/>
        <v>113.49454027701992</v>
      </c>
      <c r="X67" s="101">
        <f t="shared" si="176"/>
        <v>112.44646162060245</v>
      </c>
      <c r="AA67" s="108" t="s">
        <v>208</v>
      </c>
      <c r="AB67" s="186"/>
      <c r="AC67" s="74">
        <f>AC59+AC60</f>
        <v>100.15808010368903</v>
      </c>
      <c r="AD67" s="74">
        <f t="shared" ref="AD67:AH67" si="177">AD59+AD60</f>
        <v>99.846155683737763</v>
      </c>
      <c r="AE67" s="74">
        <f t="shared" si="177"/>
        <v>98.907056107495691</v>
      </c>
      <c r="AF67" s="74">
        <f t="shared" si="177"/>
        <v>98.939259197292344</v>
      </c>
      <c r="AG67" s="74">
        <f t="shared" si="177"/>
        <v>98.004426995692057</v>
      </c>
      <c r="AH67" s="101">
        <f t="shared" si="177"/>
        <v>97.068398560132636</v>
      </c>
      <c r="AK67" s="72" t="s">
        <v>208</v>
      </c>
      <c r="AL67" s="186"/>
      <c r="AM67" s="74">
        <f t="shared" si="107"/>
        <v>19.436734095253001</v>
      </c>
      <c r="AN67" s="74">
        <f t="shared" si="154"/>
        <v>19.3933734020864</v>
      </c>
      <c r="AO67" s="74">
        <f t="shared" si="155"/>
        <v>19.268700454927298</v>
      </c>
      <c r="AP67" s="74">
        <f t="shared" si="156"/>
        <v>18.976441104940299</v>
      </c>
      <c r="AQ67" s="74">
        <f t="shared" si="157"/>
        <v>18.853875917702201</v>
      </c>
      <c r="AR67" s="101">
        <f t="shared" si="158"/>
        <v>18.7309514780802</v>
      </c>
      <c r="AT67" s="72" t="s">
        <v>208</v>
      </c>
      <c r="AU67" s="186"/>
      <c r="AV67" s="74">
        <f t="shared" si="108"/>
        <v>15.9806513050316</v>
      </c>
      <c r="AW67" s="74">
        <f t="shared" si="159"/>
        <v>15.941678583401099</v>
      </c>
      <c r="AX67" s="74">
        <f t="shared" si="160"/>
        <v>15.828931310947199</v>
      </c>
      <c r="AY67" s="74">
        <f t="shared" si="161"/>
        <v>15.6024424822185</v>
      </c>
      <c r="AZ67" s="74">
        <f t="shared" si="162"/>
        <v>15.490113281327901</v>
      </c>
      <c r="BA67" s="101">
        <f t="shared" si="162"/>
        <v>15.378063060469801</v>
      </c>
    </row>
    <row r="68" spans="7:53" ht="14.7" thickBot="1" x14ac:dyDescent="0.6">
      <c r="G68" s="26" t="s">
        <v>209</v>
      </c>
      <c r="H68" s="187"/>
      <c r="I68" s="117">
        <f t="shared" ref="I68:N68" si="178">-I60</f>
        <v>-21.266893818655088</v>
      </c>
      <c r="J68" s="117">
        <f t="shared" si="178"/>
        <v>-21.206590518165012</v>
      </c>
      <c r="K68" s="117">
        <f t="shared" si="178"/>
        <v>-21.03000502937153</v>
      </c>
      <c r="L68" s="117">
        <f t="shared" si="178"/>
        <v>-20.95690318966275</v>
      </c>
      <c r="M68" s="117">
        <f t="shared" si="178"/>
        <v>-20.781399553345153</v>
      </c>
      <c r="N68" s="118">
        <f t="shared" si="178"/>
        <v>-20.604227317964053</v>
      </c>
      <c r="Q68" s="26" t="s">
        <v>209</v>
      </c>
      <c r="R68" s="187"/>
      <c r="S68" s="117">
        <f>-S60</f>
        <v>-18.817622654374087</v>
      </c>
      <c r="T68" s="117">
        <f t="shared" ref="T68:X68" si="179">-T60</f>
        <v>-18.760566288134441</v>
      </c>
      <c r="U68" s="117">
        <f t="shared" si="179"/>
        <v>-18.590129555476352</v>
      </c>
      <c r="V68" s="117">
        <f t="shared" si="179"/>
        <v>-18.559427204617535</v>
      </c>
      <c r="W68" s="117">
        <f t="shared" si="179"/>
        <v>-18.388773012237795</v>
      </c>
      <c r="X68" s="118">
        <f t="shared" si="179"/>
        <v>-18.218703084152992</v>
      </c>
      <c r="AA68" s="26" t="s">
        <v>209</v>
      </c>
      <c r="AB68" s="187"/>
      <c r="AC68" s="117">
        <f>-AC60</f>
        <v>-16.013381567970796</v>
      </c>
      <c r="AD68" s="117">
        <f t="shared" ref="AD68:AH68" si="180">-AD60</f>
        <v>-15.963245410570735</v>
      </c>
      <c r="AE68" s="117">
        <f t="shared" si="180"/>
        <v>-15.812981621897627</v>
      </c>
      <c r="AF68" s="117">
        <f t="shared" si="180"/>
        <v>-15.818394726903801</v>
      </c>
      <c r="AG68" s="117">
        <f t="shared" si="180"/>
        <v>-15.66898445610979</v>
      </c>
      <c r="AH68" s="118">
        <f t="shared" si="180"/>
        <v>-15.519686277938927</v>
      </c>
      <c r="AK68" s="73" t="s">
        <v>209</v>
      </c>
      <c r="AL68" s="188"/>
      <c r="AM68" s="117">
        <f t="shared" si="107"/>
        <v>2.4492711642809999</v>
      </c>
      <c r="AN68" s="117">
        <f t="shared" si="154"/>
        <v>2.4460242300305701</v>
      </c>
      <c r="AO68" s="117">
        <f t="shared" si="155"/>
        <v>2.4398754738951798</v>
      </c>
      <c r="AP68" s="117">
        <f t="shared" si="156"/>
        <v>2.3974759850452201</v>
      </c>
      <c r="AQ68" s="117">
        <f t="shared" si="157"/>
        <v>2.3926265411073602</v>
      </c>
      <c r="AR68" s="118">
        <f t="shared" si="158"/>
        <v>2.38552423381106</v>
      </c>
      <c r="AT68" s="73" t="s">
        <v>209</v>
      </c>
      <c r="AU68" s="188"/>
      <c r="AV68" s="117">
        <f t="shared" si="108"/>
        <v>2.8042410864032901</v>
      </c>
      <c r="AW68" s="117">
        <f t="shared" si="159"/>
        <v>2.7973208775637102</v>
      </c>
      <c r="AX68" s="117">
        <f t="shared" si="160"/>
        <v>2.7771479335787199</v>
      </c>
      <c r="AY68" s="117">
        <f t="shared" si="161"/>
        <v>2.74103247771373</v>
      </c>
      <c r="AZ68" s="117">
        <f t="shared" si="162"/>
        <v>2.7197885561280102</v>
      </c>
      <c r="BA68" s="118">
        <f t="shared" si="162"/>
        <v>2.6990168062140598</v>
      </c>
    </row>
  </sheetData>
  <sheetProtection algorithmName="SHA-512" hashValue="a+CDdyzqtct2PJ4Za7FqgeJc/1ajN2fwDqGEDA+wo6fFbKiZseOFDmpH5WaX8AKisPmRM79qnshWz7EWBXXiyw==" saltValue="IZheFPXK83HBBMdV4cONkw==" spinCount="100000" sheet="1" objects="1" scenarios="1" formatColumns="0" formatRows="0" autoFilter="0"/>
  <protectedRanges>
    <protectedRange sqref="R19" name="Temperature Selector"/>
    <protectedRange sqref="I10:I13 K10:L12" name="Stripline Parameters and Tolerances"/>
  </protectedRanges>
  <mergeCells count="51">
    <mergeCell ref="AT16:BA16"/>
    <mergeCell ref="AT17:BA17"/>
    <mergeCell ref="AT18:AU18"/>
    <mergeCell ref="AU19:AU32"/>
    <mergeCell ref="AT33:BA33"/>
    <mergeCell ref="AU34:AU43"/>
    <mergeCell ref="AT44:BA44"/>
    <mergeCell ref="AU45:AU68"/>
    <mergeCell ref="AA33:AH33"/>
    <mergeCell ref="AB34:AB43"/>
    <mergeCell ref="AA44:AH44"/>
    <mergeCell ref="AB45:AB68"/>
    <mergeCell ref="AL34:AL43"/>
    <mergeCell ref="AK44:AR44"/>
    <mergeCell ref="AL45:AL68"/>
    <mergeCell ref="AK16:AR16"/>
    <mergeCell ref="AK17:AR17"/>
    <mergeCell ref="AK18:AL18"/>
    <mergeCell ref="AL19:AL32"/>
    <mergeCell ref="AK33:AR33"/>
    <mergeCell ref="AA16:AH16"/>
    <mergeCell ref="AA17:AH17"/>
    <mergeCell ref="AA18:AB18"/>
    <mergeCell ref="AB19:AB32"/>
    <mergeCell ref="AI22:AI25"/>
    <mergeCell ref="J5:J6"/>
    <mergeCell ref="L5:M6"/>
    <mergeCell ref="Y22:Y25"/>
    <mergeCell ref="Q17:X17"/>
    <mergeCell ref="I2:I3"/>
    <mergeCell ref="L2:M3"/>
    <mergeCell ref="Q18:R18"/>
    <mergeCell ref="Q16:X16"/>
    <mergeCell ref="G16:N16"/>
    <mergeCell ref="G17:N17"/>
    <mergeCell ref="G18:H18"/>
    <mergeCell ref="F10:H10"/>
    <mergeCell ref="F11:H11"/>
    <mergeCell ref="G13:H13"/>
    <mergeCell ref="G12:H12"/>
    <mergeCell ref="Q44:X44"/>
    <mergeCell ref="R45:R68"/>
    <mergeCell ref="Q33:X33"/>
    <mergeCell ref="R34:R43"/>
    <mergeCell ref="R19:R32"/>
    <mergeCell ref="H45:H68"/>
    <mergeCell ref="H19:H32"/>
    <mergeCell ref="O22:O25"/>
    <mergeCell ref="G33:N33"/>
    <mergeCell ref="H34:H43"/>
    <mergeCell ref="G44:N44"/>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A H X 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s A 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H X W i i K R 7 g O A A A A E Q A A A B M A H A B G b 3 J t d W x h c y 9 T Z W N 0 a W 9 u M S 5 t I K I Y A C i g F A A A A A A A A A A A A A A A A A A A A A A A A A A A A C t O T S 7 J z M 9 T C I b Q h t Y A U E s B A i 0 A F A A C A A g A b A H X W i L k O f y j A A A A 9 g A A A B I A A A A A A A A A A A A A A A A A A A A A A E N v b m Z p Z y 9 Q Y W N r Y W d l L n h t b F B L A Q I t A B Q A A g A I A G w B 1 1 o P y u m r p A A A A O k A A A A T A A A A A A A A A A A A A A A A A O 8 A A A B b Q 2 9 u d G V u d F 9 U e X B l c 1 0 u e G 1 s U E s B A i 0 A F A A C A A g A b A H X 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M z B F v F N G x J s a l P y J A 6 7 q A A A A A A A g A A A A A A E G Y A A A A B A A A g A A A A v O P h m p W d W + R K U L X 9 5 / t 3 A 7 Z t O d p 8 L X 8 9 c N / U a w w L D 3 I A A A A A D o A A A A A C A A A g A A A A p d G x m J Z Y e T k 5 s s f b X B g k G H V 9 i 4 L 2 5 / C 2 G Y / 1 o i 1 w O n N Q A A A A y V B 6 w 9 G / 4 m 4 V 9 7 3 z Q + 6 R V 0 H m / 2 G N s F j 7 B I K Z J k 2 t W A 3 N Z w l t Z g J f D H j 9 g H q / 5 j f X K e K K G 3 B 3 R r i v x B J D l f K A 6 g F C 0 e b B + m d E y p y O U r W F A D 9 A A A A A j N H L C p n B l K c F H q P F A L c Q c 8 N Z H L q m Q z d E 7 E W p o d R n y p w / G l T Y W K f o p D I W 5 T l 9 2 W b 4 I W o J p J / x D V x C 8 z G Q W Q o d A Q = = < / D a t a M a s h u p > 
</file>

<file path=customXml/itemProps1.xml><?xml version="1.0" encoding="utf-8"?>
<ds:datastoreItem xmlns:ds="http://schemas.openxmlformats.org/officeDocument/2006/customXml" ds:itemID="{3977FC2F-E9A1-4742-A8C7-4CB9DBEAE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vt:lpstr>
      <vt:lpstr>User Guide</vt:lpstr>
      <vt:lpstr>Material Database</vt:lpstr>
      <vt:lpstr>Material Modeler</vt:lpstr>
      <vt:lpstr>Transmission Line Design</vt:lpstr>
    </vt:vector>
  </TitlesOfParts>
  <Manager/>
  <Company>Ericsson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Ibrahim</dc:creator>
  <cp:keywords/>
  <dc:description/>
  <cp:lastModifiedBy>Ahmed Ibrahim</cp:lastModifiedBy>
  <cp:revision/>
  <dcterms:created xsi:type="dcterms:W3CDTF">2024-10-04T04:04:47Z</dcterms:created>
  <dcterms:modified xsi:type="dcterms:W3CDTF">2025-08-06T14:57:43Z</dcterms:modified>
  <cp:category/>
  <cp:contentStatus/>
</cp:coreProperties>
</file>