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ehibamr\Downloads\"/>
    </mc:Choice>
  </mc:AlternateContent>
  <xr:revisionPtr revIDLastSave="0" documentId="13_ncr:1_{6B096F23-16AB-4179-9267-FAA7619567C8}" xr6:coauthVersionLast="47" xr6:coauthVersionMax="47" xr10:uidLastSave="{00000000-0000-0000-0000-000000000000}"/>
  <bookViews>
    <workbookView xWindow="-96" yWindow="-96" windowWidth="23232" windowHeight="12432" xr2:uid="{5EA1DA88-E9FB-4521-A55E-B04EDA6703B2}"/>
  </bookViews>
  <sheets>
    <sheet name="Revision" sheetId="4" r:id="rId1"/>
    <sheet name="User Guide" sheetId="5" r:id="rId2"/>
    <sheet name="Material Modeler" sheetId="12" r:id="rId3"/>
    <sheet name="Material Database" sheetId="13" r:id="rId4"/>
  </sheets>
  <definedNames>
    <definedName name="Google_Sheet_Link_1785581074" localSheetId="2" hidden="1">_EMI_Filter</definedName>
    <definedName name="Google_Sheet_Link_1785581074" localSheetId="1" hidden="1">_EMI_Filter</definedName>
    <definedName name="Google_Sheet_Link_1785581074" hidden="1">_EMI_Filter</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2" l="1"/>
  <c r="AV3" i="13"/>
  <c r="AW3" i="13"/>
  <c r="AX3" i="13"/>
  <c r="AY3" i="13"/>
  <c r="AZ3" i="13"/>
  <c r="BC3" i="13"/>
  <c r="BD3" i="13"/>
  <c r="BE3" i="13"/>
  <c r="BF3" i="13"/>
  <c r="BG3" i="13"/>
  <c r="BB3" i="13"/>
  <c r="BA3" i="13"/>
  <c r="AK3" i="13"/>
  <c r="AL3" i="13"/>
  <c r="AM3" i="13"/>
  <c r="AN3" i="13"/>
  <c r="G12" i="12" s="1"/>
  <c r="AO3" i="13"/>
  <c r="AJ3" i="13"/>
  <c r="AE3" i="13"/>
  <c r="AF3" i="13"/>
  <c r="AG3" i="13"/>
  <c r="AH3" i="13"/>
  <c r="G11" i="12" s="1"/>
  <c r="AI3" i="13"/>
  <c r="AD3" i="13"/>
  <c r="A11" i="12"/>
  <c r="B11" i="12"/>
  <c r="C11" i="12"/>
  <c r="D11" i="12"/>
  <c r="E11" i="12"/>
  <c r="F11" i="12"/>
  <c r="H11" i="12"/>
  <c r="A12" i="12"/>
  <c r="B12" i="12"/>
  <c r="C12" i="12"/>
  <c r="D12" i="12"/>
  <c r="E12" i="12"/>
  <c r="F12" i="12"/>
  <c r="H12" i="12"/>
  <c r="C3" i="13"/>
  <c r="B3" i="13"/>
  <c r="H3" i="12" l="1"/>
  <c r="BJ7" i="13"/>
  <c r="BJ6" i="13"/>
  <c r="BJ5" i="13"/>
  <c r="BJ4" i="13"/>
  <c r="BJ3" i="13"/>
  <c r="C1" i="12"/>
  <c r="C2" i="12"/>
  <c r="C4" i="12"/>
  <c r="H1" i="12"/>
  <c r="H2" i="12"/>
  <c r="M3" i="12"/>
  <c r="A10" i="12"/>
  <c r="A25" i="12" s="1"/>
  <c r="S26" i="12"/>
  <c r="S27" i="12"/>
  <c r="B10" i="12"/>
  <c r="K26" i="12"/>
  <c r="T27" i="12"/>
  <c r="C9" i="12"/>
  <c r="C10" i="12"/>
  <c r="D9" i="12"/>
  <c r="D24" i="12" s="1"/>
  <c r="D45" i="12" s="1"/>
  <c r="D10" i="12"/>
  <c r="E9" i="12"/>
  <c r="F9" i="12"/>
  <c r="G9" i="12"/>
  <c r="P24" i="12" s="1"/>
  <c r="H9" i="12"/>
  <c r="E10" i="12"/>
  <c r="F10" i="12"/>
  <c r="G10" i="12"/>
  <c r="H10" i="12"/>
  <c r="A16" i="12"/>
  <c r="A17" i="12"/>
  <c r="A18" i="12"/>
  <c r="B16" i="12"/>
  <c r="B17" i="12"/>
  <c r="B18" i="12"/>
  <c r="C15" i="12"/>
  <c r="D15" i="12"/>
  <c r="E15" i="12"/>
  <c r="F15" i="12"/>
  <c r="G15" i="12"/>
  <c r="H15" i="12"/>
  <c r="C16" i="12"/>
  <c r="D16" i="12"/>
  <c r="E16" i="12"/>
  <c r="F16" i="12"/>
  <c r="G16" i="12"/>
  <c r="C17" i="12"/>
  <c r="D17" i="12"/>
  <c r="E17" i="12"/>
  <c r="F17" i="12"/>
  <c r="G17" i="12"/>
  <c r="H17" i="12"/>
  <c r="C18" i="12"/>
  <c r="D18" i="12"/>
  <c r="E18" i="12"/>
  <c r="F18" i="12"/>
  <c r="G18" i="12"/>
  <c r="H18" i="12"/>
  <c r="H16" i="12"/>
  <c r="C5" i="13"/>
  <c r="M2" i="12" s="1"/>
  <c r="B5" i="13"/>
  <c r="M1" i="12" s="1"/>
  <c r="C4" i="13"/>
  <c r="B4" i="13"/>
  <c r="T24" i="12"/>
  <c r="T45" i="12" s="1"/>
  <c r="S24" i="12"/>
  <c r="S45" i="12" s="1"/>
  <c r="K24" i="12"/>
  <c r="K45" i="12" s="1"/>
  <c r="J24" i="12"/>
  <c r="J45" i="12" s="1"/>
  <c r="B24" i="12"/>
  <c r="B45" i="12" s="1"/>
  <c r="A24" i="12"/>
  <c r="A45" i="12" s="1"/>
  <c r="AL18" i="12"/>
  <c r="AL13" i="12"/>
  <c r="AL8" i="12"/>
  <c r="AL3" i="12"/>
  <c r="AK1" i="12"/>
  <c r="AB1" i="12"/>
  <c r="AC3" i="12" l="1"/>
  <c r="A46" i="12"/>
  <c r="K46" i="12" s="1"/>
  <c r="U24" i="12"/>
  <c r="U45" i="12" s="1"/>
  <c r="A27" i="12"/>
  <c r="B27" i="12"/>
  <c r="X20" i="12"/>
  <c r="X21" i="12" s="1"/>
  <c r="G24" i="12"/>
  <c r="G45" i="12" s="1"/>
  <c r="X24" i="12"/>
  <c r="X45" i="12" s="1"/>
  <c r="E24" i="12"/>
  <c r="E45" i="12" s="1"/>
  <c r="Y20" i="12"/>
  <c r="Y21" i="12" s="1"/>
  <c r="Z20" i="12"/>
  <c r="Z21" i="12" s="1"/>
  <c r="U20" i="12"/>
  <c r="U21" i="12" s="1"/>
  <c r="V20" i="12"/>
  <c r="W20" i="12"/>
  <c r="W21" i="12" s="1"/>
  <c r="K27" i="12"/>
  <c r="D20" i="12"/>
  <c r="D21" i="12" s="1"/>
  <c r="T26" i="12"/>
  <c r="E20" i="12"/>
  <c r="E21" i="12" s="1"/>
  <c r="C20" i="12"/>
  <c r="C21" i="12" s="1"/>
  <c r="F20" i="12"/>
  <c r="F21" i="12" s="1"/>
  <c r="G20" i="12"/>
  <c r="G21" i="12" s="1"/>
  <c r="B25" i="12"/>
  <c r="H20" i="12"/>
  <c r="H21" i="12" s="1"/>
  <c r="K25" i="12"/>
  <c r="T25" i="12"/>
  <c r="B26" i="12"/>
  <c r="J25" i="12"/>
  <c r="A26" i="12"/>
  <c r="J27" i="12"/>
  <c r="J26" i="12"/>
  <c r="S25" i="12"/>
  <c r="Q24" i="12"/>
  <c r="Q45" i="12" s="1"/>
  <c r="Z24" i="12"/>
  <c r="Z45" i="12" s="1"/>
  <c r="O24" i="12"/>
  <c r="AP2" i="12" s="1"/>
  <c r="F24" i="12"/>
  <c r="F45" i="12" s="1"/>
  <c r="N24" i="12"/>
  <c r="AO2" i="12" s="1"/>
  <c r="H24" i="12"/>
  <c r="H45" i="12" s="1"/>
  <c r="P45" i="12"/>
  <c r="AQ2" i="12"/>
  <c r="Y24" i="12"/>
  <c r="Y45" i="12" s="1"/>
  <c r="W24" i="12"/>
  <c r="W45" i="12" s="1"/>
  <c r="V24" i="12"/>
  <c r="V45" i="12" s="1"/>
  <c r="M24" i="12"/>
  <c r="AE2" i="12" s="1"/>
  <c r="C24" i="12"/>
  <c r="C45" i="12" s="1"/>
  <c r="L24" i="12"/>
  <c r="AM2" i="12" s="1"/>
  <c r="AB6" i="12"/>
  <c r="AC7" i="12"/>
  <c r="A44" i="12"/>
  <c r="J44" i="12"/>
  <c r="AH2" i="12"/>
  <c r="J46" i="12" l="1"/>
  <c r="S46" i="12" s="1"/>
  <c r="T46" i="12" s="1"/>
  <c r="Z46" i="12" s="1"/>
  <c r="AR9" i="12" s="1"/>
  <c r="B46" i="12"/>
  <c r="H46" i="12" s="1"/>
  <c r="S44" i="12"/>
  <c r="AQ10" i="12"/>
  <c r="AQ11" i="12" s="1"/>
  <c r="AH3" i="12"/>
  <c r="AH4" i="12" s="1"/>
  <c r="AM20" i="12"/>
  <c r="AM21" i="12" s="1"/>
  <c r="E27" i="12"/>
  <c r="D27" i="12"/>
  <c r="W26" i="12"/>
  <c r="Z25" i="12"/>
  <c r="Y26" i="12"/>
  <c r="X26" i="12"/>
  <c r="C25" i="12"/>
  <c r="N45" i="12"/>
  <c r="V21" i="12"/>
  <c r="V26" i="12" s="1"/>
  <c r="U27" i="12"/>
  <c r="U26" i="12"/>
  <c r="P25" i="12"/>
  <c r="G26" i="12"/>
  <c r="AI2" i="12"/>
  <c r="AI26" i="12" s="1"/>
  <c r="AR2" i="12"/>
  <c r="AR10" i="12" s="1"/>
  <c r="AR11" i="12" s="1"/>
  <c r="AP20" i="12"/>
  <c r="AP21" i="12" s="1"/>
  <c r="AP10" i="12"/>
  <c r="AP11" i="12" s="1"/>
  <c r="AP5" i="12"/>
  <c r="AP6" i="12" s="1"/>
  <c r="AP15" i="12"/>
  <c r="AP16" i="12" s="1"/>
  <c r="AF2" i="12"/>
  <c r="Z26" i="12"/>
  <c r="Z27" i="12"/>
  <c r="U25" i="12"/>
  <c r="H27" i="12"/>
  <c r="O25" i="12"/>
  <c r="G27" i="12"/>
  <c r="O27" i="12"/>
  <c r="O26" i="12"/>
  <c r="H26" i="12"/>
  <c r="F25" i="12"/>
  <c r="G25" i="12"/>
  <c r="P27" i="12"/>
  <c r="P26" i="12"/>
  <c r="O46" i="12"/>
  <c r="F27" i="12"/>
  <c r="F26" i="12"/>
  <c r="H25" i="12"/>
  <c r="Q25" i="12"/>
  <c r="Q27" i="12"/>
  <c r="Q26" i="12"/>
  <c r="AQ5" i="12"/>
  <c r="AQ6" i="12" s="1"/>
  <c r="AH26" i="12"/>
  <c r="O45" i="12"/>
  <c r="AG2" i="12"/>
  <c r="AN2" i="12"/>
  <c r="AN5" i="12" s="1"/>
  <c r="AN6" i="12" s="1"/>
  <c r="AQ20" i="12"/>
  <c r="AQ21" i="12" s="1"/>
  <c r="AQ15" i="12"/>
  <c r="AQ16" i="12" s="1"/>
  <c r="M45" i="12"/>
  <c r="AM5" i="12"/>
  <c r="AM6" i="12" s="1"/>
  <c r="AM10" i="12"/>
  <c r="AM11" i="12" s="1"/>
  <c r="AD2" i="12"/>
  <c r="AD3" i="12" s="1"/>
  <c r="AD4" i="12" s="1"/>
  <c r="L45" i="12"/>
  <c r="AM15" i="12"/>
  <c r="AM16" i="12" s="1"/>
  <c r="Q46" i="12"/>
  <c r="P46" i="12"/>
  <c r="M46" i="12"/>
  <c r="D26" i="12"/>
  <c r="E26" i="12"/>
  <c r="C26" i="12"/>
  <c r="Y25" i="12"/>
  <c r="X25" i="12"/>
  <c r="L25" i="12"/>
  <c r="Y27" i="12"/>
  <c r="X27" i="12"/>
  <c r="AO20" i="12"/>
  <c r="AO21" i="12" s="1"/>
  <c r="AO15" i="12"/>
  <c r="AO16" i="12" s="1"/>
  <c r="AO5" i="12"/>
  <c r="AO6" i="12" s="1"/>
  <c r="AO10" i="12"/>
  <c r="AO11" i="12" s="1"/>
  <c r="AE3" i="12"/>
  <c r="AE4" i="12" s="1"/>
  <c r="AE26" i="12"/>
  <c r="N46" i="12"/>
  <c r="N27" i="12"/>
  <c r="C27" i="12"/>
  <c r="W25" i="12"/>
  <c r="M26" i="12"/>
  <c r="L46" i="12"/>
  <c r="L27" i="12"/>
  <c r="E25" i="12"/>
  <c r="M27" i="12"/>
  <c r="D25" i="12"/>
  <c r="W27" i="12"/>
  <c r="N26" i="12"/>
  <c r="N25" i="12"/>
  <c r="L26" i="12"/>
  <c r="M25" i="12"/>
  <c r="C6" i="4"/>
  <c r="C46" i="12" l="1"/>
  <c r="AM3" i="12" s="1"/>
  <c r="G46" i="12"/>
  <c r="AQ8" i="12" s="1"/>
  <c r="AQ12" i="12" s="1"/>
  <c r="F46" i="12"/>
  <c r="AP3" i="12" s="1"/>
  <c r="AP7" i="12" s="1"/>
  <c r="D46" i="12"/>
  <c r="AN8" i="12" s="1"/>
  <c r="E46" i="12"/>
  <c r="AO18" i="12" s="1"/>
  <c r="X46" i="12"/>
  <c r="AP9" i="12" s="1"/>
  <c r="Y46" i="12"/>
  <c r="AQ4" i="12" s="1"/>
  <c r="W46" i="12"/>
  <c r="U46" i="12"/>
  <c r="AM14" i="12" s="1"/>
  <c r="V27" i="12"/>
  <c r="AF3" i="12"/>
  <c r="AF4" i="12" s="1"/>
  <c r="V25" i="12"/>
  <c r="V46" i="12"/>
  <c r="AN14" i="12" s="1"/>
  <c r="AF26" i="12"/>
  <c r="AR20" i="12"/>
  <c r="AR21" i="12" s="1"/>
  <c r="AR15" i="12"/>
  <c r="AR16" i="12" s="1"/>
  <c r="AR5" i="12"/>
  <c r="AR6" i="12" s="1"/>
  <c r="AI3" i="12"/>
  <c r="AI4" i="12" s="1"/>
  <c r="AR14" i="12"/>
  <c r="AR19" i="12"/>
  <c r="AR4" i="12"/>
  <c r="AR8" i="12"/>
  <c r="AR12" i="12" s="1"/>
  <c r="AI28" i="12" s="1"/>
  <c r="AN15" i="12"/>
  <c r="AN16" i="12" s="1"/>
  <c r="AN20" i="12"/>
  <c r="AN21" i="12" s="1"/>
  <c r="AN10" i="12"/>
  <c r="AN11" i="12" s="1"/>
  <c r="AD26" i="12"/>
  <c r="AR3" i="12"/>
  <c r="AR7" i="12" s="1"/>
  <c r="AI7" i="12"/>
  <c r="AR18" i="12"/>
  <c r="AR22" i="12" s="1"/>
  <c r="AI5" i="12"/>
  <c r="AR13" i="12"/>
  <c r="AR17" i="12" s="1"/>
  <c r="AG3" i="12"/>
  <c r="AG4" i="12" s="1"/>
  <c r="AG26" i="12"/>
  <c r="AH5" i="12" l="1"/>
  <c r="AH8" i="12" s="1"/>
  <c r="AH9" i="12" s="1"/>
  <c r="AQ18" i="12"/>
  <c r="AQ22" i="12" s="1"/>
  <c r="AQ3" i="12"/>
  <c r="AQ7" i="12" s="1"/>
  <c r="AQ13" i="12"/>
  <c r="AQ17" i="12" s="1"/>
  <c r="AM13" i="12"/>
  <c r="AM17" i="12" s="1"/>
  <c r="AD29" i="12" s="1"/>
  <c r="AM18" i="12"/>
  <c r="AM22" i="12" s="1"/>
  <c r="AD5" i="12"/>
  <c r="AD8" i="12" s="1"/>
  <c r="AD9" i="12" s="1"/>
  <c r="AM8" i="12"/>
  <c r="AM12" i="12" s="1"/>
  <c r="AG5" i="12"/>
  <c r="AG8" i="12" s="1"/>
  <c r="AG9" i="12" s="1"/>
  <c r="AP13" i="12"/>
  <c r="AP17" i="12" s="1"/>
  <c r="AP18" i="12"/>
  <c r="AP22" i="12" s="1"/>
  <c r="AP8" i="12"/>
  <c r="AP12" i="12" s="1"/>
  <c r="AO13" i="12"/>
  <c r="AO17" i="12" s="1"/>
  <c r="AN13" i="12"/>
  <c r="AN17" i="12" s="1"/>
  <c r="AE29" i="12" s="1"/>
  <c r="AN3" i="12"/>
  <c r="AN7" i="12" s="1"/>
  <c r="AN18" i="12"/>
  <c r="AN22" i="12" s="1"/>
  <c r="AE5" i="12"/>
  <c r="AE8" i="12" s="1"/>
  <c r="AE9" i="12" s="1"/>
  <c r="AD7" i="12"/>
  <c r="AO3" i="12"/>
  <c r="AO7" i="12" s="1"/>
  <c r="AF5" i="12"/>
  <c r="AF8" i="12" s="1"/>
  <c r="AF9" i="12" s="1"/>
  <c r="AF7" i="12"/>
  <c r="AO8" i="12"/>
  <c r="AO12" i="12" s="1"/>
  <c r="AP14" i="12"/>
  <c r="AQ9" i="12"/>
  <c r="AH28" i="12" s="1"/>
  <c r="AO4" i="12"/>
  <c r="AM4" i="12"/>
  <c r="AO19" i="12"/>
  <c r="AO9" i="12"/>
  <c r="AQ19" i="12"/>
  <c r="AQ14" i="12"/>
  <c r="AH7" i="12"/>
  <c r="AM19" i="12"/>
  <c r="AM9" i="12"/>
  <c r="AO14" i="12"/>
  <c r="AG7" i="12"/>
  <c r="AP19" i="12"/>
  <c r="AP4" i="12"/>
  <c r="AG27" i="12" s="1"/>
  <c r="AE7" i="12"/>
  <c r="AN9" i="12"/>
  <c r="AN4" i="12"/>
  <c r="AN19" i="12"/>
  <c r="AI8" i="12"/>
  <c r="AI9" i="12" s="1"/>
  <c r="AI10" i="12" s="1"/>
  <c r="AI30" i="12"/>
  <c r="AI27" i="12"/>
  <c r="AI29" i="12"/>
  <c r="AM7" i="12"/>
  <c r="AO22" i="12"/>
  <c r="AN12" i="12"/>
  <c r="AH10" i="12" l="1"/>
  <c r="AH27" i="12"/>
  <c r="AH30" i="12"/>
  <c r="AH29" i="12"/>
  <c r="AD30" i="12"/>
  <c r="AD10" i="12"/>
  <c r="AG29" i="12"/>
  <c r="AG28" i="12"/>
  <c r="AG30" i="12"/>
  <c r="AE10" i="12"/>
  <c r="AF10" i="12"/>
  <c r="AF27" i="12"/>
  <c r="AD27" i="12"/>
  <c r="AF28" i="12"/>
  <c r="AF30" i="12"/>
  <c r="AF29" i="12"/>
  <c r="AG10" i="12"/>
  <c r="AD28" i="12"/>
  <c r="AE27" i="12"/>
  <c r="AE30" i="12"/>
  <c r="AE28"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tc={E97AE688-3969-4F50-A487-14FACFE2A845}</author>
    <author>tc={CEBCA5BB-DA04-4CEF-8896-C9B55BB93219}</author>
    <author>tc={34B7EF02-D9A0-4C61-976B-2D605D567AA9}</author>
    <author>tc={2DD58A31-3C5A-46E8-8683-54E646CEB351}</author>
    <author>tc={C7B8FB46-955B-4EAA-AC94-EE48B10ADE49}</author>
    <author>tc={279B2362-8AEC-4225-A348-43B8383E3CDC}</author>
    <author>tc={00A80220-E9FD-4105-BA33-F474A3475211}</author>
    <author>tc={3DA56ABE-6FEF-4BF9-968C-02DB5C890AFE}</author>
    <author>tc={1E493E4C-872F-4B42-8A9E-97358BD8C750}</author>
    <author>tc={A24CF183-AD96-4234-9AE7-C2955C2EA0E7}</author>
    <author>tc={52CE62EB-3E3C-4A84-8AEF-ACB354278495}</author>
    <author>tc={F034D817-1EC2-470C-98D9-0B3489AE4C85}</author>
    <author>tc={33195EFF-F62B-4825-8D58-9832F1292A8C}</author>
    <author>tc={48BE5FDE-F68A-49CD-80D0-197163CD3554}</author>
    <author>tc={8016D416-AA0D-479F-9E76-5229FEE740FF}</author>
    <author>tc={D4093EF6-FA9A-4633-A1B4-754703A5FE08}</author>
    <author>tc={412F86C3-7516-4782-8066-3AF4F5B8D440}</author>
    <author>tc={F678E52A-0452-4D97-A36F-6E533FDD2D29}</author>
    <author>tc={737C9ECB-3F8B-44FC-8859-7983153941A3}</author>
    <author>tc={0352E7A0-5B3E-4D7B-8146-F2FEA717A90F}</author>
    <author>tc={4D034C31-E8E2-47C9-A64B-5D536F7A5046}</author>
    <author>tc={CF3C4527-BB21-41A6-A59A-EE46F4A9A486}</author>
    <author>tc={4DBFE2E7-77E8-4575-867C-A87F6987BFA4}</author>
    <author>tc={E5573892-4454-44B8-9D55-F3B175BBE1B4}</author>
    <author>tc={4DC5EA6A-5255-4BD6-A298-0FAE9172B0A3}</author>
    <author>tc={06BB6BC3-3D01-4E3C-9BFC-1404A62D247F}</author>
    <author>tc={5091EEAE-86CB-4E54-8EEE-E97C8E78C8BD}</author>
    <author>tc={1B17BAF3-4CA2-4846-8C10-3A7A9F47307C}</author>
    <author>tc={7A12ABDE-7C38-484D-BE36-FAEB7C8EBB7A}</author>
  </authors>
  <commentList>
    <comment ref="C1" authorId="0" shapeId="0" xr:uid="{E97AE688-3969-4F50-A487-14FACFE2A845}">
      <text>
        <t>[Threaded comment]
Your version of Excel allows you to read this threaded comment; however, any edits to it will get removed if the file is opened in a newer version of Excel. Learn more: https://go.microsoft.com/fwlink/?linkid=870924
Comment:
    Dielectric thickness between two layers. 
The total stripline thickness will be 2x Dielectric thickness + Metal thickness</t>
      </text>
    </comment>
    <comment ref="H1" authorId="1" shapeId="0" xr:uid="{CEBCA5BB-DA04-4CEF-8896-C9B55BB93219}">
      <text>
        <t>[Threaded comment]
Your version of Excel allows you to read this threaded comment; however, any edits to it will get removed if the file is opened in a newer version of Excel. Learn more: https://go.microsoft.com/fwlink/?linkid=870924
Comment:
    Conductivity of Copper</t>
      </text>
    </comment>
    <comment ref="M1" authorId="2" shapeId="0" xr:uid="{34B7EF02-D9A0-4C61-976B-2D605D567AA9}">
      <text>
        <t>[Threaded comment]
Your version of Excel allows you to read this threaded comment; however, any edits to it will get removed if the file is opened in a newer version of Excel. Learn more: https://go.microsoft.com/fwlink/?linkid=870924
Comment:
    TC_DK = [ (DK|T2 - DK|T1)/DK|25C ] / (T2-T1)</t>
      </text>
    </comment>
    <comment ref="C2" authorId="3" shapeId="0" xr:uid="{2DD58A31-3C5A-46E8-8683-54E646CEB351}">
      <text>
        <t>[Threaded comment]
Your version of Excel allows you to read this threaded comment; however, any edits to it will get removed if the file is opened in a newer version of Excel. Learn more: https://go.microsoft.com/fwlink/?linkid=870924
Comment:
    Copper layer thickness</t>
      </text>
    </comment>
    <comment ref="H2" authorId="4" shapeId="0" xr:uid="{C7B8FB46-955B-4EAA-AC94-EE48B10ADE49}">
      <text>
        <t>[Threaded comment]
Your version of Excel allows you to read this threaded comment; however, any edits to it will get removed if the file is opened in a newer version of Excel. Learn more: https://go.microsoft.com/fwlink/?linkid=870924
Comment:
    Temperature</t>
      </text>
    </comment>
    <comment ref="M2" authorId="5" shapeId="0" xr:uid="{279B2362-8AEC-4225-A348-43B8383E3CDC}">
      <text>
        <t>[Threaded comment]
Your version of Excel allows you to read this threaded comment; however, any edits to it will get removed if the file is opened in a newer version of Excel. Learn more: https://go.microsoft.com/fwlink/?linkid=870924
Comment:
    TC_DF = [ (DF|T2 - DF|T1)/DF|25C ] / (T2-T1)</t>
      </text>
    </comment>
    <comment ref="C3" authorId="6" shapeId="0" xr:uid="{00A80220-E9FD-4105-BA33-F474A3475211}">
      <text>
        <t>[Threaded comment]
Your version of Excel allows you to read this threaded comment; however, any edits to it will get removed if the file is opened in a newer version of Excel. Learn more: https://go.microsoft.com/fwlink/?linkid=870924
Comment:
    Stripline width</t>
      </text>
    </comment>
    <comment ref="H3" authorId="7" shapeId="0" xr:uid="{3DA56ABE-6FEF-4BF9-968C-02DB5C890AFE}">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 ref="M3" authorId="8" shapeId="0" xr:uid="{1E493E4C-872F-4B42-8A9E-97358BD8C750}">
      <text>
        <t>[Threaded comment]
Your version of Excel allows you to read this threaded comment; however, any edits to it will get removed if the file is opened in a newer version of Excel. Learn more: https://go.microsoft.com/fwlink/?linkid=870924
Comment:
    Temperature coefficient of metal conductivity</t>
      </text>
    </comment>
    <comment ref="AB3" authorId="9" shapeId="0" xr:uid="{A24CF183-AD96-4234-9AE7-C2955C2EA0E7}">
      <text>
        <t>[Threaded comment]
Your version of Excel allows you to read this threaded comment; however, any edits to it will get removed if the file is opened in a newer version of Excel. Learn more: https://go.microsoft.com/fwlink/?linkid=870924
Comment:
    δs = sqrt(2/(σωµ))</t>
      </text>
    </comment>
    <comment ref="C4" authorId="10" shapeId="0" xr:uid="{52CE62EB-3E3C-4A84-8AEF-ACB354278495}">
      <text>
        <t>[Threaded comment]
Your version of Excel allows you to read this threaded comment; however, any edits to it will get removed if the file is opened in a newer version of Excel. Learn more: https://go.microsoft.com/fwlink/?linkid=870924
Comment:
    Stripline spacing</t>
      </text>
    </comment>
    <comment ref="AB4" authorId="11" shapeId="0" xr:uid="{F034D817-1EC2-470C-98D9-0B3489AE4C85}">
      <text>
        <t>[Threaded comment]
Your version of Excel allows you to read this threaded comment; however, any edits to it will get removed if the file is opened in a newer version of Excel. Learn more: https://go.microsoft.com/fwlink/?linkid=870924
Comment:
    R' = Rstrip + Rgnd = 1/(σ δs W) + 0.15/(σ δs W)1`</t>
      </text>
    </comment>
    <comment ref="AB5" authorId="12" shapeId="0" xr:uid="{33195EFF-F62B-4825-8D58-9832F1292A8C}">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5" authorId="13" shapeId="0" xr:uid="{48BE5FDE-F68A-49CD-80D0-197163CD3554}">
      <text>
        <t>[Threaded comment]
Your version of Excel allows you to read this threaded comment; however, any edits to it will get removed if the file is opened in a newer version of Excel. Learn more: https://go.microsoft.com/fwlink/?linkid=870924
Comment:
    δs = sqrt(2/(σωµ))</t>
      </text>
    </comment>
    <comment ref="AK6" authorId="14" shapeId="0" xr:uid="{8016D416-AA0D-479F-9E76-5229FEE740FF}">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B7" authorId="15" shapeId="0" xr:uid="{D4093EF6-FA9A-4633-A1B4-754703A5FE08}">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AK7" authorId="16" shapeId="0" xr:uid="{412F86C3-7516-4782-8066-3AF4F5B8D440}">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B8" authorId="17" shapeId="0" xr:uid="{F678E52A-0452-4D97-A36F-6E533FDD2D29}">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B9" authorId="18" shapeId="0" xr:uid="{737C9ECB-3F8B-44FC-8859-7983153941A3}">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B10" authorId="19" shapeId="0" xr:uid="{0352E7A0-5B3E-4D7B-8146-F2FEA717A90F}">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K10" authorId="20" shapeId="0" xr:uid="{4D034C31-E8E2-47C9-A64B-5D536F7A5046}">
      <text>
        <t>[Threaded comment]
Your version of Excel allows you to read this threaded comment; however, any edits to it will get removed if the file is opened in a newer version of Excel. Learn more: https://go.microsoft.com/fwlink/?linkid=870924
Comment:
    δs = sqrt(2/(σωµ))</t>
      </text>
    </comment>
    <comment ref="AK11" authorId="21" shapeId="0" xr:uid="{CF3C4527-BB21-41A6-A59A-EE46F4A9A486}">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12" authorId="22" shapeId="0" xr:uid="{4DBFE2E7-77E8-4575-867C-A87F6987BFA4}">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15" authorId="23" shapeId="0" xr:uid="{E5573892-4454-44B8-9D55-F3B175BBE1B4}">
      <text>
        <t>[Threaded comment]
Your version of Excel allows you to read this threaded comment; however, any edits to it will get removed if the file is opened in a newer version of Excel. Learn more: https://go.microsoft.com/fwlink/?linkid=870924
Comment:
    δs = sqrt(2/(σωµ))</t>
      </text>
    </comment>
    <comment ref="AK16" authorId="24" shapeId="0" xr:uid="{4DC5EA6A-5255-4BD6-A298-0FAE9172B0A3}">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17" authorId="25" shapeId="0" xr:uid="{06BB6BC3-3D01-4E3C-9BFC-1404A62D247F}">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20" authorId="26" shapeId="0" xr:uid="{5091EEAE-86CB-4E54-8EEE-E97C8E78C8BD}">
      <text>
        <t>[Threaded comment]
Your version of Excel allows you to read this threaded comment; however, any edits to it will get removed if the file is opened in a newer version of Excel. Learn more: https://go.microsoft.com/fwlink/?linkid=870924
Comment:
    δs = sqrt(2/(σωµ))</t>
      </text>
    </comment>
    <comment ref="AK21" authorId="27" shapeId="0" xr:uid="{1B17BAF3-4CA2-4846-8C10-3A7A9F47307C}">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22" authorId="28" shapeId="0" xr:uid="{7A12ABDE-7C38-484D-BE36-FAEB7C8EBB7A}">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tc={DA3A8A89-34AB-4C90-8EF9-C1DB1D48FD32}</author>
    <author>tc={8D22B870-DEEF-4577-8F62-C02DEDE49307}</author>
    <author>tc={9BA8CB9F-027F-4019-870C-E19AB2615A09}</author>
    <author>tc={B9DA68C6-6F68-4427-A0DD-EC94F9ECA19D}</author>
    <author>tc={9D859DB6-2A73-437C-B08C-39F36360EBAF}</author>
    <author>tc={AF6BB9F7-C89F-4C7E-BD6B-134C5FFAC4CC}</author>
    <author>tc={74C09A0D-20EC-45EA-859C-642CFD5C8385}</author>
    <author>tc={B6F6F324-6FF3-452A-9D8D-0037EC90FC12}</author>
    <author>tc={96381BDA-6030-42D5-A33B-3467E9414F6A}</author>
    <author>tc={43FCD850-5AA7-4C28-850A-94AC8C23A507}</author>
  </authors>
  <commentList>
    <comment ref="B2" authorId="0" shapeId="0" xr:uid="{DA3A8A89-34AB-4C90-8EF9-C1DB1D48FD32}">
      <text>
        <t>[Threaded comment]
Your version of Excel allows you to read this threaded comment; however, any edits to it will get removed if the file is opened in a newer version of Excel. Learn more: https://go.microsoft.com/fwlink/?linkid=870924
Comment:
    TC_DK = [ (DK|T2 - DK|T1)/DK|25C ] / (T2-T1)</t>
      </text>
    </comment>
    <comment ref="C2" authorId="1" shapeId="0" xr:uid="{8D22B870-DEEF-4577-8F62-C02DEDE49307}">
      <text>
        <t>[Threaded comment]
Your version of Excel allows you to read this threaded comment; however, any edits to it will get removed if the file is opened in a newer version of Excel. Learn more: https://go.microsoft.com/fwlink/?linkid=870924
Comment:
    TC_DF = [ (DF|T2 - DF|T1)/DF|25C ] / (T2-T1)</t>
      </text>
    </comment>
    <comment ref="D2" authorId="2" shapeId="0" xr:uid="{9BA8CB9F-027F-4019-870C-E19AB2615A09}">
      <text>
        <t>[Threaded comment]
Your version of Excel allows you to read this threaded comment; however, any edits to it will get removed if the file is opened in a newer version of Excel. Learn more: https://go.microsoft.com/fwlink/?linkid=870924
Comment:
    Temperature coefficient of metal conductivity</t>
      </text>
    </comment>
    <comment ref="E2" authorId="3" shapeId="0" xr:uid="{B9DA68C6-6F68-4427-A0DD-EC94F9ECA19D}">
      <text>
        <t>[Threaded comment]
Your version of Excel allows you to read this threaded comment; however, any edits to it will get removed if the file is opened in a newer version of Excel. Learn more: https://go.microsoft.com/fwlink/?linkid=870924
Comment:
    Metal conductivity</t>
      </text>
    </comment>
    <comment ref="F2" authorId="4" shapeId="0" xr:uid="{9D859DB6-2A73-437C-B08C-39F36360EBAF}">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 ref="H2" authorId="5" shapeId="0" xr:uid="{AF6BB9F7-C89F-4C7E-BD6B-134C5FFAC4CC}">
      <text>
        <t>[Threaded comment]
Your version of Excel allows you to read this threaded comment; however, any edits to it will get removed if the file is opened in a newer version of Excel. Learn more: https://go.microsoft.com/fwlink/?linkid=870924
Comment:
    Dielectric thickness between two layers. 
The total stripline thickness will be 2x Dielectric thickness + Metal thickness</t>
      </text>
    </comment>
    <comment ref="I2" authorId="6" shapeId="0" xr:uid="{74C09A0D-20EC-45EA-859C-642CFD5C8385}">
      <text>
        <t>[Threaded comment]
Your version of Excel allows you to read this threaded comment; however, any edits to it will get removed if the file is opened in a newer version of Excel. Learn more: https://go.microsoft.com/fwlink/?linkid=870924
Comment:
    Copper layer thickness</t>
      </text>
    </comment>
    <comment ref="J2" authorId="7" shapeId="0" xr:uid="{B6F6F324-6FF3-452A-9D8D-0037EC90FC12}">
      <text>
        <t>[Threaded comment]
Your version of Excel allows you to read this threaded comment; however, any edits to it will get removed if the file is opened in a newer version of Excel. Learn more: https://go.microsoft.com/fwlink/?linkid=870924
Comment:
    Stripline width</t>
      </text>
    </comment>
    <comment ref="K2" authorId="8" shapeId="0" xr:uid="{96381BDA-6030-42D5-A33B-3467E9414F6A}">
      <text>
        <t>[Threaded comment]
Your version of Excel allows you to read this threaded comment; however, any edits to it will get removed if the file is opened in a newer version of Excel. Learn more: https://go.microsoft.com/fwlink/?linkid=870924
Comment:
    Stripline spacing</t>
      </text>
    </comment>
    <comment ref="BJ2" authorId="9" shapeId="0" xr:uid="{43FCD850-5AA7-4C28-850A-94AC8C23A507}">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List>
</comments>
</file>

<file path=xl/sharedStrings.xml><?xml version="1.0" encoding="utf-8"?>
<sst xmlns="http://schemas.openxmlformats.org/spreadsheetml/2006/main" count="190" uniqueCount="163">
  <si>
    <t>User Input</t>
  </si>
  <si>
    <t>Output</t>
  </si>
  <si>
    <t>Temp (°C)</t>
  </si>
  <si>
    <t xml:space="preserve">Trace Width W (µm): </t>
  </si>
  <si>
    <t>Skin Depth δs (µm)</t>
  </si>
  <si>
    <t>Dk_avg</t>
  </si>
  <si>
    <t xml:space="preserve">Trace Spacing S (µm): </t>
  </si>
  <si>
    <t>Df</t>
  </si>
  <si>
    <t>δs (µm)</t>
  </si>
  <si>
    <t>Note: When Dk is measured by an in-plane method (SPC or Cylindrical Resonator), effective Dk is linear to resin content for a given glass style.</t>
  </si>
  <si>
    <t>Zdiff (Ω)</t>
  </si>
  <si>
    <t>DK_Inplane (From the Datasheet)</t>
  </si>
  <si>
    <t>Thickness (um)</t>
  </si>
  <si>
    <t>RC (%)</t>
  </si>
  <si>
    <t>DF (From the Datasheet)</t>
  </si>
  <si>
    <t>Intercept (DK_glass)</t>
  </si>
  <si>
    <t>DK_Resin</t>
  </si>
  <si>
    <t>DK_InPlane (From Dk_Glass, DK_Resin, and RC)</t>
  </si>
  <si>
    <t>DK_OutofPlane (From Dk_Glass, DK_Resin, and RC)</t>
  </si>
  <si>
    <t>Stripline Total Loss vs. Temperature (dB/m)</t>
  </si>
  <si>
    <r>
      <t>R' (</t>
    </r>
    <r>
      <rPr>
        <sz val="11"/>
        <color theme="0"/>
        <rFont val="Calibri"/>
        <family val="2"/>
      </rPr>
      <t>Ω</t>
    </r>
    <r>
      <rPr>
        <sz val="11"/>
        <color theme="0"/>
        <rFont val="Calibri"/>
        <family val="2"/>
        <scheme val="minor"/>
      </rPr>
      <t>)</t>
    </r>
  </si>
  <si>
    <r>
      <rPr>
        <sz val="11"/>
        <color theme="0"/>
        <rFont val="Calibri"/>
        <family val="2"/>
      </rPr>
      <t>α_</t>
    </r>
    <r>
      <rPr>
        <sz val="8"/>
        <color theme="0"/>
        <rFont val="Calibri"/>
        <family val="2"/>
        <scheme val="minor"/>
      </rPr>
      <t>RoughMetal</t>
    </r>
  </si>
  <si>
    <r>
      <rPr>
        <sz val="11"/>
        <color theme="0"/>
        <rFont val="Calibri"/>
        <family val="2"/>
      </rPr>
      <t>α_</t>
    </r>
    <r>
      <rPr>
        <sz val="8"/>
        <color theme="0"/>
        <rFont val="Calibri"/>
        <family val="2"/>
        <scheme val="minor"/>
      </rPr>
      <t>Total</t>
    </r>
  </si>
  <si>
    <r>
      <rPr>
        <sz val="11"/>
        <color theme="0"/>
        <rFont val="Calibri"/>
        <family val="2"/>
      </rPr>
      <t>α_</t>
    </r>
    <r>
      <rPr>
        <sz val="8"/>
        <color theme="0"/>
        <rFont val="Calibri"/>
        <family val="2"/>
        <scheme val="minor"/>
      </rPr>
      <t>Dielectric</t>
    </r>
    <r>
      <rPr>
        <sz val="11"/>
        <color theme="0"/>
        <rFont val="Calibri"/>
        <family val="2"/>
        <scheme val="minor"/>
      </rPr>
      <t xml:space="preserve"> </t>
    </r>
    <r>
      <rPr>
        <b/>
        <sz val="9"/>
        <color theme="0"/>
        <rFont val="Calibri"/>
        <family val="2"/>
        <scheme val="minor"/>
      </rPr>
      <t>(Verified)</t>
    </r>
  </si>
  <si>
    <r>
      <rPr>
        <sz val="11"/>
        <color theme="0"/>
        <rFont val="Calibri"/>
        <family val="2"/>
      </rPr>
      <t>α_</t>
    </r>
    <r>
      <rPr>
        <sz val="8"/>
        <color theme="0"/>
        <rFont val="Calibri"/>
        <family val="2"/>
        <scheme val="minor"/>
      </rPr>
      <t>SmoothMetal</t>
    </r>
    <r>
      <rPr>
        <b/>
        <sz val="9"/>
        <color theme="0"/>
        <rFont val="Calibri"/>
        <family val="2"/>
        <scheme val="minor"/>
      </rPr>
      <t xml:space="preserve"> (Verified)</t>
    </r>
  </si>
  <si>
    <r>
      <t xml:space="preserve">Zdiff (Ω)  </t>
    </r>
    <r>
      <rPr>
        <b/>
        <sz val="9"/>
        <color theme="0"/>
        <rFont val="Calibri"/>
        <family val="2"/>
        <scheme val="minor"/>
      </rPr>
      <t>(Verified)</t>
    </r>
  </si>
  <si>
    <r>
      <t>Resistance/u.l R' (</t>
    </r>
    <r>
      <rPr>
        <sz val="11"/>
        <color theme="0"/>
        <rFont val="Calibri"/>
        <family val="2"/>
      </rPr>
      <t>Ω</t>
    </r>
    <r>
      <rPr>
        <sz val="11"/>
        <color theme="0"/>
        <rFont val="Calibri"/>
        <family val="2"/>
        <scheme val="minor"/>
      </rPr>
      <t>)</t>
    </r>
  </si>
  <si>
    <r>
      <t>DK Coeffcient Tc</t>
    </r>
    <r>
      <rPr>
        <sz val="8"/>
        <color theme="0"/>
        <rFont val="Calibri"/>
        <family val="2"/>
        <scheme val="minor"/>
      </rPr>
      <t>_DK</t>
    </r>
    <r>
      <rPr>
        <sz val="11"/>
        <color theme="0"/>
        <rFont val="Calibri"/>
        <family val="2"/>
        <scheme val="minor"/>
      </rPr>
      <t xml:space="preserve"> (1/°C):</t>
    </r>
  </si>
  <si>
    <r>
      <t>DF Coeffcient Tc</t>
    </r>
    <r>
      <rPr>
        <sz val="8"/>
        <color theme="0"/>
        <rFont val="Calibri"/>
        <family val="2"/>
        <scheme val="minor"/>
      </rPr>
      <t>_DF</t>
    </r>
    <r>
      <rPr>
        <sz val="11"/>
        <color theme="0"/>
        <rFont val="Calibri"/>
        <family val="2"/>
        <scheme val="minor"/>
      </rPr>
      <t xml:space="preserve"> (1/°C):</t>
    </r>
  </si>
  <si>
    <r>
      <t>Conductivity σ</t>
    </r>
    <r>
      <rPr>
        <sz val="8"/>
        <color theme="0"/>
        <rFont val="Calibri"/>
        <family val="2"/>
        <scheme val="minor"/>
      </rPr>
      <t>o</t>
    </r>
    <r>
      <rPr>
        <sz val="11"/>
        <color theme="0"/>
        <rFont val="Calibri"/>
        <family val="2"/>
        <scheme val="minor"/>
      </rPr>
      <t xml:space="preserve"> (S/m):</t>
    </r>
  </si>
  <si>
    <r>
      <t>Metal Coeffcient α</t>
    </r>
    <r>
      <rPr>
        <sz val="8"/>
        <color theme="0"/>
        <rFont val="Calibri"/>
        <family val="2"/>
        <scheme val="minor"/>
      </rPr>
      <t xml:space="preserve">_M </t>
    </r>
    <r>
      <rPr>
        <sz val="11"/>
        <color theme="0"/>
        <rFont val="Calibri"/>
        <family val="2"/>
        <scheme val="minor"/>
      </rPr>
      <t>(1/°C):</t>
    </r>
  </si>
  <si>
    <r>
      <t>Temperature T</t>
    </r>
    <r>
      <rPr>
        <sz val="8"/>
        <color theme="0"/>
        <rFont val="Calibri"/>
        <family val="2"/>
        <scheme val="minor"/>
      </rPr>
      <t>o</t>
    </r>
    <r>
      <rPr>
        <sz val="11"/>
        <color theme="0"/>
        <rFont val="Calibri"/>
        <family val="2"/>
        <scheme val="minor"/>
      </rPr>
      <t xml:space="preserve"> (°C):</t>
    </r>
  </si>
  <si>
    <r>
      <t xml:space="preserve">Roughness_RMS </t>
    </r>
    <r>
      <rPr>
        <sz val="11"/>
        <color theme="0"/>
        <rFont val="Calibri"/>
        <family val="2"/>
      </rPr>
      <t xml:space="preserve">Δ </t>
    </r>
    <r>
      <rPr>
        <sz val="11"/>
        <color theme="0"/>
        <rFont val="Calibri"/>
        <family val="2"/>
        <scheme val="minor"/>
      </rPr>
      <t>(µm):</t>
    </r>
  </si>
  <si>
    <t>About this tool…</t>
  </si>
  <si>
    <t>Version Number</t>
  </si>
  <si>
    <t>Created by</t>
  </si>
  <si>
    <t>Ahmed Ibrahim</t>
  </si>
  <si>
    <t>LICENSE INFORMATION:</t>
  </si>
  <si>
    <t>Copyright © 2024 Teramesh Incorporated</t>
  </si>
  <si>
    <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t>
  </si>
  <si>
    <t>IMPORTANT:</t>
  </si>
  <si>
    <t>1. Do NOT delete this worksheet!</t>
  </si>
  <si>
    <t>2. Redistibutions must retain the above copyright and the following disclaimer</t>
  </si>
  <si>
    <t>DISCLAIMER:</t>
  </si>
  <si>
    <t>THIS SOFTWARE IS PROVIDED BY TERAMESH  "AS IS" AND ANY EXPRESS OR IMPLIED WARRANTIES, INCLUDING, BUT NOT LIMITED TO, THE IMPLIED WARRANTIES OF MERCHANTABILITY AND FIRNESS FOR A PARTICULAR PURPOSE ARE DISCLAIMED. IN NO EVENT SHALL TERAMESH BE LIABLE FOR ANY CLAIM, DAMAGES OR OTHER LIABILITY, WHETHER IN AN ACTION OF CONTRACT, TORT OR OTHERWISE, ARISING FROM, OUT OF OR IN CONNECTION WITH THE SOFTWARE OR THE USE OR OTHER DEALINGS IN THE SOFTWARE.</t>
  </si>
  <si>
    <t>Version History</t>
  </si>
  <si>
    <t>Version</t>
  </si>
  <si>
    <t>Change List Description</t>
  </si>
  <si>
    <t>1.0.0</t>
  </si>
  <si>
    <t>Initial Release</t>
  </si>
  <si>
    <t>PCB MATERIAL MODELER</t>
  </si>
  <si>
    <t>Chosen Thickness (µm) :</t>
  </si>
  <si>
    <t>Metal Thickness t (µm) :</t>
  </si>
  <si>
    <t>USER GUIDE</t>
  </si>
  <si>
    <t>NOTES:</t>
  </si>
  <si>
    <t>Do enter user input ONLY in the yellow-highlighted cells</t>
  </si>
  <si>
    <t>Stripline dimensions</t>
  </si>
  <si>
    <t xml:space="preserve">        PCB process constants</t>
  </si>
  <si>
    <t>Temperature coefficients</t>
  </si>
  <si>
    <t>4- The tool also calculate the stripline loss components (Dielectric loss, smooth metal, and loss due to roughness). Calculation steps are shown as comments on each cell.</t>
  </si>
  <si>
    <t>5- Input up to 4 values of temperature to calculate the stripline loss vs temperature.
The tool takes into consideration the effect of temperature on DK, DF, and Copper conductivity.</t>
  </si>
  <si>
    <t>Intercept (DF_glass)</t>
  </si>
  <si>
    <t>DF_Resin</t>
  </si>
  <si>
    <t>DF (From DF_Glass, DF_Resin, and RC)</t>
  </si>
  <si>
    <t>3- The tool will calculate the DK/DF of the resin and the glass separately, then it will use them to calculate the in-plane effective dielectric constant, the out-of-plane value, and the loss tangent for the chosen dielectric thickness. These are the values that should be fed into field simulators. Calculation steps are detailed in the linked reference (PCB Laminate Material Out-of-plane Dielectric Constant Extraction Methodology)https://ieeexplore.ieee.org/document/9874947</t>
  </si>
  <si>
    <t>1.0.1</t>
  </si>
  <si>
    <t>Added the calculation of loss tangent from the input resin content</t>
  </si>
  <si>
    <t>1.0.2</t>
  </si>
  <si>
    <t>Added more materials</t>
  </si>
  <si>
    <t>C</t>
  </si>
  <si>
    <t>Material</t>
  </si>
  <si>
    <t>W (µm)</t>
  </si>
  <si>
    <t>S (µm)</t>
  </si>
  <si>
    <t>f1 (GHz)</t>
  </si>
  <si>
    <t>f2 (GHz)</t>
  </si>
  <si>
    <t>f3 (GHz)</t>
  </si>
  <si>
    <t>f4 (GHz)</t>
  </si>
  <si>
    <t>f5 (GHz)</t>
  </si>
  <si>
    <t>f6 (GHz)</t>
  </si>
  <si>
    <t>t1 (µm)</t>
  </si>
  <si>
    <t>t2 (µm)</t>
  </si>
  <si>
    <t>t3 (µm)</t>
  </si>
  <si>
    <t>RC1 (%)</t>
  </si>
  <si>
    <t>RC2 (%)</t>
  </si>
  <si>
    <t>RC3 (%)</t>
  </si>
  <si>
    <t>TU863+_1x2116_Preg</t>
  </si>
  <si>
    <t>Tachyon100G_2x1078_Core</t>
  </si>
  <si>
    <t>SpeedWave300P_1x1035_Preg</t>
  </si>
  <si>
    <r>
      <t>T</t>
    </r>
    <r>
      <rPr>
        <sz val="8"/>
        <color theme="0"/>
        <rFont val="Calibri"/>
        <family val="2"/>
        <scheme val="minor"/>
      </rPr>
      <t>o</t>
    </r>
    <r>
      <rPr>
        <sz val="11"/>
        <color theme="0"/>
        <rFont val="Calibri"/>
        <family val="2"/>
        <scheme val="minor"/>
      </rPr>
      <t xml:space="preserve"> (°C)</t>
    </r>
  </si>
  <si>
    <t>t_M (µm)</t>
  </si>
  <si>
    <t>t_D (µm)</t>
  </si>
  <si>
    <t>DK11</t>
  </si>
  <si>
    <t>DK12</t>
  </si>
  <si>
    <t>DK13</t>
  </si>
  <si>
    <t>DK14</t>
  </si>
  <si>
    <t>DK15</t>
  </si>
  <si>
    <t>DK16</t>
  </si>
  <si>
    <t>DK21</t>
  </si>
  <si>
    <t>DK22</t>
  </si>
  <si>
    <t>DK23</t>
  </si>
  <si>
    <t>DK24</t>
  </si>
  <si>
    <t>DK25</t>
  </si>
  <si>
    <t>DK26</t>
  </si>
  <si>
    <t>DK31</t>
  </si>
  <si>
    <t>DK32</t>
  </si>
  <si>
    <t>DK33</t>
  </si>
  <si>
    <t>DK34</t>
  </si>
  <si>
    <t>DK36</t>
  </si>
  <si>
    <t>DK35</t>
  </si>
  <si>
    <t>DF12</t>
  </si>
  <si>
    <t>DF13</t>
  </si>
  <si>
    <t>DF11</t>
  </si>
  <si>
    <t>DF14</t>
  </si>
  <si>
    <t>DF15</t>
  </si>
  <si>
    <t>DF16</t>
  </si>
  <si>
    <t>DF21</t>
  </si>
  <si>
    <t>DF22</t>
  </si>
  <si>
    <t>DF23</t>
  </si>
  <si>
    <t>DF24</t>
  </si>
  <si>
    <t>DF25</t>
  </si>
  <si>
    <t>DF26</t>
  </si>
  <si>
    <t>DF31</t>
  </si>
  <si>
    <t>DF32</t>
  </si>
  <si>
    <t>DF33</t>
  </si>
  <si>
    <t>DF34</t>
  </si>
  <si>
    <t>DF35</t>
  </si>
  <si>
    <t>DF36</t>
  </si>
  <si>
    <t>Tc_DK (1/°C)</t>
  </si>
  <si>
    <t>Tc_DF (1/°C)</t>
  </si>
  <si>
    <t>α_M (1/°C)</t>
  </si>
  <si>
    <t>σo (S/m)</t>
  </si>
  <si>
    <t>Material Constants</t>
  </si>
  <si>
    <t>Base Temperature</t>
  </si>
  <si>
    <t>Δ (µm)</t>
  </si>
  <si>
    <t xml:space="preserve">Stripline geometry for Zdiff=100Ohm </t>
  </si>
  <si>
    <t>6 Frequency Points</t>
  </si>
  <si>
    <t>Dielectric Thickness (Datasheet)</t>
  </si>
  <si>
    <t>Resin Content (Datasheet)</t>
  </si>
  <si>
    <t>In-plane DK value vs frequency (Datasheet) for t1, RC1</t>
  </si>
  <si>
    <t>In-plane DK value vs frequency (Datasheet) for t2, RC2</t>
  </si>
  <si>
    <t>In-plane DK value vs frequency (Datasheet) for t3, RC3</t>
  </si>
  <si>
    <t>DF value vs frequency (Datasheet) for t3, RC3</t>
  </si>
  <si>
    <t>DF value vs frequency (Datasheet) for t2, RC2</t>
  </si>
  <si>
    <t>DF value vs frequency (Datasheet) for t1, RC1</t>
  </si>
  <si>
    <t>A</t>
  </si>
  <si>
    <t>B</t>
  </si>
  <si>
    <t>Database</t>
  </si>
  <si>
    <t>1.1.0</t>
  </si>
  <si>
    <t>Database format</t>
  </si>
  <si>
    <t>Copper Foil</t>
  </si>
  <si>
    <t>Dielectric Material</t>
  </si>
  <si>
    <t>RTF</t>
  </si>
  <si>
    <t>VLP</t>
  </si>
  <si>
    <t>Roughness</t>
  </si>
  <si>
    <t>STD</t>
  </si>
  <si>
    <t>HVLP</t>
  </si>
  <si>
    <t>HVLP2</t>
  </si>
  <si>
    <t>Table2</t>
  </si>
  <si>
    <t>IT170GT_2x1506 (Datasheet not available)</t>
  </si>
  <si>
    <r>
      <t xml:space="preserve">1- Input the stripline dimensions, PCB process constants, and temperature coefficients in the </t>
    </r>
    <r>
      <rPr>
        <b/>
        <u/>
        <sz val="10"/>
        <color theme="0"/>
        <rFont val="Arial"/>
        <family val="2"/>
      </rPr>
      <t>Material Database</t>
    </r>
    <r>
      <rPr>
        <sz val="10"/>
        <color theme="0"/>
        <rFont val="Arial"/>
        <family val="2"/>
      </rPr>
      <t xml:space="preserve"> tab, then select the material and desired copper foil process, and observe the values being read in the </t>
    </r>
    <r>
      <rPr>
        <b/>
        <u/>
        <sz val="10"/>
        <color theme="0"/>
        <rFont val="Arial"/>
        <family val="2"/>
      </rPr>
      <t>Material Modeler</t>
    </r>
    <r>
      <rPr>
        <sz val="10"/>
        <color theme="0"/>
        <rFont val="Arial"/>
        <family val="2"/>
      </rPr>
      <t xml:space="preserve"> tab.</t>
    </r>
  </si>
  <si>
    <t>2- The dielectric constant (DK) in-plane values versus frequency (GHz) for different thicknesses/resin contents. In-plane values are those that were characterized by SPC or Cylindrical resonator. When Dk is measured by an in-plane method (SPC or Cylindrical Resonator), effective Dk is linear to resin content for a given glass style. Then enter DF value as well, the DF value should be almost independent from the dielectric thickness.</t>
  </si>
  <si>
    <t>1.1.1</t>
  </si>
  <si>
    <t>Added a selector for copper foil treatment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</si>
</sst>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E+00"/>
    <numFmt numFmtId="165" formatCode="0.0000"/>
    <numFmt numFmtId="166" formatCode="0.0%"/>
    <numFmt numFmtId="167" formatCode="0.0000E+00"/>
  </numFmts>
  <fonts count="27"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8"/>
      <color theme="0"/>
      <name val="Calibri"/>
      <family val="2"/>
      <scheme val="minor"/>
    </font>
    <font>
      <sz val="11"/>
      <color theme="0"/>
      <name val="Calibri"/>
      <family val="2"/>
    </font>
    <font>
      <sz val="8"/>
      <color theme="0"/>
      <name val="Calibri"/>
      <family val="2"/>
      <scheme val="minor"/>
    </font>
    <font>
      <b/>
      <sz val="9"/>
      <color theme="0"/>
      <name val="Calibri"/>
      <family val="2"/>
      <scheme val="minor"/>
    </font>
    <font>
      <b/>
      <sz val="20"/>
      <color theme="0"/>
      <name val="Arial"/>
      <family val="2"/>
    </font>
    <font>
      <sz val="11"/>
      <color rgb="FF000000"/>
      <name val="Calibri"/>
      <family val="2"/>
      <scheme val="minor"/>
    </font>
    <font>
      <sz val="11"/>
      <color theme="1"/>
      <name val="Arial"/>
      <family val="2"/>
    </font>
    <font>
      <b/>
      <sz val="14"/>
      <color theme="0"/>
      <name val="Arial"/>
      <family val="2"/>
    </font>
    <font>
      <u/>
      <sz val="11"/>
      <color theme="10"/>
      <name val="Calibri"/>
      <family val="2"/>
      <scheme val="minor"/>
    </font>
    <font>
      <b/>
      <u/>
      <sz val="11"/>
      <color theme="10"/>
      <name val="Arial"/>
      <family val="2"/>
    </font>
    <font>
      <b/>
      <sz val="16"/>
      <color theme="0"/>
      <name val="Calibri"/>
      <family val="2"/>
      <scheme val="minor"/>
    </font>
    <font>
      <sz val="11"/>
      <color theme="0"/>
      <name val="Arial"/>
      <family val="2"/>
    </font>
    <font>
      <b/>
      <sz val="11"/>
      <name val="Arial"/>
      <family val="2"/>
    </font>
    <font>
      <b/>
      <sz val="10"/>
      <color theme="0"/>
      <name val="Arial"/>
      <family val="2"/>
    </font>
    <font>
      <sz val="10"/>
      <color theme="0"/>
      <name val="Arial"/>
      <family val="2"/>
    </font>
    <font>
      <b/>
      <sz val="10"/>
      <color theme="5"/>
      <name val="Arial"/>
      <family val="2"/>
    </font>
    <font>
      <sz val="8"/>
      <name val="Calibri"/>
      <family val="2"/>
      <scheme val="minor"/>
    </font>
    <font>
      <sz val="11"/>
      <name val="Calibri"/>
      <family val="2"/>
      <scheme val="minor"/>
    </font>
    <font>
      <b/>
      <sz val="14"/>
      <name val="Calibri"/>
      <family val="2"/>
      <scheme val="minor"/>
    </font>
    <font>
      <sz val="11"/>
      <color theme="5"/>
      <name val="Calibri"/>
      <family val="2"/>
      <scheme val="minor"/>
    </font>
    <font>
      <b/>
      <u/>
      <sz val="10"/>
      <color theme="0"/>
      <name val="Arial"/>
      <family val="2"/>
    </font>
    <font>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0"/>
        <bgColor indexed="64"/>
      </patternFill>
    </fill>
  </fills>
  <borders count="19">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top/>
      <bottom style="thin">
        <color theme="0"/>
      </bottom>
      <diagonal/>
    </border>
    <border>
      <left/>
      <right/>
      <top style="thin">
        <color theme="0"/>
      </top>
      <bottom/>
      <diagonal/>
    </border>
    <border>
      <left style="medium">
        <color theme="0"/>
      </left>
      <right/>
      <top/>
      <bottom style="thin">
        <color theme="0"/>
      </bottom>
      <diagonal/>
    </border>
    <border>
      <left/>
      <right style="medium">
        <color theme="0"/>
      </right>
      <top/>
      <bottom style="thin">
        <color theme="0"/>
      </bottom>
      <diagonal/>
    </border>
    <border>
      <left style="medium">
        <color theme="0"/>
      </left>
      <right/>
      <top style="thin">
        <color theme="0"/>
      </top>
      <bottom/>
      <diagonal/>
    </border>
    <border>
      <left/>
      <right style="medium">
        <color theme="0"/>
      </right>
      <top style="thin">
        <color theme="0"/>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s>
  <cellStyleXfs count="5">
    <xf numFmtId="0" fontId="0" fillId="0" borderId="0"/>
    <xf numFmtId="9" fontId="1" fillId="0" borderId="0" applyFont="0" applyFill="0" applyBorder="0" applyAlignment="0" applyProtection="0"/>
    <xf numFmtId="0" fontId="1" fillId="0" borderId="0"/>
    <xf numFmtId="0" fontId="10" fillId="0" borderId="0"/>
    <xf numFmtId="0" fontId="13" fillId="0" borderId="0" applyNumberFormat="0" applyFill="0" applyBorder="0" applyAlignment="0" applyProtection="0"/>
  </cellStyleXfs>
  <cellXfs count="220">
    <xf numFmtId="0" fontId="0" fillId="0" borderId="0" xfId="0"/>
    <xf numFmtId="0" fontId="4" fillId="3" borderId="0" xfId="0" applyFont="1" applyFill="1"/>
    <xf numFmtId="0" fontId="4" fillId="3" borderId="0" xfId="0" applyFont="1" applyFill="1" applyAlignment="1">
      <alignment vertical="center"/>
    </xf>
    <xf numFmtId="0" fontId="10" fillId="3" borderId="0" xfId="3" applyFill="1"/>
    <xf numFmtId="0" fontId="12" fillId="3" borderId="0" xfId="2" applyFont="1" applyFill="1" applyAlignment="1">
      <alignment horizontal="left"/>
    </xf>
    <xf numFmtId="0" fontId="1" fillId="3" borderId="0" xfId="2" applyFill="1"/>
    <xf numFmtId="0" fontId="14" fillId="3" borderId="0" xfId="4" applyFont="1" applyFill="1" applyBorder="1" applyAlignment="1">
      <alignment vertical="center"/>
    </xf>
    <xf numFmtId="0" fontId="14" fillId="3" borderId="5" xfId="4" applyFont="1" applyFill="1" applyBorder="1" applyAlignment="1">
      <alignment horizontal="right" vertical="center"/>
    </xf>
    <xf numFmtId="0" fontId="14" fillId="3" borderId="0" xfId="4" applyFont="1" applyFill="1" applyBorder="1" applyAlignment="1">
      <alignment horizontal="right" vertical="center"/>
    </xf>
    <xf numFmtId="0" fontId="4" fillId="3" borderId="4" xfId="3" applyFont="1" applyFill="1" applyBorder="1"/>
    <xf numFmtId="0" fontId="4" fillId="3" borderId="0" xfId="3" applyFont="1" applyFill="1"/>
    <xf numFmtId="0" fontId="4" fillId="3" borderId="5" xfId="3" applyFont="1" applyFill="1" applyBorder="1"/>
    <xf numFmtId="0" fontId="4" fillId="3" borderId="4" xfId="2" applyFont="1" applyFill="1" applyBorder="1"/>
    <xf numFmtId="0" fontId="16" fillId="3" borderId="0" xfId="2" applyFont="1" applyFill="1" applyAlignment="1">
      <alignment horizontal="left"/>
    </xf>
    <xf numFmtId="0" fontId="4" fillId="3" borderId="0" xfId="2" applyFont="1" applyFill="1"/>
    <xf numFmtId="0" fontId="4" fillId="3" borderId="5" xfId="2" applyFont="1" applyFill="1" applyBorder="1"/>
    <xf numFmtId="0" fontId="16" fillId="3" borderId="4" xfId="2" applyFont="1" applyFill="1" applyBorder="1" applyAlignment="1">
      <alignment horizontal="center"/>
    </xf>
    <xf numFmtId="0" fontId="16" fillId="3" borderId="0" xfId="2" applyFont="1" applyFill="1"/>
    <xf numFmtId="0" fontId="1" fillId="3" borderId="5" xfId="2" applyFill="1" applyBorder="1"/>
    <xf numFmtId="0" fontId="17" fillId="5" borderId="4" xfId="2" applyFont="1" applyFill="1" applyBorder="1" applyAlignment="1">
      <alignment horizontal="center"/>
    </xf>
    <xf numFmtId="0" fontId="2" fillId="5" borderId="5" xfId="2" applyFont="1" applyFill="1" applyBorder="1"/>
    <xf numFmtId="0" fontId="16" fillId="3" borderId="6" xfId="2" applyFont="1" applyFill="1" applyBorder="1" applyAlignment="1">
      <alignment horizontal="center"/>
    </xf>
    <xf numFmtId="0" fontId="16" fillId="3" borderId="7" xfId="2" applyFont="1" applyFill="1" applyBorder="1" applyAlignment="1">
      <alignment horizontal="left"/>
    </xf>
    <xf numFmtId="0" fontId="4" fillId="3" borderId="7" xfId="2" applyFont="1" applyFill="1" applyBorder="1"/>
    <xf numFmtId="0" fontId="1" fillId="3" borderId="8" xfId="2" applyFill="1" applyBorder="1"/>
    <xf numFmtId="0" fontId="16" fillId="3" borderId="4" xfId="2" applyFont="1" applyFill="1" applyBorder="1" applyAlignment="1">
      <alignment horizontal="right"/>
    </xf>
    <xf numFmtId="0" fontId="16" fillId="2" borderId="0" xfId="2" applyFont="1" applyFill="1" applyAlignment="1">
      <alignment vertical="top"/>
    </xf>
    <xf numFmtId="0" fontId="16" fillId="3" borderId="0" xfId="2" applyFont="1" applyFill="1" applyAlignment="1">
      <alignment vertical="top"/>
    </xf>
    <xf numFmtId="0" fontId="12" fillId="3" borderId="4" xfId="2" applyFont="1" applyFill="1" applyBorder="1" applyAlignment="1">
      <alignment horizontal="center"/>
    </xf>
    <xf numFmtId="0" fontId="12" fillId="3" borderId="0" xfId="2" applyFont="1" applyFill="1" applyAlignment="1">
      <alignment horizontal="center"/>
    </xf>
    <xf numFmtId="0" fontId="2" fillId="3" borderId="0" xfId="2" applyFont="1" applyFill="1"/>
    <xf numFmtId="0" fontId="19" fillId="3" borderId="0" xfId="2" applyFont="1" applyFill="1"/>
    <xf numFmtId="0" fontId="19" fillId="3" borderId="4" xfId="2" applyFont="1" applyFill="1" applyBorder="1"/>
    <xf numFmtId="0" fontId="4" fillId="3" borderId="4" xfId="3" applyFont="1" applyFill="1" applyBorder="1" applyAlignment="1">
      <alignment vertical="top" wrapText="1"/>
    </xf>
    <xf numFmtId="0" fontId="4" fillId="3" borderId="0" xfId="3" applyFont="1" applyFill="1" applyAlignment="1">
      <alignment vertical="top" wrapText="1"/>
    </xf>
    <xf numFmtId="0" fontId="4" fillId="3" borderId="5" xfId="3" applyFont="1" applyFill="1" applyBorder="1" applyAlignment="1">
      <alignment vertical="top" wrapText="1"/>
    </xf>
    <xf numFmtId="0" fontId="15" fillId="3" borderId="4" xfId="3" applyFont="1" applyFill="1" applyBorder="1"/>
    <xf numFmtId="0" fontId="15" fillId="3" borderId="0" xfId="3" applyFont="1" applyFill="1"/>
    <xf numFmtId="0" fontId="15" fillId="3" borderId="5" xfId="3" applyFont="1" applyFill="1" applyBorder="1"/>
    <xf numFmtId="0" fontId="0" fillId="2" borderId="0" xfId="0" applyFill="1"/>
    <xf numFmtId="0" fontId="0" fillId="2" borderId="7" xfId="0" applyFill="1" applyBorder="1"/>
    <xf numFmtId="0" fontId="18" fillId="3" borderId="4" xfId="2" applyFont="1" applyFill="1" applyBorder="1" applyAlignment="1">
      <alignment vertical="top" wrapText="1"/>
    </xf>
    <xf numFmtId="0" fontId="18" fillId="3" borderId="0" xfId="2" applyFont="1" applyFill="1" applyAlignment="1">
      <alignment vertical="top" wrapText="1"/>
    </xf>
    <xf numFmtId="0" fontId="19" fillId="3" borderId="0" xfId="2" applyFont="1" applyFill="1" applyAlignment="1">
      <alignment horizontal="left" vertical="top" wrapText="1"/>
    </xf>
    <xf numFmtId="0" fontId="19" fillId="3" borderId="0" xfId="2" applyFont="1" applyFill="1" applyAlignment="1">
      <alignment vertical="top" wrapText="1"/>
    </xf>
    <xf numFmtId="0" fontId="18" fillId="3" borderId="5" xfId="2" applyFont="1" applyFill="1" applyBorder="1" applyAlignment="1">
      <alignment vertical="top" wrapText="1"/>
    </xf>
    <xf numFmtId="0" fontId="19" fillId="3" borderId="5" xfId="2" applyFont="1" applyFill="1" applyBorder="1" applyAlignment="1">
      <alignment vertical="top" wrapText="1"/>
    </xf>
    <xf numFmtId="0" fontId="4" fillId="3" borderId="0" xfId="0" applyFont="1" applyFill="1" applyAlignment="1">
      <alignment horizontal="center" vertical="center" wrapText="1"/>
    </xf>
    <xf numFmtId="0" fontId="4"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15" xfId="0" applyFont="1" applyFill="1" applyBorder="1" applyAlignment="1">
      <alignment horizontal="center" vertical="center"/>
    </xf>
    <xf numFmtId="164" fontId="3" fillId="3" borderId="0" xfId="0" applyNumberFormat="1" applyFont="1" applyFill="1" applyAlignment="1">
      <alignment horizontal="center"/>
    </xf>
    <xf numFmtId="164" fontId="3" fillId="3" borderId="0" xfId="0" applyNumberFormat="1" applyFont="1" applyFill="1" applyAlignment="1">
      <alignment horizontal="center" vertical="center" wrapText="1"/>
    </xf>
    <xf numFmtId="11" fontId="3" fillId="3" borderId="0" xfId="0" applyNumberFormat="1" applyFont="1" applyFill="1" applyAlignment="1">
      <alignment horizontal="center" vertical="center" wrapText="1"/>
    </xf>
    <xf numFmtId="0" fontId="22" fillId="3" borderId="0" xfId="0" applyFont="1" applyFill="1"/>
    <xf numFmtId="0" fontId="22" fillId="3" borderId="0" xfId="0" applyFont="1" applyFill="1" applyAlignment="1">
      <alignment horizontal="center"/>
    </xf>
    <xf numFmtId="0" fontId="22" fillId="2" borderId="1" xfId="0" applyFont="1" applyFill="1" applyBorder="1" applyAlignment="1">
      <alignment vertical="center"/>
    </xf>
    <xf numFmtId="167" fontId="22" fillId="2" borderId="2" xfId="0" applyNumberFormat="1" applyFont="1" applyFill="1" applyBorder="1" applyAlignment="1">
      <alignment vertical="center"/>
    </xf>
    <xf numFmtId="11" fontId="22" fillId="2" borderId="2" xfId="0" applyNumberFormat="1" applyFont="1" applyFill="1" applyBorder="1" applyAlignment="1">
      <alignment vertical="center"/>
    </xf>
    <xf numFmtId="0" fontId="22" fillId="2" borderId="2" xfId="0" applyFont="1" applyFill="1" applyBorder="1" applyAlignment="1">
      <alignment vertical="center"/>
    </xf>
    <xf numFmtId="0" fontId="22" fillId="2" borderId="2" xfId="0" applyFont="1" applyFill="1" applyBorder="1" applyAlignment="1">
      <alignment vertical="center" wrapText="1"/>
    </xf>
    <xf numFmtId="2" fontId="22" fillId="2" borderId="2" xfId="0" applyNumberFormat="1" applyFont="1" applyFill="1" applyBorder="1" applyAlignment="1">
      <alignment horizontal="right" vertical="center"/>
    </xf>
    <xf numFmtId="9" fontId="22" fillId="2" borderId="2" xfId="1" applyFont="1" applyFill="1" applyBorder="1" applyAlignment="1">
      <alignment vertical="center"/>
    </xf>
    <xf numFmtId="2" fontId="22" fillId="2" borderId="2" xfId="0" applyNumberFormat="1" applyFont="1" applyFill="1" applyBorder="1" applyAlignment="1">
      <alignment vertical="center"/>
    </xf>
    <xf numFmtId="165" fontId="22" fillId="2" borderId="2" xfId="0" applyNumberFormat="1" applyFont="1" applyFill="1" applyBorder="1" applyAlignment="1">
      <alignment vertical="center"/>
    </xf>
    <xf numFmtId="165" fontId="22" fillId="2" borderId="3" xfId="0" applyNumberFormat="1" applyFont="1" applyFill="1" applyBorder="1" applyAlignment="1">
      <alignment vertical="center"/>
    </xf>
    <xf numFmtId="0" fontId="22" fillId="2" borderId="4" xfId="0" applyFont="1" applyFill="1" applyBorder="1" applyAlignment="1">
      <alignment vertical="center"/>
    </xf>
    <xf numFmtId="167" fontId="22" fillId="2" borderId="0" xfId="0" applyNumberFormat="1" applyFont="1" applyFill="1" applyAlignment="1">
      <alignment vertical="center"/>
    </xf>
    <xf numFmtId="11" fontId="22" fillId="2" borderId="0" xfId="0" applyNumberFormat="1" applyFont="1" applyFill="1" applyAlignment="1">
      <alignment vertical="center"/>
    </xf>
    <xf numFmtId="0" fontId="22" fillId="2" borderId="0" xfId="0" applyFont="1" applyFill="1" applyAlignment="1">
      <alignment vertical="center"/>
    </xf>
    <xf numFmtId="0" fontId="22" fillId="2" borderId="0" xfId="0" applyFont="1" applyFill="1" applyAlignment="1">
      <alignment horizontal="right" vertical="center"/>
    </xf>
    <xf numFmtId="0" fontId="22" fillId="2" borderId="0" xfId="0" applyFont="1" applyFill="1" applyAlignment="1">
      <alignment horizontal="right" vertical="center" wrapText="1"/>
    </xf>
    <xf numFmtId="2" fontId="22" fillId="2" borderId="0" xfId="0" applyNumberFormat="1" applyFont="1" applyFill="1" applyAlignment="1">
      <alignment horizontal="right" vertical="center"/>
    </xf>
    <xf numFmtId="9" fontId="22" fillId="2" borderId="0" xfId="1" applyFont="1" applyFill="1" applyBorder="1" applyAlignment="1">
      <alignment vertical="center"/>
    </xf>
    <xf numFmtId="2" fontId="22" fillId="2" borderId="0" xfId="0" applyNumberFormat="1" applyFont="1" applyFill="1" applyAlignment="1">
      <alignment vertical="center"/>
    </xf>
    <xf numFmtId="165" fontId="22" fillId="2" borderId="0" xfId="0" applyNumberFormat="1" applyFont="1" applyFill="1" applyAlignment="1">
      <alignment vertical="center"/>
    </xf>
    <xf numFmtId="165" fontId="22" fillId="2" borderId="5" xfId="0" applyNumberFormat="1" applyFont="1" applyFill="1" applyBorder="1" applyAlignment="1">
      <alignment vertical="center"/>
    </xf>
    <xf numFmtId="0" fontId="22" fillId="2" borderId="6" xfId="0" applyFont="1" applyFill="1" applyBorder="1" applyAlignment="1">
      <alignment vertical="center"/>
    </xf>
    <xf numFmtId="167" fontId="22" fillId="2" borderId="7" xfId="0" applyNumberFormat="1" applyFont="1" applyFill="1" applyBorder="1" applyAlignment="1">
      <alignment vertical="center"/>
    </xf>
    <xf numFmtId="11" fontId="22" fillId="2" borderId="7" xfId="0" applyNumberFormat="1" applyFont="1" applyFill="1" applyBorder="1" applyAlignment="1">
      <alignment vertical="center"/>
    </xf>
    <xf numFmtId="0" fontId="22" fillId="2" borderId="7" xfId="0" applyFont="1" applyFill="1" applyBorder="1" applyAlignment="1">
      <alignment vertical="center"/>
    </xf>
    <xf numFmtId="0" fontId="22" fillId="2" borderId="7" xfId="0" applyFont="1" applyFill="1" applyBorder="1" applyAlignment="1">
      <alignment horizontal="right" vertical="center"/>
    </xf>
    <xf numFmtId="0" fontId="22" fillId="2" borderId="7" xfId="0" applyFont="1" applyFill="1" applyBorder="1" applyAlignment="1">
      <alignment horizontal="right" vertical="center" wrapText="1"/>
    </xf>
    <xf numFmtId="2" fontId="22" fillId="2" borderId="7" xfId="0" applyNumberFormat="1" applyFont="1" applyFill="1" applyBorder="1" applyAlignment="1">
      <alignment horizontal="right" vertical="center"/>
    </xf>
    <xf numFmtId="9" fontId="22" fillId="2" borderId="7" xfId="1" applyFont="1" applyFill="1" applyBorder="1" applyAlignment="1">
      <alignment vertical="center"/>
    </xf>
    <xf numFmtId="2" fontId="22" fillId="2" borderId="7" xfId="0" applyNumberFormat="1" applyFont="1" applyFill="1" applyBorder="1" applyAlignment="1">
      <alignment vertical="center"/>
    </xf>
    <xf numFmtId="165" fontId="22" fillId="2" borderId="7" xfId="0" applyNumberFormat="1" applyFont="1" applyFill="1" applyBorder="1" applyAlignment="1">
      <alignment vertical="center"/>
    </xf>
    <xf numFmtId="165" fontId="22" fillId="2" borderId="8" xfId="0" applyNumberFormat="1" applyFont="1" applyFill="1" applyBorder="1" applyAlignment="1">
      <alignment vertical="center"/>
    </xf>
    <xf numFmtId="0" fontId="3" fillId="3" borderId="5" xfId="0" applyFont="1" applyFill="1" applyBorder="1" applyAlignment="1">
      <alignment horizontal="center" vertical="center"/>
    </xf>
    <xf numFmtId="0" fontId="15" fillId="3" borderId="4" xfId="3" applyFont="1" applyFill="1" applyBorder="1" applyAlignment="1">
      <alignment horizontal="left"/>
    </xf>
    <xf numFmtId="0" fontId="15" fillId="3" borderId="0" xfId="3" applyFont="1" applyFill="1" applyAlignment="1">
      <alignment horizontal="left"/>
    </xf>
    <xf numFmtId="0" fontId="15" fillId="3" borderId="5" xfId="3" applyFont="1" applyFill="1" applyBorder="1" applyAlignment="1">
      <alignment horizontal="left"/>
    </xf>
    <xf numFmtId="0" fontId="9" fillId="3" borderId="1" xfId="2" applyFont="1" applyFill="1" applyBorder="1" applyAlignment="1">
      <alignment horizontal="center" vertical="center"/>
    </xf>
    <xf numFmtId="0" fontId="9" fillId="3" borderId="2" xfId="2" applyFont="1" applyFill="1" applyBorder="1" applyAlignment="1">
      <alignment horizontal="center" vertical="center"/>
    </xf>
    <xf numFmtId="0" fontId="9" fillId="3" borderId="3" xfId="2" applyFont="1" applyFill="1" applyBorder="1" applyAlignment="1">
      <alignment horizontal="center" vertical="center"/>
    </xf>
    <xf numFmtId="0" fontId="9" fillId="3" borderId="4" xfId="2" applyFont="1" applyFill="1" applyBorder="1" applyAlignment="1">
      <alignment horizontal="center" vertical="center"/>
    </xf>
    <xf numFmtId="0" fontId="9" fillId="3" borderId="0" xfId="2" applyFont="1" applyFill="1" applyAlignment="1">
      <alignment horizontal="center" vertical="center"/>
    </xf>
    <xf numFmtId="0" fontId="9" fillId="3" borderId="5" xfId="2" applyFont="1" applyFill="1" applyBorder="1" applyAlignment="1">
      <alignment horizontal="center" vertical="center"/>
    </xf>
    <xf numFmtId="0" fontId="11" fillId="5" borderId="4" xfId="2" applyFont="1" applyFill="1" applyBorder="1" applyAlignment="1">
      <alignment horizontal="center"/>
    </xf>
    <xf numFmtId="0" fontId="11" fillId="5" borderId="0" xfId="2" applyFont="1" applyFill="1" applyAlignment="1">
      <alignment horizontal="center"/>
    </xf>
    <xf numFmtId="0" fontId="11" fillId="5" borderId="5" xfId="2" applyFont="1" applyFill="1" applyBorder="1" applyAlignment="1">
      <alignment horizontal="center"/>
    </xf>
    <xf numFmtId="0" fontId="12" fillId="3" borderId="0" xfId="2" applyFont="1" applyFill="1" applyAlignment="1">
      <alignment horizontal="center"/>
    </xf>
    <xf numFmtId="0" fontId="12" fillId="3" borderId="5" xfId="2" applyFont="1" applyFill="1" applyBorder="1" applyAlignment="1">
      <alignment horizontal="center"/>
    </xf>
    <xf numFmtId="0" fontId="17" fillId="5" borderId="0" xfId="2" applyFont="1" applyFill="1" applyAlignment="1">
      <alignment horizontal="left"/>
    </xf>
    <xf numFmtId="0" fontId="4" fillId="3" borderId="4" xfId="3" applyFont="1" applyFill="1" applyBorder="1" applyAlignment="1">
      <alignment horizontal="left" vertical="top" wrapText="1"/>
    </xf>
    <xf numFmtId="0" fontId="4" fillId="3" borderId="0" xfId="3" applyFont="1" applyFill="1" applyAlignment="1">
      <alignment horizontal="left" vertical="top" wrapText="1"/>
    </xf>
    <xf numFmtId="0" fontId="4" fillId="3" borderId="5" xfId="3" applyFont="1" applyFill="1" applyBorder="1" applyAlignment="1">
      <alignment horizontal="left" vertical="top" wrapText="1"/>
    </xf>
    <xf numFmtId="0" fontId="4" fillId="3" borderId="4" xfId="3" applyFont="1" applyFill="1" applyBorder="1" applyAlignment="1">
      <alignment horizontal="left"/>
    </xf>
    <xf numFmtId="0" fontId="4" fillId="3" borderId="0" xfId="3" applyFont="1" applyFill="1" applyAlignment="1">
      <alignment horizontal="left"/>
    </xf>
    <xf numFmtId="0" fontId="4" fillId="3" borderId="5" xfId="3" applyFont="1" applyFill="1" applyBorder="1" applyAlignment="1">
      <alignment horizontal="left"/>
    </xf>
    <xf numFmtId="0" fontId="19" fillId="3" borderId="0" xfId="2" applyFont="1" applyFill="1" applyAlignment="1">
      <alignment horizontal="left" vertical="top" wrapText="1"/>
    </xf>
    <xf numFmtId="0" fontId="19" fillId="3" borderId="4" xfId="2" applyFont="1" applyFill="1" applyBorder="1" applyAlignment="1">
      <alignment horizontal="left" vertical="top" wrapText="1"/>
    </xf>
    <xf numFmtId="0" fontId="12" fillId="3" borderId="4" xfId="2" applyFont="1" applyFill="1" applyBorder="1" applyAlignment="1">
      <alignment horizontal="center"/>
    </xf>
    <xf numFmtId="0" fontId="16" fillId="3" borderId="0" xfId="2" applyFont="1" applyFill="1" applyAlignment="1">
      <alignment horizontal="left" vertical="top"/>
    </xf>
    <xf numFmtId="0" fontId="20" fillId="3" borderId="4" xfId="2" applyFont="1" applyFill="1" applyBorder="1" applyAlignment="1">
      <alignment horizontal="center" vertical="top" wrapText="1"/>
    </xf>
    <xf numFmtId="0" fontId="20" fillId="3" borderId="0" xfId="2" applyFont="1" applyFill="1" applyAlignment="1">
      <alignment horizontal="center" vertical="top" wrapText="1"/>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2" fillId="2" borderId="0" xfId="0" applyFont="1" applyFill="1" applyBorder="1" applyAlignment="1">
      <alignment vertical="center"/>
    </xf>
    <xf numFmtId="0" fontId="0" fillId="3" borderId="0" xfId="0" applyFill="1" applyAlignment="1">
      <alignment horizontal="center"/>
    </xf>
    <xf numFmtId="11" fontId="22" fillId="2" borderId="2" xfId="0" applyNumberFormat="1" applyFont="1" applyFill="1" applyBorder="1" applyAlignment="1">
      <alignment horizontal="center" vertical="center"/>
    </xf>
    <xf numFmtId="11" fontId="22" fillId="2" borderId="0" xfId="0" applyNumberFormat="1" applyFont="1" applyFill="1" applyAlignment="1">
      <alignment horizontal="center" vertical="center"/>
    </xf>
    <xf numFmtId="11" fontId="22" fillId="2" borderId="7" xfId="0" applyNumberFormat="1" applyFont="1" applyFill="1" applyBorder="1" applyAlignment="1">
      <alignment horizontal="center" vertical="center"/>
    </xf>
    <xf numFmtId="0" fontId="19" fillId="3" borderId="0" xfId="2" applyFont="1" applyFill="1" applyBorder="1" applyAlignment="1">
      <alignment horizontal="left" vertical="top" wrapText="1"/>
    </xf>
    <xf numFmtId="2" fontId="2" fillId="4" borderId="2" xfId="0" applyNumberFormat="1" applyFont="1" applyFill="1" applyBorder="1" applyProtection="1">
      <protection hidden="1"/>
    </xf>
    <xf numFmtId="2" fontId="2" fillId="4" borderId="3" xfId="0" applyNumberFormat="1" applyFont="1" applyFill="1" applyBorder="1" applyProtection="1">
      <protection hidden="1"/>
    </xf>
    <xf numFmtId="2" fontId="2" fillId="4" borderId="7" xfId="0" applyNumberFormat="1" applyFont="1" applyFill="1" applyBorder="1" applyProtection="1">
      <protection hidden="1"/>
    </xf>
    <xf numFmtId="2" fontId="2" fillId="4" borderId="8" xfId="0" applyNumberFormat="1" applyFont="1" applyFill="1" applyBorder="1" applyProtection="1">
      <protection hidden="1"/>
    </xf>
    <xf numFmtId="0" fontId="4" fillId="3" borderId="0" xfId="0" applyFont="1" applyFill="1" applyProtection="1">
      <protection hidden="1"/>
    </xf>
    <xf numFmtId="9" fontId="4" fillId="3" borderId="0" xfId="0" applyNumberFormat="1" applyFont="1" applyFill="1" applyProtection="1">
      <protection hidden="1"/>
    </xf>
    <xf numFmtId="11" fontId="4" fillId="3" borderId="0" xfId="0" applyNumberFormat="1" applyFont="1" applyFill="1" applyProtection="1">
      <protection hidden="1"/>
    </xf>
    <xf numFmtId="2" fontId="4" fillId="3" borderId="0" xfId="0" applyNumberFormat="1" applyFont="1" applyFill="1" applyProtection="1">
      <protection hidden="1"/>
    </xf>
    <xf numFmtId="0" fontId="3" fillId="3" borderId="1" xfId="0" applyFont="1" applyFill="1" applyBorder="1" applyAlignment="1" applyProtection="1">
      <alignment horizontal="center"/>
      <protection hidden="1"/>
    </xf>
    <xf numFmtId="0" fontId="3" fillId="3" borderId="2" xfId="0" applyFont="1" applyFill="1" applyBorder="1" applyAlignment="1" applyProtection="1">
      <alignment horizontal="center"/>
      <protection hidden="1"/>
    </xf>
    <xf numFmtId="0" fontId="3" fillId="3" borderId="3" xfId="0" applyFont="1" applyFill="1" applyBorder="1" applyAlignment="1" applyProtection="1">
      <alignment horizontal="center"/>
      <protection hidden="1"/>
    </xf>
    <xf numFmtId="0" fontId="3" fillId="3" borderId="0" xfId="0" applyFont="1" applyFill="1" applyAlignment="1" applyProtection="1">
      <alignment horizontal="center"/>
      <protection hidden="1"/>
    </xf>
    <xf numFmtId="0" fontId="5" fillId="3" borderId="0" xfId="0" applyFont="1" applyFill="1" applyProtection="1">
      <protection hidden="1"/>
    </xf>
    <xf numFmtId="0" fontId="4" fillId="3" borderId="4" xfId="0" applyFont="1" applyFill="1" applyBorder="1" applyProtection="1">
      <protection hidden="1"/>
    </xf>
    <xf numFmtId="0" fontId="4" fillId="3" borderId="0" xfId="0" applyFont="1" applyFill="1" applyAlignment="1" applyProtection="1">
      <alignment horizontal="center"/>
      <protection hidden="1"/>
    </xf>
    <xf numFmtId="2" fontId="4" fillId="3" borderId="5" xfId="0" applyNumberFormat="1" applyFont="1" applyFill="1" applyBorder="1" applyProtection="1">
      <protection hidden="1"/>
    </xf>
    <xf numFmtId="0" fontId="4" fillId="3" borderId="6" xfId="0" applyFont="1" applyFill="1" applyBorder="1" applyProtection="1">
      <protection hidden="1"/>
    </xf>
    <xf numFmtId="166" fontId="4" fillId="3" borderId="7" xfId="1" applyNumberFormat="1" applyFont="1" applyFill="1" applyBorder="1" applyProtection="1">
      <protection hidden="1"/>
    </xf>
    <xf numFmtId="2" fontId="0" fillId="4" borderId="7" xfId="0" applyNumberFormat="1" applyFill="1" applyBorder="1" applyProtection="1">
      <protection hidden="1"/>
    </xf>
    <xf numFmtId="2" fontId="0" fillId="4" borderId="8" xfId="0" applyNumberFormat="1" applyFill="1" applyBorder="1" applyProtection="1">
      <protection hidden="1"/>
    </xf>
    <xf numFmtId="165" fontId="0" fillId="4" borderId="7" xfId="0" applyNumberFormat="1" applyFill="1" applyBorder="1" applyProtection="1">
      <protection hidden="1"/>
    </xf>
    <xf numFmtId="165" fontId="0" fillId="4" borderId="8" xfId="0" applyNumberFormat="1" applyFill="1" applyBorder="1" applyProtection="1">
      <protection hidden="1"/>
    </xf>
    <xf numFmtId="10" fontId="4" fillId="3" borderId="0" xfId="1" applyNumberFormat="1" applyFont="1" applyFill="1" applyProtection="1">
      <protection hidden="1"/>
    </xf>
    <xf numFmtId="2" fontId="0" fillId="4" borderId="0" xfId="0" applyNumberFormat="1" applyFill="1" applyProtection="1">
      <protection hidden="1"/>
    </xf>
    <xf numFmtId="2" fontId="0" fillId="4" borderId="5" xfId="0" applyNumberFormat="1" applyFill="1" applyBorder="1" applyProtection="1">
      <protection hidden="1"/>
    </xf>
    <xf numFmtId="2" fontId="4" fillId="3" borderId="6" xfId="0" applyNumberFormat="1" applyFont="1" applyFill="1" applyBorder="1" applyProtection="1">
      <protection hidden="1"/>
    </xf>
    <xf numFmtId="166" fontId="4" fillId="3" borderId="7" xfId="0" applyNumberFormat="1" applyFont="1" applyFill="1" applyBorder="1" applyProtection="1">
      <protection hidden="1"/>
    </xf>
    <xf numFmtId="0" fontId="4" fillId="3" borderId="0" xfId="0" applyFont="1" applyFill="1" applyAlignment="1" applyProtection="1">
      <alignment horizontal="right" vertical="center" wrapText="1"/>
      <protection hidden="1"/>
    </xf>
    <xf numFmtId="0" fontId="24" fillId="3" borderId="0" xfId="0" applyFont="1" applyFill="1" applyAlignment="1" applyProtection="1">
      <alignment horizontal="center" vertical="center" wrapText="1"/>
      <protection hidden="1"/>
    </xf>
    <xf numFmtId="0" fontId="4" fillId="3" borderId="0" xfId="0" applyFont="1" applyFill="1" applyAlignment="1" applyProtection="1">
      <alignment horizontal="center" vertical="center" wrapText="1"/>
      <protection hidden="1"/>
    </xf>
    <xf numFmtId="0" fontId="4" fillId="3" borderId="0" xfId="0" applyFont="1" applyFill="1" applyAlignment="1" applyProtection="1">
      <alignment horizontal="right" vertical="center"/>
      <protection hidden="1"/>
    </xf>
    <xf numFmtId="11" fontId="24" fillId="3" borderId="0" xfId="0" applyNumberFormat="1" applyFont="1" applyFill="1" applyAlignment="1" applyProtection="1">
      <alignment horizontal="center" vertical="center" wrapText="1"/>
      <protection hidden="1"/>
    </xf>
    <xf numFmtId="0" fontId="4" fillId="3" borderId="0" xfId="0" applyFont="1" applyFill="1" applyAlignment="1" applyProtection="1">
      <alignment horizontal="right"/>
      <protection hidden="1"/>
    </xf>
    <xf numFmtId="164" fontId="24" fillId="3" borderId="0" xfId="0" applyNumberFormat="1" applyFont="1" applyFill="1" applyProtection="1">
      <protection hidden="1"/>
    </xf>
    <xf numFmtId="0" fontId="0" fillId="2" borderId="0" xfId="0" applyFill="1" applyAlignment="1" applyProtection="1">
      <alignment horizontal="center"/>
      <protection hidden="1"/>
    </xf>
    <xf numFmtId="0" fontId="23" fillId="2" borderId="0" xfId="0" applyFont="1" applyFill="1" applyAlignment="1" applyProtection="1">
      <alignment horizontal="center" vertical="center"/>
      <protection hidden="1"/>
    </xf>
    <xf numFmtId="1" fontId="24" fillId="3" borderId="0" xfId="0" applyNumberFormat="1" applyFont="1" applyFill="1" applyAlignment="1" applyProtection="1">
      <alignment horizontal="center" vertical="center" wrapText="1"/>
      <protection hidden="1"/>
    </xf>
    <xf numFmtId="164" fontId="24" fillId="3" borderId="0" xfId="0" applyNumberFormat="1" applyFont="1" applyFill="1" applyAlignment="1" applyProtection="1">
      <alignment horizontal="right" vertical="center" wrapText="1"/>
      <protection hidden="1"/>
    </xf>
    <xf numFmtId="0" fontId="2" fillId="4" borderId="0" xfId="0" applyFont="1" applyFill="1" applyAlignment="1" applyProtection="1">
      <alignment horizontal="center"/>
      <protection hidden="1"/>
    </xf>
    <xf numFmtId="0" fontId="4" fillId="3" borderId="11" xfId="0" applyFont="1" applyFill="1" applyBorder="1" applyAlignment="1" applyProtection="1">
      <alignment horizontal="right"/>
      <protection hidden="1"/>
    </xf>
    <xf numFmtId="0" fontId="4" fillId="3" borderId="9" xfId="0" applyFont="1" applyFill="1" applyBorder="1" applyAlignment="1" applyProtection="1">
      <alignment horizontal="right"/>
      <protection hidden="1"/>
    </xf>
    <xf numFmtId="2" fontId="4" fillId="3" borderId="9" xfId="0" applyNumberFormat="1" applyFont="1" applyFill="1" applyBorder="1" applyAlignment="1" applyProtection="1">
      <alignment horizontal="center"/>
      <protection hidden="1"/>
    </xf>
    <xf numFmtId="2" fontId="4" fillId="3" borderId="12" xfId="0" applyNumberFormat="1" applyFont="1" applyFill="1" applyBorder="1" applyAlignment="1" applyProtection="1">
      <alignment horizontal="center"/>
      <protection hidden="1"/>
    </xf>
    <xf numFmtId="0" fontId="4" fillId="3" borderId="0" xfId="0" applyFont="1" applyFill="1" applyAlignment="1" applyProtection="1">
      <alignment horizontal="right"/>
      <protection hidden="1"/>
    </xf>
    <xf numFmtId="11" fontId="24" fillId="3" borderId="0" xfId="0" applyNumberFormat="1" applyFont="1" applyFill="1" applyAlignment="1" applyProtection="1">
      <alignment horizontal="right" vertical="center" wrapText="1"/>
      <protection hidden="1"/>
    </xf>
    <xf numFmtId="0" fontId="4" fillId="3" borderId="10" xfId="0" applyFont="1" applyFill="1" applyBorder="1" applyAlignment="1" applyProtection="1">
      <alignment horizontal="center" vertical="center"/>
      <protection hidden="1"/>
    </xf>
    <xf numFmtId="0" fontId="4" fillId="3" borderId="0" xfId="0" applyFont="1" applyFill="1" applyAlignment="1" applyProtection="1">
      <alignment horizontal="center" vertical="center"/>
      <protection hidden="1"/>
    </xf>
    <xf numFmtId="165" fontId="4" fillId="3" borderId="0" xfId="0" applyNumberFormat="1" applyFont="1" applyFill="1" applyProtection="1">
      <protection hidden="1"/>
    </xf>
    <xf numFmtId="165" fontId="4" fillId="3" borderId="5" xfId="0" applyNumberFormat="1" applyFont="1" applyFill="1" applyBorder="1" applyProtection="1">
      <protection hidden="1"/>
    </xf>
    <xf numFmtId="0" fontId="4" fillId="3" borderId="7" xfId="0" applyFont="1" applyFill="1" applyBorder="1" applyAlignment="1" applyProtection="1">
      <alignment horizontal="center" vertical="center"/>
      <protection hidden="1"/>
    </xf>
    <xf numFmtId="0" fontId="4" fillId="3" borderId="0" xfId="0" applyFont="1" applyFill="1" applyAlignment="1" applyProtection="1">
      <alignment horizontal="center" vertical="center" wrapText="1"/>
      <protection hidden="1"/>
    </xf>
    <xf numFmtId="0" fontId="4" fillId="3" borderId="7" xfId="0" applyFont="1" applyFill="1" applyBorder="1" applyAlignment="1" applyProtection="1">
      <alignment horizontal="center" vertical="center" wrapText="1"/>
      <protection hidden="1"/>
    </xf>
    <xf numFmtId="0" fontId="4" fillId="3" borderId="11" xfId="0" applyFont="1" applyFill="1" applyBorder="1" applyProtection="1">
      <protection hidden="1"/>
    </xf>
    <xf numFmtId="0" fontId="4" fillId="3" borderId="9" xfId="0" applyFont="1" applyFill="1" applyBorder="1" applyAlignment="1" applyProtection="1">
      <alignment horizontal="center" vertical="center"/>
      <protection hidden="1"/>
    </xf>
    <xf numFmtId="2" fontId="4" fillId="3" borderId="9" xfId="0" applyNumberFormat="1" applyFont="1" applyFill="1" applyBorder="1" applyProtection="1">
      <protection hidden="1"/>
    </xf>
    <xf numFmtId="2" fontId="4" fillId="3" borderId="12" xfId="0" applyNumberFormat="1" applyFont="1" applyFill="1" applyBorder="1" applyProtection="1">
      <protection hidden="1"/>
    </xf>
    <xf numFmtId="0" fontId="4" fillId="3" borderId="13" xfId="0" applyFont="1" applyFill="1" applyBorder="1" applyProtection="1">
      <protection hidden="1"/>
    </xf>
    <xf numFmtId="2" fontId="4" fillId="3" borderId="10" xfId="0" applyNumberFormat="1" applyFont="1" applyFill="1" applyBorder="1" applyProtection="1">
      <protection hidden="1"/>
    </xf>
    <xf numFmtId="2" fontId="4" fillId="3" borderId="14" xfId="0" applyNumberFormat="1" applyFont="1" applyFill="1" applyBorder="1" applyProtection="1">
      <protection hidden="1"/>
    </xf>
    <xf numFmtId="0" fontId="4" fillId="3" borderId="4" xfId="0" applyFont="1" applyFill="1" applyBorder="1" applyAlignment="1" applyProtection="1">
      <alignment horizontal="center"/>
      <protection hidden="1"/>
    </xf>
    <xf numFmtId="2" fontId="24" fillId="3" borderId="0" xfId="0" applyNumberFormat="1" applyFont="1" applyFill="1" applyAlignment="1" applyProtection="1">
      <alignment horizontal="right"/>
      <protection hidden="1"/>
    </xf>
    <xf numFmtId="2" fontId="24" fillId="3" borderId="5" xfId="0" applyNumberFormat="1" applyFont="1" applyFill="1" applyBorder="1" applyAlignment="1" applyProtection="1">
      <alignment horizontal="right"/>
      <protection hidden="1"/>
    </xf>
    <xf numFmtId="2" fontId="24" fillId="3" borderId="4" xfId="0" applyNumberFormat="1" applyFont="1" applyFill="1" applyBorder="1" applyProtection="1">
      <protection hidden="1"/>
    </xf>
    <xf numFmtId="166" fontId="24" fillId="3" borderId="0" xfId="0" applyNumberFormat="1" applyFont="1" applyFill="1" applyProtection="1">
      <protection hidden="1"/>
    </xf>
    <xf numFmtId="2" fontId="24" fillId="3" borderId="0" xfId="0" applyNumberFormat="1" applyFont="1" applyFill="1" applyProtection="1">
      <protection hidden="1"/>
    </xf>
    <xf numFmtId="2" fontId="24" fillId="3" borderId="5" xfId="0" applyNumberFormat="1" applyFont="1" applyFill="1" applyBorder="1" applyProtection="1">
      <protection hidden="1"/>
    </xf>
    <xf numFmtId="2" fontId="24" fillId="3" borderId="6" xfId="0" applyNumberFormat="1" applyFont="1" applyFill="1" applyBorder="1" applyProtection="1">
      <protection hidden="1"/>
    </xf>
    <xf numFmtId="166" fontId="24" fillId="3" borderId="7" xfId="0" applyNumberFormat="1" applyFont="1" applyFill="1" applyBorder="1" applyProtection="1">
      <protection hidden="1"/>
    </xf>
    <xf numFmtId="2" fontId="24" fillId="3" borderId="7" xfId="0" applyNumberFormat="1" applyFont="1" applyFill="1" applyBorder="1" applyProtection="1">
      <protection hidden="1"/>
    </xf>
    <xf numFmtId="2" fontId="24" fillId="3" borderId="8" xfId="0" applyNumberFormat="1" applyFont="1" applyFill="1" applyBorder="1" applyProtection="1">
      <protection hidden="1"/>
    </xf>
    <xf numFmtId="165" fontId="24" fillId="3" borderId="0" xfId="0" applyNumberFormat="1" applyFont="1" applyFill="1" applyProtection="1">
      <protection hidden="1"/>
    </xf>
    <xf numFmtId="165" fontId="24" fillId="3" borderId="5" xfId="0" applyNumberFormat="1" applyFont="1" applyFill="1" applyBorder="1" applyProtection="1">
      <protection hidden="1"/>
    </xf>
    <xf numFmtId="165" fontId="24" fillId="3" borderId="7" xfId="0" applyNumberFormat="1" applyFont="1" applyFill="1" applyBorder="1" applyProtection="1">
      <protection hidden="1"/>
    </xf>
    <xf numFmtId="165" fontId="24" fillId="3" borderId="8" xfId="0" applyNumberFormat="1" applyFont="1" applyFill="1" applyBorder="1" applyProtection="1">
      <protection hidden="1"/>
    </xf>
    <xf numFmtId="0" fontId="3" fillId="3" borderId="1" xfId="0" applyFont="1" applyFill="1" applyBorder="1" applyAlignment="1" applyProtection="1">
      <alignment horizontal="right"/>
      <protection hidden="1"/>
    </xf>
    <xf numFmtId="0" fontId="3" fillId="3" borderId="2" xfId="0" applyFont="1" applyFill="1" applyBorder="1" applyAlignment="1" applyProtection="1">
      <alignment horizontal="right"/>
      <protection hidden="1"/>
    </xf>
    <xf numFmtId="165" fontId="2" fillId="4" borderId="2" xfId="0" applyNumberFormat="1" applyFont="1" applyFill="1" applyBorder="1" applyProtection="1">
      <protection hidden="1"/>
    </xf>
    <xf numFmtId="165" fontId="2" fillId="4" borderId="3" xfId="0" applyNumberFormat="1" applyFont="1" applyFill="1" applyBorder="1" applyProtection="1">
      <protection hidden="1"/>
    </xf>
    <xf numFmtId="0" fontId="4" fillId="3" borderId="0" xfId="0" applyFont="1" applyFill="1" applyAlignment="1" applyProtection="1">
      <alignment vertical="center"/>
      <protection hidden="1"/>
    </xf>
    <xf numFmtId="0" fontId="3" fillId="3" borderId="6" xfId="0" applyFont="1" applyFill="1" applyBorder="1" applyAlignment="1" applyProtection="1">
      <alignment horizontal="right"/>
      <protection hidden="1"/>
    </xf>
    <xf numFmtId="0" fontId="3" fillId="3" borderId="7" xfId="0" applyFont="1" applyFill="1" applyBorder="1" applyAlignment="1" applyProtection="1">
      <alignment horizontal="right"/>
      <protection hidden="1"/>
    </xf>
    <xf numFmtId="165" fontId="2" fillId="4" borderId="7" xfId="0" applyNumberFormat="1" applyFont="1" applyFill="1" applyBorder="1" applyProtection="1">
      <protection hidden="1"/>
    </xf>
    <xf numFmtId="165" fontId="2" fillId="4" borderId="8" xfId="0" applyNumberFormat="1" applyFont="1" applyFill="1" applyBorder="1" applyProtection="1">
      <protection hidden="1"/>
    </xf>
    <xf numFmtId="2" fontId="4" fillId="3" borderId="7" xfId="0" applyNumberFormat="1" applyFont="1" applyFill="1" applyBorder="1" applyProtection="1">
      <protection hidden="1"/>
    </xf>
    <xf numFmtId="2" fontId="4" fillId="3" borderId="8" xfId="0" applyNumberFormat="1" applyFont="1" applyFill="1" applyBorder="1" applyProtection="1">
      <protection hidden="1"/>
    </xf>
    <xf numFmtId="2" fontId="4" fillId="3" borderId="0" xfId="0" applyNumberFormat="1" applyFont="1" applyFill="1" applyAlignment="1" applyProtection="1">
      <alignment horizontal="center"/>
      <protection hidden="1"/>
    </xf>
    <xf numFmtId="2" fontId="4" fillId="3" borderId="5" xfId="0" applyNumberFormat="1" applyFont="1" applyFill="1" applyBorder="1" applyAlignment="1" applyProtection="1">
      <alignment horizontal="center"/>
      <protection hidden="1"/>
    </xf>
    <xf numFmtId="2" fontId="4" fillId="3" borderId="4" xfId="0" applyNumberFormat="1" applyFont="1" applyFill="1" applyBorder="1" applyProtection="1">
      <protection hidden="1"/>
    </xf>
    <xf numFmtId="166" fontId="4" fillId="3" borderId="0" xfId="0" applyNumberFormat="1" applyFont="1" applyFill="1" applyProtection="1">
      <protection hidden="1"/>
    </xf>
    <xf numFmtId="165" fontId="0" fillId="4" borderId="0" xfId="0" applyNumberFormat="1" applyFill="1" applyProtection="1">
      <protection hidden="1"/>
    </xf>
    <xf numFmtId="165" fontId="0" fillId="4" borderId="5" xfId="0" applyNumberFormat="1" applyFill="1" applyBorder="1" applyProtection="1">
      <protection hidden="1"/>
    </xf>
    <xf numFmtId="0" fontId="4" fillId="3" borderId="4" xfId="0" applyFont="1" applyFill="1" applyBorder="1" applyAlignment="1" applyProtection="1">
      <alignment horizontal="right"/>
      <protection hidden="1"/>
    </xf>
  </cellXfs>
  <cellStyles count="5">
    <cellStyle name="Hyperlink" xfId="4" builtinId="8"/>
    <cellStyle name="Normal" xfId="0" builtinId="0"/>
    <cellStyle name="Normal 2" xfId="2" xr:uid="{ECC7F8FD-029B-405F-A15B-ED6EB57D1952}"/>
    <cellStyle name="Normal 3" xfId="3" xr:uid="{A5FE047F-F6F0-45A2-9ED0-28AE905AA596}"/>
    <cellStyle name="Percent" xfId="1" builtinId="5"/>
  </cellStyles>
  <dxfs count="64">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border diagonalUp="0" diagonalDown="0">
        <left/>
        <right style="medium">
          <color theme="0"/>
        </right>
        <top/>
        <bottom/>
        <vertical/>
        <horizontal/>
      </border>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numFmt numFmtId="2" formatCode="0.00"/>
      <fill>
        <patternFill patternType="solid">
          <fgColor indexed="64"/>
          <bgColor rgb="FFFFFF00"/>
        </patternFill>
      </fill>
      <alignment horizontal="right" vertical="center" textRotation="0" wrapText="0" indent="0" justifyLastLine="0" shrinkToFit="0" readingOrder="0"/>
    </dxf>
    <dxf>
      <font>
        <strike val="0"/>
        <outline val="0"/>
        <shadow val="0"/>
        <u val="none"/>
        <vertAlign val="baseline"/>
        <sz val="11"/>
        <color auto="1"/>
        <name val="Calibri"/>
        <family val="2"/>
        <scheme val="minor"/>
      </font>
      <numFmt numFmtId="2" formatCode="0.00"/>
      <fill>
        <patternFill patternType="solid">
          <fgColor indexed="64"/>
          <bgColor rgb="FFFFFF00"/>
        </patternFill>
      </fill>
      <alignment horizontal="right" vertical="center" textRotation="0" wrapText="0" indent="0" justifyLastLine="0" shrinkToFit="0" readingOrder="0"/>
    </dxf>
    <dxf>
      <font>
        <strike val="0"/>
        <outline val="0"/>
        <shadow val="0"/>
        <u val="none"/>
        <vertAlign val="baseline"/>
        <sz val="11"/>
        <color auto="1"/>
        <name val="Calibri"/>
        <family val="2"/>
        <scheme val="minor"/>
      </font>
      <numFmt numFmtId="2" formatCode="0.00"/>
      <fill>
        <patternFill patternType="solid">
          <fgColor indexed="64"/>
          <bgColor rgb="FFFFFF00"/>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border diagonalUp="0" diagonalDown="0" outline="0">
        <left style="medium">
          <color theme="0"/>
        </left>
        <right/>
        <top/>
        <bottom/>
      </border>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general" vertical="center" textRotation="0" wrapText="0" indent="0" justifyLastLine="0" shrinkToFit="0" readingOrder="0"/>
      <border diagonalUp="0" diagonalDown="0">
        <left style="medium">
          <color theme="0"/>
        </left>
        <right/>
        <top/>
        <bottom/>
        <vertical/>
        <horizontal/>
      </border>
    </dxf>
    <dxf>
      <border outline="0">
        <bottom style="medium">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Modeler'!$A$23:$H$23</c:f>
          <c:strCache>
            <c:ptCount val="8"/>
            <c:pt idx="0">
              <c:v>DK_InPlane (From Dk_Glass, DK_Resin,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'Material Modeler'!$C$24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Modeler'!$C$25:$C$27</c:f>
              <c:numCache>
                <c:formatCode>0.00</c:formatCode>
                <c:ptCount val="3"/>
                <c:pt idx="0">
                  <c:v>3.1938461538461538</c:v>
                </c:pt>
                <c:pt idx="1">
                  <c:v>3.1446153846153848</c:v>
                </c:pt>
                <c:pt idx="2">
                  <c:v>3.0215384615384613</c:v>
                </c:pt>
              </c:numCache>
            </c:numRef>
          </c:yVal>
          <c:smooth val="0"/>
          <c:extLst>
            <c:ext xmlns:c16="http://schemas.microsoft.com/office/drawing/2014/chart" uri="{C3380CC4-5D6E-409C-BE32-E72D297353CC}">
              <c16:uniqueId val="{00000000-E8F2-4BC5-B561-CCE1E60D5638}"/>
            </c:ext>
          </c:extLst>
        </c:ser>
        <c:ser>
          <c:idx val="1"/>
          <c:order val="1"/>
          <c:tx>
            <c:strRef>
              <c:f>'Material Modeler'!$D$24</c:f>
              <c:strCache>
                <c:ptCount val="1"/>
                <c:pt idx="0">
                  <c:v>2.00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Modeler'!$D$25:$D$27</c:f>
              <c:numCache>
                <c:formatCode>0.00</c:formatCode>
                <c:ptCount val="3"/>
                <c:pt idx="0">
                  <c:v>3.1938461538461538</c:v>
                </c:pt>
                <c:pt idx="1">
                  <c:v>3.1446153846153848</c:v>
                </c:pt>
                <c:pt idx="2">
                  <c:v>3.0215384615384613</c:v>
                </c:pt>
              </c:numCache>
            </c:numRef>
          </c:yVal>
          <c:smooth val="0"/>
          <c:extLst>
            <c:ext xmlns:c16="http://schemas.microsoft.com/office/drawing/2014/chart" uri="{C3380CC4-5D6E-409C-BE32-E72D297353CC}">
              <c16:uniqueId val="{00000001-E8F2-4BC5-B561-CCE1E60D5638}"/>
            </c:ext>
          </c:extLst>
        </c:ser>
        <c:ser>
          <c:idx val="2"/>
          <c:order val="2"/>
          <c:tx>
            <c:strRef>
              <c:f>'Material Modeler'!$E$24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Modeler'!$E$25:$E$27</c:f>
              <c:numCache>
                <c:formatCode>0.00</c:formatCode>
                <c:ptCount val="3"/>
                <c:pt idx="0">
                  <c:v>3.1938461538461538</c:v>
                </c:pt>
                <c:pt idx="1">
                  <c:v>3.1446153846153848</c:v>
                </c:pt>
                <c:pt idx="2">
                  <c:v>3.0215384615384613</c:v>
                </c:pt>
              </c:numCache>
            </c:numRef>
          </c:yVal>
          <c:smooth val="0"/>
          <c:extLst>
            <c:ext xmlns:c16="http://schemas.microsoft.com/office/drawing/2014/chart" uri="{C3380CC4-5D6E-409C-BE32-E72D297353CC}">
              <c16:uniqueId val="{00000002-E8F2-4BC5-B561-CCE1E60D5638}"/>
            </c:ext>
          </c:extLst>
        </c:ser>
        <c:ser>
          <c:idx val="3"/>
          <c:order val="3"/>
          <c:tx>
            <c:strRef>
              <c:f>'Material Modeler'!$F$24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Modeler'!$F$25:$F$27</c:f>
              <c:numCache>
                <c:formatCode>0.00</c:formatCode>
                <c:ptCount val="3"/>
                <c:pt idx="0">
                  <c:v>3.1938461538461538</c:v>
                </c:pt>
                <c:pt idx="1">
                  <c:v>3.1446153846153848</c:v>
                </c:pt>
                <c:pt idx="2">
                  <c:v>3.0215384615384613</c:v>
                </c:pt>
              </c:numCache>
            </c:numRef>
          </c:yVal>
          <c:smooth val="0"/>
          <c:extLst>
            <c:ext xmlns:c16="http://schemas.microsoft.com/office/drawing/2014/chart" uri="{C3380CC4-5D6E-409C-BE32-E72D297353CC}">
              <c16:uniqueId val="{00000003-E8F2-4BC5-B561-CCE1E60D5638}"/>
            </c:ext>
          </c:extLst>
        </c:ser>
        <c:ser>
          <c:idx val="4"/>
          <c:order val="4"/>
          <c:tx>
            <c:strRef>
              <c:f>'Material Modeler'!$H$24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Modeler'!$H$25:$H$27</c:f>
              <c:numCache>
                <c:formatCode>0.00</c:formatCode>
                <c:ptCount val="3"/>
                <c:pt idx="0">
                  <c:v>3.1951282051282055</c:v>
                </c:pt>
                <c:pt idx="1">
                  <c:v>3.1428205128205127</c:v>
                </c:pt>
                <c:pt idx="2">
                  <c:v>3.0120512820512819</c:v>
                </c:pt>
              </c:numCache>
            </c:numRef>
          </c:yVal>
          <c:smooth val="0"/>
          <c:extLst>
            <c:ext xmlns:c16="http://schemas.microsoft.com/office/drawing/2014/chart" uri="{C3380CC4-5D6E-409C-BE32-E72D297353CC}">
              <c16:uniqueId val="{00000004-E8F2-4BC5-B561-CCE1E60D5638}"/>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Modeler'!$J$23:$Q$23</c:f>
          <c:strCache>
            <c:ptCount val="8"/>
            <c:pt idx="0">
              <c:v>DK_OutofPlane (From Dk_Glass, DK_Resin,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'Material Modeler'!$L$24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Modeler'!$L$25:$L$27</c:f>
              <c:numCache>
                <c:formatCode>0.00</c:formatCode>
                <c:ptCount val="3"/>
                <c:pt idx="0">
                  <c:v>3.0103418305631466</c:v>
                </c:pt>
                <c:pt idx="1">
                  <c:v>2.9688437237661818</c:v>
                </c:pt>
                <c:pt idx="2">
                  <c:v>2.8699372143680861</c:v>
                </c:pt>
              </c:numCache>
            </c:numRef>
          </c:yVal>
          <c:smooth val="0"/>
          <c:extLst>
            <c:ext xmlns:c16="http://schemas.microsoft.com/office/drawing/2014/chart" uri="{C3380CC4-5D6E-409C-BE32-E72D297353CC}">
              <c16:uniqueId val="{00000000-BF33-43FE-8578-32CFAFDE4D7E}"/>
            </c:ext>
          </c:extLst>
        </c:ser>
        <c:ser>
          <c:idx val="1"/>
          <c:order val="1"/>
          <c:tx>
            <c:strRef>
              <c:f>'Material Modeler'!$M$24</c:f>
              <c:strCache>
                <c:ptCount val="1"/>
                <c:pt idx="0">
                  <c:v>2.00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Modeler'!$M$25:$M$27</c:f>
              <c:numCache>
                <c:formatCode>0.00</c:formatCode>
                <c:ptCount val="3"/>
                <c:pt idx="0">
                  <c:v>3.0103418305631466</c:v>
                </c:pt>
                <c:pt idx="1">
                  <c:v>2.9688437237661818</c:v>
                </c:pt>
                <c:pt idx="2">
                  <c:v>2.8699372143680861</c:v>
                </c:pt>
              </c:numCache>
            </c:numRef>
          </c:yVal>
          <c:smooth val="0"/>
          <c:extLst>
            <c:ext xmlns:c16="http://schemas.microsoft.com/office/drawing/2014/chart" uri="{C3380CC4-5D6E-409C-BE32-E72D297353CC}">
              <c16:uniqueId val="{00000001-BF33-43FE-8578-32CFAFDE4D7E}"/>
            </c:ext>
          </c:extLst>
        </c:ser>
        <c:ser>
          <c:idx val="2"/>
          <c:order val="2"/>
          <c:tx>
            <c:strRef>
              <c:f>'Material Modeler'!$N$24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Modeler'!$N$25:$N$27</c:f>
              <c:numCache>
                <c:formatCode>0.00</c:formatCode>
                <c:ptCount val="3"/>
                <c:pt idx="0">
                  <c:v>3.0103418305631466</c:v>
                </c:pt>
                <c:pt idx="1">
                  <c:v>2.9688437237661818</c:v>
                </c:pt>
                <c:pt idx="2">
                  <c:v>2.8699372143680861</c:v>
                </c:pt>
              </c:numCache>
            </c:numRef>
          </c:yVal>
          <c:smooth val="0"/>
          <c:extLst>
            <c:ext xmlns:c16="http://schemas.microsoft.com/office/drawing/2014/chart" uri="{C3380CC4-5D6E-409C-BE32-E72D297353CC}">
              <c16:uniqueId val="{00000002-BF33-43FE-8578-32CFAFDE4D7E}"/>
            </c:ext>
          </c:extLst>
        </c:ser>
        <c:ser>
          <c:idx val="3"/>
          <c:order val="3"/>
          <c:tx>
            <c:strRef>
              <c:f>'Material Modeler'!$O$24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Modeler'!$O$25:$O$27</c:f>
              <c:numCache>
                <c:formatCode>0.00</c:formatCode>
                <c:ptCount val="3"/>
                <c:pt idx="0">
                  <c:v>3.0103418305631466</c:v>
                </c:pt>
                <c:pt idx="1">
                  <c:v>2.9688437237661818</c:v>
                </c:pt>
                <c:pt idx="2">
                  <c:v>2.8699372143680861</c:v>
                </c:pt>
              </c:numCache>
            </c:numRef>
          </c:yVal>
          <c:smooth val="0"/>
          <c:extLst>
            <c:ext xmlns:c16="http://schemas.microsoft.com/office/drawing/2014/chart" uri="{C3380CC4-5D6E-409C-BE32-E72D297353CC}">
              <c16:uniqueId val="{00000003-BF33-43FE-8578-32CFAFDE4D7E}"/>
            </c:ext>
          </c:extLst>
        </c:ser>
        <c:ser>
          <c:idx val="4"/>
          <c:order val="4"/>
          <c:tx>
            <c:strRef>
              <c:f>'Material Modeler'!$Q$24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Modeler'!$Q$25:$Q$27</c:f>
              <c:numCache>
                <c:formatCode>0.00</c:formatCode>
                <c:ptCount val="3"/>
                <c:pt idx="0">
                  <c:v>2.9892430693537704</c:v>
                </c:pt>
                <c:pt idx="1">
                  <c:v>2.9457631701631697</c:v>
                </c:pt>
                <c:pt idx="2">
                  <c:v>2.8424030589293743</c:v>
                </c:pt>
              </c:numCache>
            </c:numRef>
          </c:yVal>
          <c:smooth val="0"/>
          <c:extLst>
            <c:ext xmlns:c16="http://schemas.microsoft.com/office/drawing/2014/chart" uri="{C3380CC4-5D6E-409C-BE32-E72D297353CC}">
              <c16:uniqueId val="{00000004-BF33-43FE-8578-32CFAFDE4D7E}"/>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Final DK Values</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190382847713656"/>
          <c:y val="0.13148475909537857"/>
          <c:w val="0.75651775068200866"/>
          <c:h val="0.56569096014430276"/>
        </c:manualLayout>
      </c:layout>
      <c:scatterChart>
        <c:scatterStyle val="lineMarker"/>
        <c:varyColors val="0"/>
        <c:ser>
          <c:idx val="0"/>
          <c:order val="0"/>
          <c:tx>
            <c:strRef>
              <c:f>'Material Modeler'!$A$44:$H$44</c:f>
              <c:strCache>
                <c:ptCount val="8"/>
                <c:pt idx="0">
                  <c:v>DK_InPlane (Thickness = 152µm)</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Modeler'!$C$45:$H$45</c:f>
              <c:numCache>
                <c:formatCode>0.00</c:formatCode>
                <c:ptCount val="6"/>
                <c:pt idx="0">
                  <c:v>1</c:v>
                </c:pt>
                <c:pt idx="1">
                  <c:v>2</c:v>
                </c:pt>
                <c:pt idx="2">
                  <c:v>5</c:v>
                </c:pt>
                <c:pt idx="3">
                  <c:v>10</c:v>
                </c:pt>
                <c:pt idx="4">
                  <c:v>15</c:v>
                </c:pt>
                <c:pt idx="5">
                  <c:v>20</c:v>
                </c:pt>
              </c:numCache>
            </c:numRef>
          </c:xVal>
          <c:yVal>
            <c:numRef>
              <c:f>'Material Modeler'!$C$46:$H$46</c:f>
              <c:numCache>
                <c:formatCode>0.00</c:formatCode>
                <c:ptCount val="6"/>
                <c:pt idx="0">
                  <c:v>3.1071406606718535</c:v>
                </c:pt>
                <c:pt idx="1">
                  <c:v>3.1071406606718535</c:v>
                </c:pt>
                <c:pt idx="2">
                  <c:v>3.1071406606718535</c:v>
                </c:pt>
                <c:pt idx="3">
                  <c:v>3.1071406606718535</c:v>
                </c:pt>
                <c:pt idx="4">
                  <c:v>3.1071406606718535</c:v>
                </c:pt>
                <c:pt idx="5">
                  <c:v>3.1030036186305114</c:v>
                </c:pt>
              </c:numCache>
            </c:numRef>
          </c:yVal>
          <c:smooth val="0"/>
          <c:extLst>
            <c:ext xmlns:c16="http://schemas.microsoft.com/office/drawing/2014/chart" uri="{C3380CC4-5D6E-409C-BE32-E72D297353CC}">
              <c16:uniqueId val="{00000000-B245-40D8-BFFC-965B6C1855E7}"/>
            </c:ext>
          </c:extLst>
        </c:ser>
        <c:ser>
          <c:idx val="1"/>
          <c:order val="1"/>
          <c:tx>
            <c:strRef>
              <c:f>'Material Modeler'!$J$44:$Q$44</c:f>
              <c:strCache>
                <c:ptCount val="8"/>
                <c:pt idx="0">
                  <c:v>DK_OutofPlane (Thickness = 152µm)</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Modeler'!$L$45:$Q$45</c:f>
              <c:numCache>
                <c:formatCode>0.00</c:formatCode>
                <c:ptCount val="6"/>
                <c:pt idx="0">
                  <c:v>1</c:v>
                </c:pt>
                <c:pt idx="1">
                  <c:v>2</c:v>
                </c:pt>
                <c:pt idx="2">
                  <c:v>5</c:v>
                </c:pt>
                <c:pt idx="3">
                  <c:v>10</c:v>
                </c:pt>
                <c:pt idx="4">
                  <c:v>15</c:v>
                </c:pt>
                <c:pt idx="5">
                  <c:v>20</c:v>
                </c:pt>
              </c:numCache>
            </c:numRef>
          </c:xVal>
          <c:yVal>
            <c:numRef>
              <c:f>'Material Modeler'!$L$46:$Q$46</c:f>
              <c:numCache>
                <c:formatCode>0.00</c:formatCode>
                <c:ptCount val="6"/>
                <c:pt idx="0">
                  <c:v>2.9380141040635168</c:v>
                </c:pt>
                <c:pt idx="1">
                  <c:v>2.9380141040635168</c:v>
                </c:pt>
                <c:pt idx="2">
                  <c:v>2.9380141040635168</c:v>
                </c:pt>
                <c:pt idx="3">
                  <c:v>2.9380141040635168</c:v>
                </c:pt>
                <c:pt idx="4">
                  <c:v>2.9380141040635168</c:v>
                </c:pt>
                <c:pt idx="5">
                  <c:v>2.9135046211177236</c:v>
                </c:pt>
              </c:numCache>
            </c:numRef>
          </c:yVal>
          <c:smooth val="0"/>
          <c:extLst>
            <c:ext xmlns:c16="http://schemas.microsoft.com/office/drawing/2014/chart" uri="{C3380CC4-5D6E-409C-BE32-E72D297353CC}">
              <c16:uniqueId val="{00000001-B245-40D8-BFFC-965B6C1855E7}"/>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4.1459706235924466E-2"/>
          <c:y val="0.88379440540287924"/>
          <c:w val="0.9"/>
          <c:h val="7.91758564509515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Modeler'!$AB$6:$AH$6</c:f>
          <c:strCache>
            <c:ptCount val="7"/>
            <c:pt idx="0">
              <c:v>Stripline Loss Decomposition at Temp = 25°C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5571626031953106"/>
          <c:y val="0.18470153084420821"/>
          <c:w val="0.73397630029974059"/>
          <c:h val="0.49575668741286782"/>
        </c:manualLayout>
      </c:layout>
      <c:scatterChart>
        <c:scatterStyle val="lineMarker"/>
        <c:varyColors val="0"/>
        <c:ser>
          <c:idx val="0"/>
          <c:order val="0"/>
          <c:tx>
            <c:strRef>
              <c:f>'Material Modeler'!$AB$7</c:f>
              <c:strCache>
                <c:ptCount val="1"/>
                <c:pt idx="0">
                  <c:v>α_Dielectric (Verified)</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Modeler'!$AD$2:$AI$2</c:f>
              <c:numCache>
                <c:formatCode>0.00</c:formatCode>
                <c:ptCount val="6"/>
                <c:pt idx="0">
                  <c:v>1</c:v>
                </c:pt>
                <c:pt idx="1">
                  <c:v>2</c:v>
                </c:pt>
                <c:pt idx="2">
                  <c:v>5</c:v>
                </c:pt>
                <c:pt idx="3">
                  <c:v>10</c:v>
                </c:pt>
                <c:pt idx="4">
                  <c:v>15</c:v>
                </c:pt>
                <c:pt idx="5">
                  <c:v>20</c:v>
                </c:pt>
              </c:numCache>
            </c:numRef>
          </c:xVal>
          <c:yVal>
            <c:numRef>
              <c:f>'Material Modeler'!$AD$7:$AI$7</c:f>
              <c:numCache>
                <c:formatCode>0.00</c:formatCode>
                <c:ptCount val="6"/>
                <c:pt idx="0">
                  <c:v>0.28311920223533704</c:v>
                </c:pt>
                <c:pt idx="1">
                  <c:v>0.56623840447067408</c:v>
                </c:pt>
                <c:pt idx="2">
                  <c:v>1.4155960111766852</c:v>
                </c:pt>
                <c:pt idx="3">
                  <c:v>2.8311920223533704</c:v>
                </c:pt>
                <c:pt idx="4">
                  <c:v>4.2467880335300556</c:v>
                </c:pt>
                <c:pt idx="5">
                  <c:v>5.6489517791421751</c:v>
                </c:pt>
              </c:numCache>
            </c:numRef>
          </c:yVal>
          <c:smooth val="0"/>
          <c:extLst>
            <c:ext xmlns:c16="http://schemas.microsoft.com/office/drawing/2014/chart" uri="{C3380CC4-5D6E-409C-BE32-E72D297353CC}">
              <c16:uniqueId val="{00000000-52F4-4FF2-8262-6851F7BEE136}"/>
            </c:ext>
          </c:extLst>
        </c:ser>
        <c:ser>
          <c:idx val="1"/>
          <c:order val="1"/>
          <c:tx>
            <c:strRef>
              <c:f>'Material Modeler'!$AB$8</c:f>
              <c:strCache>
                <c:ptCount val="1"/>
                <c:pt idx="0">
                  <c:v>α_SmoothMetal (Verified)</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Modeler'!$AD$2:$AI$2</c:f>
              <c:numCache>
                <c:formatCode>0.00</c:formatCode>
                <c:ptCount val="6"/>
                <c:pt idx="0">
                  <c:v>1</c:v>
                </c:pt>
                <c:pt idx="1">
                  <c:v>2</c:v>
                </c:pt>
                <c:pt idx="2">
                  <c:v>5</c:v>
                </c:pt>
                <c:pt idx="3">
                  <c:v>10</c:v>
                </c:pt>
                <c:pt idx="4">
                  <c:v>15</c:v>
                </c:pt>
                <c:pt idx="5">
                  <c:v>20</c:v>
                </c:pt>
              </c:numCache>
            </c:numRef>
          </c:xVal>
          <c:yVal>
            <c:numRef>
              <c:f>'Material Modeler'!$AD$8:$AI$8</c:f>
              <c:numCache>
                <c:formatCode>0.00</c:formatCode>
                <c:ptCount val="6"/>
                <c:pt idx="0">
                  <c:v>4.9261748996089167</c:v>
                </c:pt>
                <c:pt idx="1">
                  <c:v>6.9666633536488467</c:v>
                </c:pt>
                <c:pt idx="2">
                  <c:v>11.015261944578736</c:v>
                </c:pt>
                <c:pt idx="3">
                  <c:v>15.577932835115481</c:v>
                </c:pt>
                <c:pt idx="4">
                  <c:v>19.078993346690321</c:v>
                </c:pt>
                <c:pt idx="5">
                  <c:v>21.978263243275933</c:v>
                </c:pt>
              </c:numCache>
            </c:numRef>
          </c:yVal>
          <c:smooth val="0"/>
          <c:extLst>
            <c:ext xmlns:c16="http://schemas.microsoft.com/office/drawing/2014/chart" uri="{C3380CC4-5D6E-409C-BE32-E72D297353CC}">
              <c16:uniqueId val="{00000001-52F4-4FF2-8262-6851F7BEE136}"/>
            </c:ext>
          </c:extLst>
        </c:ser>
        <c:ser>
          <c:idx val="2"/>
          <c:order val="2"/>
          <c:tx>
            <c:strRef>
              <c:f>'Material Modeler'!$AB$9</c:f>
              <c:strCache>
                <c:ptCount val="1"/>
                <c:pt idx="0">
                  <c:v>α_RoughMetal</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Modeler'!$AD$2:$AI$2</c:f>
              <c:numCache>
                <c:formatCode>0.00</c:formatCode>
                <c:ptCount val="6"/>
                <c:pt idx="0">
                  <c:v>1</c:v>
                </c:pt>
                <c:pt idx="1">
                  <c:v>2</c:v>
                </c:pt>
                <c:pt idx="2">
                  <c:v>5</c:v>
                </c:pt>
                <c:pt idx="3">
                  <c:v>10</c:v>
                </c:pt>
                <c:pt idx="4">
                  <c:v>15</c:v>
                </c:pt>
                <c:pt idx="5">
                  <c:v>20</c:v>
                </c:pt>
              </c:numCache>
            </c:numRef>
          </c:xVal>
          <c:yVal>
            <c:numRef>
              <c:f>'Material Modeler'!$AD$9:$AI$9</c:f>
              <c:numCache>
                <c:formatCode>0.00</c:formatCode>
                <c:ptCount val="6"/>
                <c:pt idx="0">
                  <c:v>4.9748633421726343</c:v>
                </c:pt>
                <c:pt idx="1">
                  <c:v>7.1043418885372169</c:v>
                </c:pt>
                <c:pt idx="2">
                  <c:v>11.558569313656125</c:v>
                </c:pt>
                <c:pt idx="3">
                  <c:v>17.105523058077669</c:v>
                </c:pt>
                <c:pt idx="4">
                  <c:v>21.858221425886313</c:v>
                </c:pt>
                <c:pt idx="5">
                  <c:v>26.191016208761344</c:v>
                </c:pt>
              </c:numCache>
            </c:numRef>
          </c:yVal>
          <c:smooth val="0"/>
          <c:extLst>
            <c:ext xmlns:c16="http://schemas.microsoft.com/office/drawing/2014/chart" uri="{C3380CC4-5D6E-409C-BE32-E72D297353CC}">
              <c16:uniqueId val="{00000002-52F4-4FF2-8262-6851F7BEE136}"/>
            </c:ext>
          </c:extLst>
        </c:ser>
        <c:ser>
          <c:idx val="3"/>
          <c:order val="3"/>
          <c:tx>
            <c:strRef>
              <c:f>'Material Modeler'!$AB$10</c:f>
              <c:strCache>
                <c:ptCount val="1"/>
                <c:pt idx="0">
                  <c:v>α_Total</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'Material Modeler'!$AD$2:$AI$2</c:f>
              <c:numCache>
                <c:formatCode>0.00</c:formatCode>
                <c:ptCount val="6"/>
                <c:pt idx="0">
                  <c:v>1</c:v>
                </c:pt>
                <c:pt idx="1">
                  <c:v>2</c:v>
                </c:pt>
                <c:pt idx="2">
                  <c:v>5</c:v>
                </c:pt>
                <c:pt idx="3">
                  <c:v>10</c:v>
                </c:pt>
                <c:pt idx="4">
                  <c:v>15</c:v>
                </c:pt>
                <c:pt idx="5">
                  <c:v>20</c:v>
                </c:pt>
              </c:numCache>
            </c:numRef>
          </c:xVal>
          <c:yVal>
            <c:numRef>
              <c:f>'Material Modeler'!$AD$10:$AI$10</c:f>
              <c:numCache>
                <c:formatCode>0.00</c:formatCode>
                <c:ptCount val="6"/>
                <c:pt idx="0">
                  <c:v>5.2579825444079713</c:v>
                </c:pt>
                <c:pt idx="1">
                  <c:v>7.670580293007891</c:v>
                </c:pt>
                <c:pt idx="2">
                  <c:v>12.974165324832811</c:v>
                </c:pt>
                <c:pt idx="3">
                  <c:v>19.936715080431039</c:v>
                </c:pt>
                <c:pt idx="4">
                  <c:v>26.105009459416369</c:v>
                </c:pt>
                <c:pt idx="5">
                  <c:v>31.83996798790352</c:v>
                </c:pt>
              </c:numCache>
            </c:numRef>
          </c:yVal>
          <c:smooth val="0"/>
          <c:extLst>
            <c:ext xmlns:c16="http://schemas.microsoft.com/office/drawing/2014/chart" uri="{C3380CC4-5D6E-409C-BE32-E72D297353CC}">
              <c16:uniqueId val="{00000003-52F4-4FF2-8262-6851F7BEE136}"/>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6.6865549221882342E-2"/>
          <c:y val="0.8258194875172904"/>
          <c:w val="0.87470576173332526"/>
          <c:h val="0.17162568338640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Modeler'!$AB$25:$AH$25</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6544967807167815"/>
          <c:y val="0.20029705892107996"/>
          <c:w val="0.55600688387005515"/>
          <c:h val="0.55991184332161714"/>
        </c:manualLayout>
      </c:layout>
      <c:scatterChart>
        <c:scatterStyle val="lineMarker"/>
        <c:varyColors val="0"/>
        <c:ser>
          <c:idx val="0"/>
          <c:order val="0"/>
          <c:tx>
            <c:strRef>
              <c:f>'Material Modeler'!$AD$26</c:f>
              <c:strCache>
                <c:ptCount val="1"/>
                <c:pt idx="0">
                  <c:v>1.00</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Modeler'!$AD$27:$AD$30</c:f>
              <c:numCache>
                <c:formatCode>0.00</c:formatCode>
                <c:ptCount val="4"/>
                <c:pt idx="0">
                  <c:v>4.4887389580122692</c:v>
                </c:pt>
                <c:pt idx="1">
                  <c:v>4.9735368654101357</c:v>
                </c:pt>
                <c:pt idx="2">
                  <c:v>5.2579825444079713</c:v>
                </c:pt>
                <c:pt idx="3">
                  <c:v>5.9465702638059232</c:v>
                </c:pt>
              </c:numCache>
            </c:numRef>
          </c:yVal>
          <c:smooth val="0"/>
          <c:extLst>
            <c:ext xmlns:c16="http://schemas.microsoft.com/office/drawing/2014/chart" uri="{C3380CC4-5D6E-409C-BE32-E72D297353CC}">
              <c16:uniqueId val="{00000001-A5C3-4E39-BBC9-B8FF93DF1593}"/>
            </c:ext>
          </c:extLst>
        </c:ser>
        <c:ser>
          <c:idx val="1"/>
          <c:order val="1"/>
          <c:tx>
            <c:strRef>
              <c:f>'Material Modeler'!$AE$26</c:f>
              <c:strCache>
                <c:ptCount val="1"/>
                <c:pt idx="0">
                  <c:v>2.00</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Modeler'!$AE$27:$AE$30</c:f>
              <c:numCache>
                <c:formatCode>0.00</c:formatCode>
                <c:ptCount val="4"/>
                <c:pt idx="0">
                  <c:v>6.5524150230060929</c:v>
                </c:pt>
                <c:pt idx="1">
                  <c:v>7.2560593483712363</c:v>
                </c:pt>
                <c:pt idx="2">
                  <c:v>7.670580293007891</c:v>
                </c:pt>
                <c:pt idx="3">
                  <c:v>8.6785607640649793</c:v>
                </c:pt>
              </c:numCache>
            </c:numRef>
          </c:yVal>
          <c:smooth val="0"/>
          <c:extLst>
            <c:ext xmlns:c16="http://schemas.microsoft.com/office/drawing/2014/chart" uri="{C3380CC4-5D6E-409C-BE32-E72D297353CC}">
              <c16:uniqueId val="{00000003-A5C3-4E39-BBC9-B8FF93DF1593}"/>
            </c:ext>
          </c:extLst>
        </c:ser>
        <c:ser>
          <c:idx val="2"/>
          <c:order val="2"/>
          <c:tx>
            <c:strRef>
              <c:f>'Material Modeler'!$AF$26</c:f>
              <c:strCache>
                <c:ptCount val="1"/>
                <c:pt idx="0">
                  <c:v>5.00</c:v>
                </c:pt>
              </c:strCache>
            </c:strRef>
          </c:tx>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trendline>
            <c:spPr>
              <a:ln w="25400" cap="rnd">
                <a:solidFill>
                  <a:schemeClr val="accent3">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Modeler'!$AF$27:$AF$30</c:f>
              <c:numCache>
                <c:formatCode>0.00</c:formatCode>
                <c:ptCount val="4"/>
                <c:pt idx="0">
                  <c:v>11.128027318930249</c:v>
                </c:pt>
                <c:pt idx="1">
                  <c:v>12.285971884494066</c:v>
                </c:pt>
                <c:pt idx="2">
                  <c:v>12.974165324832811</c:v>
                </c:pt>
                <c:pt idx="3">
                  <c:v>14.663587948041283</c:v>
                </c:pt>
              </c:numCache>
            </c:numRef>
          </c:yVal>
          <c:smooth val="0"/>
          <c:extLst>
            <c:ext xmlns:c16="http://schemas.microsoft.com/office/drawing/2014/chart" uri="{C3380CC4-5D6E-409C-BE32-E72D297353CC}">
              <c16:uniqueId val="{00000005-A5C3-4E39-BBC9-B8FF93DF1593}"/>
            </c:ext>
          </c:extLst>
        </c:ser>
        <c:ser>
          <c:idx val="3"/>
          <c:order val="3"/>
          <c:tx>
            <c:strRef>
              <c:f>'Material Modeler'!$AG$26</c:f>
              <c:strCache>
                <c:ptCount val="1"/>
                <c:pt idx="0">
                  <c:v>10.00</c:v>
                </c:pt>
              </c:strCache>
            </c:strRef>
          </c:tx>
          <c:spPr>
            <a:ln w="25400" cap="rnd">
              <a:no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trendline>
            <c:spPr>
              <a:ln w="25400" cap="rnd">
                <a:solidFill>
                  <a:schemeClr val="accent4">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Modeler'!$AG$27:$AG$30</c:f>
              <c:numCache>
                <c:formatCode>0.00</c:formatCode>
                <c:ptCount val="4"/>
                <c:pt idx="0">
                  <c:v>17.231624343691589</c:v>
                </c:pt>
                <c:pt idx="1">
                  <c:v>18.92190847590852</c:v>
                </c:pt>
                <c:pt idx="2">
                  <c:v>19.936715080431039</c:v>
                </c:pt>
                <c:pt idx="3">
                  <c:v>22.455447224001034</c:v>
                </c:pt>
              </c:numCache>
            </c:numRef>
          </c:yVal>
          <c:smooth val="0"/>
          <c:extLst>
            <c:ext xmlns:c16="http://schemas.microsoft.com/office/drawing/2014/chart" uri="{C3380CC4-5D6E-409C-BE32-E72D297353CC}">
              <c16:uniqueId val="{00000007-A5C3-4E39-BBC9-B8FF93DF1593}"/>
            </c:ext>
          </c:extLst>
        </c:ser>
        <c:ser>
          <c:idx val="4"/>
          <c:order val="4"/>
          <c:tx>
            <c:strRef>
              <c:f>'Material Modeler'!$AH$26</c:f>
              <c:strCache>
                <c:ptCount val="1"/>
                <c:pt idx="0">
                  <c:v>15.00</c:v>
                </c:pt>
              </c:strCache>
            </c:strRef>
          </c:tx>
          <c:spPr>
            <a:ln w="25400" cap="rnd">
              <a:no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trendline>
            <c:spPr>
              <a:ln w="25400" cap="rnd">
                <a:solidFill>
                  <a:schemeClr val="accent5">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Modeler'!$AH$27:$AH$30</c:f>
              <c:numCache>
                <c:formatCode>0.00</c:formatCode>
                <c:ptCount val="4"/>
                <c:pt idx="0">
                  <c:v>22.712933316966968</c:v>
                </c:pt>
                <c:pt idx="1">
                  <c:v>24.827745031975518</c:v>
                </c:pt>
                <c:pt idx="2">
                  <c:v>26.105009459416369</c:v>
                </c:pt>
                <c:pt idx="3">
                  <c:v>29.298460608679491</c:v>
                </c:pt>
              </c:numCache>
            </c:numRef>
          </c:yVal>
          <c:smooth val="0"/>
          <c:extLst>
            <c:ext xmlns:c16="http://schemas.microsoft.com/office/drawing/2014/chart" uri="{C3380CC4-5D6E-409C-BE32-E72D297353CC}">
              <c16:uniqueId val="{00000009-A5C3-4E39-BBC9-B8FF93DF1593}"/>
            </c:ext>
          </c:extLst>
        </c:ser>
        <c:ser>
          <c:idx val="5"/>
          <c:order val="5"/>
          <c:tx>
            <c:strRef>
              <c:f>'Material Modeler'!$AI$26</c:f>
              <c:strCache>
                <c:ptCount val="1"/>
                <c:pt idx="0">
                  <c:v>20.00</c:v>
                </c:pt>
              </c:strCache>
            </c:strRef>
          </c:tx>
          <c:spPr>
            <a:ln w="25400" cap="rnd">
              <a:no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trendline>
            <c:spPr>
              <a:ln w="25400" cap="rnd">
                <a:solidFill>
                  <a:schemeClr val="accent6">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Modeler'!$AI$27:$AI$30</c:f>
              <c:numCache>
                <c:formatCode>0.00</c:formatCode>
                <c:ptCount val="4"/>
                <c:pt idx="0">
                  <c:v>27.842892637110687</c:v>
                </c:pt>
                <c:pt idx="1">
                  <c:v>30.333003663349619</c:v>
                </c:pt>
                <c:pt idx="2">
                  <c:v>31.83996798790352</c:v>
                </c:pt>
                <c:pt idx="3">
                  <c:v>35.623201472964098</c:v>
                </c:pt>
              </c:numCache>
            </c:numRef>
          </c:yVal>
          <c:smooth val="0"/>
          <c:extLst>
            <c:ext xmlns:c16="http://schemas.microsoft.com/office/drawing/2014/chart" uri="{C3380CC4-5D6E-409C-BE32-E72D297353CC}">
              <c16:uniqueId val="{0000000B-A5C3-4E39-BBC9-B8FF93DF1593}"/>
            </c:ext>
          </c:extLst>
        </c:ser>
        <c:dLbls>
          <c:showLegendKey val="0"/>
          <c:showVal val="0"/>
          <c:showCatName val="0"/>
          <c:showSerName val="0"/>
          <c:showPercent val="0"/>
          <c:showBubbleSize val="0"/>
        </c:dLbls>
        <c:axId val="599681023"/>
        <c:axId val="599694463"/>
      </c:scatterChart>
      <c:valAx>
        <c:axId val="599681023"/>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Temperature (°C)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94463"/>
        <c:crosses val="autoZero"/>
        <c:crossBetween val="midCat"/>
      </c:valAx>
      <c:valAx>
        <c:axId val="599694463"/>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81023"/>
        <c:crossesAt val="-50"/>
        <c:crossBetween val="midCat"/>
        <c:majorUnit val="20"/>
      </c:valAx>
      <c:spPr>
        <a:noFill/>
        <a:ln>
          <a:noFill/>
        </a:ln>
        <a:effectLst/>
      </c:spPr>
    </c:plotArea>
    <c:legend>
      <c:legendPos val="t"/>
      <c:layout>
        <c:manualLayout>
          <c:xMode val="edge"/>
          <c:yMode val="edge"/>
          <c:x val="0.73800131136947611"/>
          <c:y val="0.16639264111771396"/>
          <c:w val="0.24992932243777008"/>
          <c:h val="0.591113733191523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Modeler'!$AB$25:$AH$25</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6503790684700997"/>
          <c:y val="0.19910914687196135"/>
          <c:w val="0.6233309689179638"/>
          <c:h val="0.56182637685609627"/>
        </c:manualLayout>
      </c:layout>
      <c:scatterChart>
        <c:scatterStyle val="smoothMarker"/>
        <c:varyColors val="0"/>
        <c:ser>
          <c:idx val="0"/>
          <c:order val="0"/>
          <c:tx>
            <c:strRef>
              <c:f>'Material Modeler'!$AC$27</c:f>
              <c:strCache>
                <c:ptCount val="1"/>
                <c:pt idx="0">
                  <c:v>-40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Modeler'!$AD$26:$AI$26</c:f>
              <c:numCache>
                <c:formatCode>0.00</c:formatCode>
                <c:ptCount val="6"/>
                <c:pt idx="0">
                  <c:v>1</c:v>
                </c:pt>
                <c:pt idx="1">
                  <c:v>2</c:v>
                </c:pt>
                <c:pt idx="2">
                  <c:v>5</c:v>
                </c:pt>
                <c:pt idx="3">
                  <c:v>10</c:v>
                </c:pt>
                <c:pt idx="4">
                  <c:v>15</c:v>
                </c:pt>
                <c:pt idx="5">
                  <c:v>20</c:v>
                </c:pt>
              </c:numCache>
            </c:numRef>
          </c:xVal>
          <c:yVal>
            <c:numRef>
              <c:f>'Material Modeler'!$AD$27:$AI$27</c:f>
              <c:numCache>
                <c:formatCode>0.00</c:formatCode>
                <c:ptCount val="6"/>
                <c:pt idx="0">
                  <c:v>4.4887389580122692</c:v>
                </c:pt>
                <c:pt idx="1">
                  <c:v>6.5524150230060929</c:v>
                </c:pt>
                <c:pt idx="2">
                  <c:v>11.128027318930249</c:v>
                </c:pt>
                <c:pt idx="3">
                  <c:v>17.231624343691589</c:v>
                </c:pt>
                <c:pt idx="4">
                  <c:v>22.712933316966968</c:v>
                </c:pt>
                <c:pt idx="5">
                  <c:v>27.842892637110687</c:v>
                </c:pt>
              </c:numCache>
            </c:numRef>
          </c:yVal>
          <c:smooth val="1"/>
          <c:extLst>
            <c:ext xmlns:c16="http://schemas.microsoft.com/office/drawing/2014/chart" uri="{C3380CC4-5D6E-409C-BE32-E72D297353CC}">
              <c16:uniqueId val="{00000000-A2F6-4439-8069-BF38D0952ECC}"/>
            </c:ext>
          </c:extLst>
        </c:ser>
        <c:ser>
          <c:idx val="1"/>
          <c:order val="1"/>
          <c:tx>
            <c:strRef>
              <c:f>'Material Modeler'!$AC$28</c:f>
              <c:strCache>
                <c:ptCount val="1"/>
                <c:pt idx="0">
                  <c:v>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Modeler'!$AD$26:$AI$26</c:f>
              <c:numCache>
                <c:formatCode>0.00</c:formatCode>
                <c:ptCount val="6"/>
                <c:pt idx="0">
                  <c:v>1</c:v>
                </c:pt>
                <c:pt idx="1">
                  <c:v>2</c:v>
                </c:pt>
                <c:pt idx="2">
                  <c:v>5</c:v>
                </c:pt>
                <c:pt idx="3">
                  <c:v>10</c:v>
                </c:pt>
                <c:pt idx="4">
                  <c:v>15</c:v>
                </c:pt>
                <c:pt idx="5">
                  <c:v>20</c:v>
                </c:pt>
              </c:numCache>
            </c:numRef>
          </c:xVal>
          <c:yVal>
            <c:numRef>
              <c:f>'Material Modeler'!$AD$28:$AI$28</c:f>
              <c:numCache>
                <c:formatCode>0.00</c:formatCode>
                <c:ptCount val="6"/>
                <c:pt idx="0">
                  <c:v>4.9735368654101357</c:v>
                </c:pt>
                <c:pt idx="1">
                  <c:v>7.2560593483712363</c:v>
                </c:pt>
                <c:pt idx="2">
                  <c:v>12.285971884494066</c:v>
                </c:pt>
                <c:pt idx="3">
                  <c:v>18.92190847590852</c:v>
                </c:pt>
                <c:pt idx="4">
                  <c:v>24.827745031975518</c:v>
                </c:pt>
                <c:pt idx="5">
                  <c:v>30.333003663349619</c:v>
                </c:pt>
              </c:numCache>
            </c:numRef>
          </c:yVal>
          <c:smooth val="1"/>
          <c:extLst>
            <c:ext xmlns:c16="http://schemas.microsoft.com/office/drawing/2014/chart" uri="{C3380CC4-5D6E-409C-BE32-E72D297353CC}">
              <c16:uniqueId val="{00000001-A2F6-4439-8069-BF38D0952ECC}"/>
            </c:ext>
          </c:extLst>
        </c:ser>
        <c:ser>
          <c:idx val="2"/>
          <c:order val="2"/>
          <c:tx>
            <c:strRef>
              <c:f>'Material Modeler'!$AC$29</c:f>
              <c:strCache>
                <c:ptCount val="1"/>
                <c:pt idx="0">
                  <c:v>25</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Modeler'!$AD$26:$AI$26</c:f>
              <c:numCache>
                <c:formatCode>0.00</c:formatCode>
                <c:ptCount val="6"/>
                <c:pt idx="0">
                  <c:v>1</c:v>
                </c:pt>
                <c:pt idx="1">
                  <c:v>2</c:v>
                </c:pt>
                <c:pt idx="2">
                  <c:v>5</c:v>
                </c:pt>
                <c:pt idx="3">
                  <c:v>10</c:v>
                </c:pt>
                <c:pt idx="4">
                  <c:v>15</c:v>
                </c:pt>
                <c:pt idx="5">
                  <c:v>20</c:v>
                </c:pt>
              </c:numCache>
            </c:numRef>
          </c:xVal>
          <c:yVal>
            <c:numRef>
              <c:f>'Material Modeler'!$AD$29:$AI$29</c:f>
              <c:numCache>
                <c:formatCode>0.00</c:formatCode>
                <c:ptCount val="6"/>
                <c:pt idx="0">
                  <c:v>5.2579825444079713</c:v>
                </c:pt>
                <c:pt idx="1">
                  <c:v>7.670580293007891</c:v>
                </c:pt>
                <c:pt idx="2">
                  <c:v>12.974165324832811</c:v>
                </c:pt>
                <c:pt idx="3">
                  <c:v>19.936715080431039</c:v>
                </c:pt>
                <c:pt idx="4">
                  <c:v>26.105009459416369</c:v>
                </c:pt>
                <c:pt idx="5">
                  <c:v>31.83996798790352</c:v>
                </c:pt>
              </c:numCache>
            </c:numRef>
          </c:yVal>
          <c:smooth val="1"/>
          <c:extLst>
            <c:ext xmlns:c16="http://schemas.microsoft.com/office/drawing/2014/chart" uri="{C3380CC4-5D6E-409C-BE32-E72D297353CC}">
              <c16:uniqueId val="{00000002-A2F6-4439-8069-BF38D0952ECC}"/>
            </c:ext>
          </c:extLst>
        </c:ser>
        <c:ser>
          <c:idx val="3"/>
          <c:order val="3"/>
          <c:tx>
            <c:strRef>
              <c:f>'Material Modeler'!$AC$30</c:f>
              <c:strCache>
                <c:ptCount val="1"/>
                <c:pt idx="0">
                  <c:v>90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'Material Modeler'!$AD$26:$AI$26</c:f>
              <c:numCache>
                <c:formatCode>0.00</c:formatCode>
                <c:ptCount val="6"/>
                <c:pt idx="0">
                  <c:v>1</c:v>
                </c:pt>
                <c:pt idx="1">
                  <c:v>2</c:v>
                </c:pt>
                <c:pt idx="2">
                  <c:v>5</c:v>
                </c:pt>
                <c:pt idx="3">
                  <c:v>10</c:v>
                </c:pt>
                <c:pt idx="4">
                  <c:v>15</c:v>
                </c:pt>
                <c:pt idx="5">
                  <c:v>20</c:v>
                </c:pt>
              </c:numCache>
            </c:numRef>
          </c:xVal>
          <c:yVal>
            <c:numRef>
              <c:f>'Material Modeler'!$AD$30:$AI$30</c:f>
              <c:numCache>
                <c:formatCode>0.00</c:formatCode>
                <c:ptCount val="6"/>
                <c:pt idx="0">
                  <c:v>5.9465702638059232</c:v>
                </c:pt>
                <c:pt idx="1">
                  <c:v>8.6785607640649793</c:v>
                </c:pt>
                <c:pt idx="2">
                  <c:v>14.663587948041283</c:v>
                </c:pt>
                <c:pt idx="3">
                  <c:v>22.455447224001034</c:v>
                </c:pt>
                <c:pt idx="4">
                  <c:v>29.298460608679491</c:v>
                </c:pt>
                <c:pt idx="5">
                  <c:v>35.623201472964098</c:v>
                </c:pt>
              </c:numCache>
            </c:numRef>
          </c:yVal>
          <c:smooth val="1"/>
          <c:extLst>
            <c:ext xmlns:c16="http://schemas.microsoft.com/office/drawing/2014/chart" uri="{C3380CC4-5D6E-409C-BE32-E72D297353CC}">
              <c16:uniqueId val="{00000003-A2F6-4439-8069-BF38D0952ECC}"/>
            </c:ext>
          </c:extLst>
        </c:ser>
        <c:dLbls>
          <c:showLegendKey val="0"/>
          <c:showVal val="0"/>
          <c:showCatName val="0"/>
          <c:showSerName val="0"/>
          <c:showPercent val="0"/>
          <c:showBubbleSize val="0"/>
        </c:dLbls>
        <c:axId val="1634985600"/>
        <c:axId val="1940049184"/>
      </c:scatterChart>
      <c:valAx>
        <c:axId val="163498560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0049184"/>
        <c:crosses val="autoZero"/>
        <c:crossBetween val="midCat"/>
      </c:valAx>
      <c:valAx>
        <c:axId val="194004918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985600"/>
        <c:crosses val="autoZero"/>
        <c:crossBetween val="midCat"/>
      </c:valAx>
      <c:spPr>
        <a:noFill/>
        <a:ln>
          <a:noFill/>
        </a:ln>
        <a:effectLst/>
      </c:spPr>
    </c:plotArea>
    <c:legend>
      <c:legendPos val="t"/>
      <c:layout>
        <c:manualLayout>
          <c:xMode val="edge"/>
          <c:yMode val="edge"/>
          <c:x val="0.77176437521454444"/>
          <c:y val="0.21686140485168856"/>
          <c:w val="0.20744404309396594"/>
          <c:h val="0.499750384797500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Modeler'!$S$23</c:f>
          <c:strCache>
            <c:ptCount val="1"/>
            <c:pt idx="0">
              <c:v>DF (From DF_Glass, DF_Resin,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'Material Modeler'!$U$24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Modeler'!$U$25:$U$27</c:f>
              <c:numCache>
                <c:formatCode>0.0000</c:formatCode>
                <c:ptCount val="3"/>
                <c:pt idx="0">
                  <c:v>2.0871794871794871E-3</c:v>
                </c:pt>
                <c:pt idx="1">
                  <c:v>1.9179487179487177E-3</c:v>
                </c:pt>
                <c:pt idx="2">
                  <c:v>1.4948717948717947E-3</c:v>
                </c:pt>
              </c:numCache>
            </c:numRef>
          </c:yVal>
          <c:smooth val="0"/>
          <c:extLst>
            <c:ext xmlns:c16="http://schemas.microsoft.com/office/drawing/2014/chart" uri="{C3380CC4-5D6E-409C-BE32-E72D297353CC}">
              <c16:uniqueId val="{00000000-1851-4F34-A56C-EB4F6F571AFF}"/>
            </c:ext>
          </c:extLst>
        </c:ser>
        <c:ser>
          <c:idx val="1"/>
          <c:order val="1"/>
          <c:tx>
            <c:strRef>
              <c:f>'Material Modeler'!$V$24</c:f>
              <c:strCache>
                <c:ptCount val="1"/>
                <c:pt idx="0">
                  <c:v>2.00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Modeler'!$V$25:$V$27</c:f>
              <c:numCache>
                <c:formatCode>0.0000</c:formatCode>
                <c:ptCount val="3"/>
                <c:pt idx="0">
                  <c:v>2.0871794871794871E-3</c:v>
                </c:pt>
                <c:pt idx="1">
                  <c:v>1.9179487179487177E-3</c:v>
                </c:pt>
                <c:pt idx="2">
                  <c:v>1.4948717948717947E-3</c:v>
                </c:pt>
              </c:numCache>
            </c:numRef>
          </c:yVal>
          <c:smooth val="0"/>
          <c:extLst>
            <c:ext xmlns:c16="http://schemas.microsoft.com/office/drawing/2014/chart" uri="{C3380CC4-5D6E-409C-BE32-E72D297353CC}">
              <c16:uniqueId val="{00000001-1851-4F34-A56C-EB4F6F571AFF}"/>
            </c:ext>
          </c:extLst>
        </c:ser>
        <c:ser>
          <c:idx val="2"/>
          <c:order val="2"/>
          <c:tx>
            <c:strRef>
              <c:f>'Material Modeler'!$W$24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Modeler'!$W$25:$W$27</c:f>
              <c:numCache>
                <c:formatCode>0.0000</c:formatCode>
                <c:ptCount val="3"/>
                <c:pt idx="0">
                  <c:v>2.0871794871794871E-3</c:v>
                </c:pt>
                <c:pt idx="1">
                  <c:v>1.9179487179487177E-3</c:v>
                </c:pt>
                <c:pt idx="2">
                  <c:v>1.4948717948717947E-3</c:v>
                </c:pt>
              </c:numCache>
            </c:numRef>
          </c:yVal>
          <c:smooth val="0"/>
          <c:extLst>
            <c:ext xmlns:c16="http://schemas.microsoft.com/office/drawing/2014/chart" uri="{C3380CC4-5D6E-409C-BE32-E72D297353CC}">
              <c16:uniqueId val="{00000002-1851-4F34-A56C-EB4F6F571AFF}"/>
            </c:ext>
          </c:extLst>
        </c:ser>
        <c:ser>
          <c:idx val="3"/>
          <c:order val="3"/>
          <c:tx>
            <c:strRef>
              <c:f>'Material Modeler'!$X$24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Modeler'!$X$25:$X$27</c:f>
              <c:numCache>
                <c:formatCode>0.0000</c:formatCode>
                <c:ptCount val="3"/>
                <c:pt idx="0">
                  <c:v>2.0871794871794871E-3</c:v>
                </c:pt>
                <c:pt idx="1">
                  <c:v>1.9179487179487177E-3</c:v>
                </c:pt>
                <c:pt idx="2">
                  <c:v>1.4948717948717947E-3</c:v>
                </c:pt>
              </c:numCache>
            </c:numRef>
          </c:yVal>
          <c:smooth val="0"/>
          <c:extLst>
            <c:ext xmlns:c16="http://schemas.microsoft.com/office/drawing/2014/chart" uri="{C3380CC4-5D6E-409C-BE32-E72D297353CC}">
              <c16:uniqueId val="{00000003-1851-4F34-A56C-EB4F6F571AFF}"/>
            </c:ext>
          </c:extLst>
        </c:ser>
        <c:ser>
          <c:idx val="4"/>
          <c:order val="4"/>
          <c:tx>
            <c:strRef>
              <c:f>'Material Modeler'!$Z$24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Modeler'!$Z$25:$Z$27</c:f>
              <c:numCache>
                <c:formatCode>0.0000</c:formatCode>
                <c:ptCount val="3"/>
                <c:pt idx="0">
                  <c:v>2.0871794871794871E-3</c:v>
                </c:pt>
                <c:pt idx="1">
                  <c:v>1.9179487179487177E-3</c:v>
                </c:pt>
                <c:pt idx="2">
                  <c:v>1.4948717948717947E-3</c:v>
                </c:pt>
              </c:numCache>
            </c:numRef>
          </c:yVal>
          <c:smooth val="0"/>
          <c:extLst>
            <c:ext xmlns:c16="http://schemas.microsoft.com/office/drawing/2014/chart" uri="{C3380CC4-5D6E-409C-BE32-E72D297353CC}">
              <c16:uniqueId val="{00000004-1851-4F34-A56C-EB4F6F571AFF}"/>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Final DF Values</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190382847713656"/>
          <c:y val="0.13148475909537857"/>
          <c:w val="0.75651775068200866"/>
          <c:h val="0.56569096014430276"/>
        </c:manualLayout>
      </c:layout>
      <c:scatterChart>
        <c:scatterStyle val="lineMarker"/>
        <c:varyColors val="0"/>
        <c:ser>
          <c:idx val="0"/>
          <c:order val="0"/>
          <c:tx>
            <c:strRef>
              <c:f>'Material Modeler'!$S$44:$Z$44</c:f>
              <c:strCache>
                <c:ptCount val="8"/>
                <c:pt idx="0">
                  <c:v>DF (Thickness = 152µm)</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Modeler'!$U$45:$Z$45</c:f>
              <c:numCache>
                <c:formatCode>0.00</c:formatCode>
                <c:ptCount val="6"/>
                <c:pt idx="0">
                  <c:v>1</c:v>
                </c:pt>
                <c:pt idx="1">
                  <c:v>2</c:v>
                </c:pt>
                <c:pt idx="2">
                  <c:v>5</c:v>
                </c:pt>
                <c:pt idx="3">
                  <c:v>10</c:v>
                </c:pt>
                <c:pt idx="4">
                  <c:v>15</c:v>
                </c:pt>
                <c:pt idx="5">
                  <c:v>20</c:v>
                </c:pt>
              </c:numCache>
            </c:numRef>
          </c:xVal>
          <c:yVal>
            <c:numRef>
              <c:f>'Material Modeler'!$U$46:$Z$46</c:f>
              <c:numCache>
                <c:formatCode>0.0000</c:formatCode>
                <c:ptCount val="6"/>
                <c:pt idx="0">
                  <c:v>1.7891293543928306E-3</c:v>
                </c:pt>
                <c:pt idx="1">
                  <c:v>1.7891293543928306E-3</c:v>
                </c:pt>
                <c:pt idx="2">
                  <c:v>1.7891293543928306E-3</c:v>
                </c:pt>
                <c:pt idx="3">
                  <c:v>1.7891293543928306E-3</c:v>
                </c:pt>
                <c:pt idx="4">
                  <c:v>1.7891293543928306E-3</c:v>
                </c:pt>
                <c:pt idx="5">
                  <c:v>1.7891293543928306E-3</c:v>
                </c:pt>
              </c:numCache>
            </c:numRef>
          </c:yVal>
          <c:smooth val="0"/>
          <c:extLst>
            <c:ext xmlns:c16="http://schemas.microsoft.com/office/drawing/2014/chart" uri="{C3380CC4-5D6E-409C-BE32-E72D297353CC}">
              <c16:uniqueId val="{00000000-D32E-4B15-A560-41C27EC59517}"/>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4.1459706235924466E-2"/>
          <c:y val="0.88379440540287924"/>
          <c:w val="0.9"/>
          <c:h val="7.91758564509515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2</xdr:col>
      <xdr:colOff>331471</xdr:colOff>
      <xdr:row>2</xdr:row>
      <xdr:rowOff>161059</xdr:rowOff>
    </xdr:to>
    <xdr:grpSp>
      <xdr:nvGrpSpPr>
        <xdr:cNvPr id="2" name="Group 1">
          <a:extLst>
            <a:ext uri="{FF2B5EF4-FFF2-40B4-BE49-F238E27FC236}">
              <a16:creationId xmlns:a16="http://schemas.microsoft.com/office/drawing/2014/main" id="{68901F04-F9CB-42C9-A4FE-BBABA3E7D404}"/>
            </a:ext>
          </a:extLst>
        </xdr:cNvPr>
        <xdr:cNvGrpSpPr/>
      </xdr:nvGrpSpPr>
      <xdr:grpSpPr>
        <a:xfrm>
          <a:off x="1" y="0"/>
          <a:ext cx="2213610" cy="526819"/>
          <a:chOff x="9467849" y="3581400"/>
          <a:chExt cx="2447926" cy="581026"/>
        </a:xfrm>
      </xdr:grpSpPr>
      <xdr:pic>
        <xdr:nvPicPr>
          <xdr:cNvPr id="3" name="Picture 2">
            <a:extLst>
              <a:ext uri="{FF2B5EF4-FFF2-40B4-BE49-F238E27FC236}">
                <a16:creationId xmlns:a16="http://schemas.microsoft.com/office/drawing/2014/main" id="{595A78A4-DD74-F34A-F69E-617327442C5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7576" b="22727"/>
          <a:stretch/>
        </xdr:blipFill>
        <xdr:spPr bwMode="auto">
          <a:xfrm>
            <a:off x="10010775" y="3705225"/>
            <a:ext cx="1905000" cy="3714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26FD78D2-63AA-BBA3-11E8-2CE8D685027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568" t="28302" r="28428" b="40868"/>
          <a:stretch/>
        </xdr:blipFill>
        <xdr:spPr bwMode="auto">
          <a:xfrm>
            <a:off x="9467849" y="3581400"/>
            <a:ext cx="819150" cy="58102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192854</xdr:colOff>
      <xdr:row>10</xdr:row>
      <xdr:rowOff>127001</xdr:rowOff>
    </xdr:from>
    <xdr:to>
      <xdr:col>18</xdr:col>
      <xdr:colOff>437446</xdr:colOff>
      <xdr:row>13</xdr:row>
      <xdr:rowOff>138616</xdr:rowOff>
    </xdr:to>
    <xdr:pic>
      <xdr:nvPicPr>
        <xdr:cNvPr id="18" name="Picture 17">
          <a:extLst>
            <a:ext uri="{FF2B5EF4-FFF2-40B4-BE49-F238E27FC236}">
              <a16:creationId xmlns:a16="http://schemas.microsoft.com/office/drawing/2014/main" id="{0D0FCC2C-8F16-59E6-909F-C7BA09A6F3B8}"/>
            </a:ext>
          </a:extLst>
        </xdr:cNvPr>
        <xdr:cNvPicPr>
          <a:picLocks noChangeAspect="1"/>
        </xdr:cNvPicPr>
      </xdr:nvPicPr>
      <xdr:blipFill>
        <a:blip xmlns:r="http://schemas.openxmlformats.org/officeDocument/2006/relationships" r:embed="rId1"/>
        <a:stretch>
          <a:fillRect/>
        </a:stretch>
      </xdr:blipFill>
      <xdr:spPr>
        <a:xfrm>
          <a:off x="192854" y="2088445"/>
          <a:ext cx="12163777" cy="637208"/>
        </a:xfrm>
        <a:prstGeom prst="rect">
          <a:avLst/>
        </a:prstGeom>
      </xdr:spPr>
    </xdr:pic>
    <xdr:clientData/>
  </xdr:twoCellAnchor>
  <xdr:twoCellAnchor>
    <xdr:from>
      <xdr:col>0</xdr:col>
      <xdr:colOff>1</xdr:colOff>
      <xdr:row>0</xdr:row>
      <xdr:rowOff>1</xdr:rowOff>
    </xdr:from>
    <xdr:to>
      <xdr:col>2</xdr:col>
      <xdr:colOff>636270</xdr:colOff>
      <xdr:row>2</xdr:row>
      <xdr:rowOff>153867</xdr:rowOff>
    </xdr:to>
    <xdr:grpSp>
      <xdr:nvGrpSpPr>
        <xdr:cNvPr id="2" name="Group 1">
          <a:extLst>
            <a:ext uri="{FF2B5EF4-FFF2-40B4-BE49-F238E27FC236}">
              <a16:creationId xmlns:a16="http://schemas.microsoft.com/office/drawing/2014/main" id="{69921991-9291-4625-BCD0-A052A9D79AB7}"/>
            </a:ext>
          </a:extLst>
        </xdr:cNvPr>
        <xdr:cNvGrpSpPr/>
      </xdr:nvGrpSpPr>
      <xdr:grpSpPr>
        <a:xfrm>
          <a:off x="1" y="1"/>
          <a:ext cx="2028565" cy="520755"/>
          <a:chOff x="9467849" y="3581400"/>
          <a:chExt cx="2447926" cy="581026"/>
        </a:xfrm>
      </xdr:grpSpPr>
      <xdr:pic>
        <xdr:nvPicPr>
          <xdr:cNvPr id="3" name="Picture 2">
            <a:extLst>
              <a:ext uri="{FF2B5EF4-FFF2-40B4-BE49-F238E27FC236}">
                <a16:creationId xmlns:a16="http://schemas.microsoft.com/office/drawing/2014/main" id="{7372D60F-AAB7-837C-CEDA-07A7F02057A3}"/>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57576" b="22727"/>
          <a:stretch/>
        </xdr:blipFill>
        <xdr:spPr bwMode="auto">
          <a:xfrm>
            <a:off x="10010775" y="3705225"/>
            <a:ext cx="1905000" cy="3714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D3FA9557-F133-02FC-049F-8C5A9E95FD66}"/>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8568" t="28302" r="28428" b="40868"/>
          <a:stretch/>
        </xdr:blipFill>
        <xdr:spPr bwMode="auto">
          <a:xfrm>
            <a:off x="9467849" y="3581400"/>
            <a:ext cx="819150" cy="58102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77080</xdr:colOff>
      <xdr:row>10</xdr:row>
      <xdr:rowOff>45336</xdr:rowOff>
    </xdr:from>
    <xdr:to>
      <xdr:col>9</xdr:col>
      <xdr:colOff>601688</xdr:colOff>
      <xdr:row>14</xdr:row>
      <xdr:rowOff>131885</xdr:rowOff>
    </xdr:to>
    <xdr:grpSp>
      <xdr:nvGrpSpPr>
        <xdr:cNvPr id="9" name="Group 8">
          <a:extLst>
            <a:ext uri="{FF2B5EF4-FFF2-40B4-BE49-F238E27FC236}">
              <a16:creationId xmlns:a16="http://schemas.microsoft.com/office/drawing/2014/main" id="{33CD00F1-BFA0-5629-9150-D67CD60E9206}"/>
            </a:ext>
          </a:extLst>
        </xdr:cNvPr>
        <xdr:cNvGrpSpPr/>
      </xdr:nvGrpSpPr>
      <xdr:grpSpPr>
        <a:xfrm>
          <a:off x="77080" y="2006780"/>
          <a:ext cx="6601793" cy="895586"/>
          <a:chOff x="58616" y="1934306"/>
          <a:chExt cx="6645520" cy="794827"/>
        </a:xfrm>
      </xdr:grpSpPr>
      <xdr:sp macro="" textlink="">
        <xdr:nvSpPr>
          <xdr:cNvPr id="6" name="Rectangle: Rounded Corners 5">
            <a:extLst>
              <a:ext uri="{FF2B5EF4-FFF2-40B4-BE49-F238E27FC236}">
                <a16:creationId xmlns:a16="http://schemas.microsoft.com/office/drawing/2014/main" id="{BAD30B5D-F14D-A768-8805-18124994BBE8}"/>
              </a:ext>
            </a:extLst>
          </xdr:cNvPr>
          <xdr:cNvSpPr/>
        </xdr:nvSpPr>
        <xdr:spPr>
          <a:xfrm>
            <a:off x="58616" y="1952479"/>
            <a:ext cx="1905000" cy="776654"/>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7" name="Rectangle: Rounded Corners 6">
            <a:extLst>
              <a:ext uri="{FF2B5EF4-FFF2-40B4-BE49-F238E27FC236}">
                <a16:creationId xmlns:a16="http://schemas.microsoft.com/office/drawing/2014/main" id="{161F61F4-0BE8-45CB-9D3A-38F86A9FF958}"/>
              </a:ext>
            </a:extLst>
          </xdr:cNvPr>
          <xdr:cNvSpPr/>
        </xdr:nvSpPr>
        <xdr:spPr>
          <a:xfrm>
            <a:off x="2210827" y="1952478"/>
            <a:ext cx="2137849" cy="651088"/>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8" name="Rectangle: Rounded Corners 7">
            <a:extLst>
              <a:ext uri="{FF2B5EF4-FFF2-40B4-BE49-F238E27FC236}">
                <a16:creationId xmlns:a16="http://schemas.microsoft.com/office/drawing/2014/main" id="{F80D4BA4-AC74-46AE-A1CD-219D6DFC8E2D}"/>
              </a:ext>
            </a:extLst>
          </xdr:cNvPr>
          <xdr:cNvSpPr/>
        </xdr:nvSpPr>
        <xdr:spPr>
          <a:xfrm>
            <a:off x="4488169" y="1934306"/>
            <a:ext cx="2215967" cy="654339"/>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clientData/>
  </xdr:twoCellAnchor>
  <xdr:twoCellAnchor editAs="oneCell">
    <xdr:from>
      <xdr:col>7</xdr:col>
      <xdr:colOff>18462</xdr:colOff>
      <xdr:row>19</xdr:row>
      <xdr:rowOff>115472</xdr:rowOff>
    </xdr:from>
    <xdr:to>
      <xdr:col>15</xdr:col>
      <xdr:colOff>74448</xdr:colOff>
      <xdr:row>33</xdr:row>
      <xdr:rowOff>102870</xdr:rowOff>
    </xdr:to>
    <xdr:pic>
      <xdr:nvPicPr>
        <xdr:cNvPr id="15" name="Picture 14">
          <a:extLst>
            <a:ext uri="{FF2B5EF4-FFF2-40B4-BE49-F238E27FC236}">
              <a16:creationId xmlns:a16="http://schemas.microsoft.com/office/drawing/2014/main" id="{7BF3EF30-567F-01D0-FD7B-793CC5B99699}"/>
            </a:ext>
          </a:extLst>
        </xdr:cNvPr>
        <xdr:cNvPicPr>
          <a:picLocks noChangeAspect="1"/>
        </xdr:cNvPicPr>
      </xdr:nvPicPr>
      <xdr:blipFill rotWithShape="1">
        <a:blip xmlns:r="http://schemas.openxmlformats.org/officeDocument/2006/relationships" r:embed="rId3"/>
        <a:srcRect t="937"/>
        <a:stretch/>
      </xdr:blipFill>
      <xdr:spPr>
        <a:xfrm>
          <a:off x="4885737" y="3773072"/>
          <a:ext cx="5618586" cy="2675353"/>
        </a:xfrm>
        <a:prstGeom prst="rect">
          <a:avLst/>
        </a:prstGeom>
      </xdr:spPr>
    </xdr:pic>
    <xdr:clientData/>
  </xdr:twoCellAnchor>
  <xdr:twoCellAnchor editAs="oneCell">
    <xdr:from>
      <xdr:col>16</xdr:col>
      <xdr:colOff>55685</xdr:colOff>
      <xdr:row>18</xdr:row>
      <xdr:rowOff>9524</xdr:rowOff>
    </xdr:from>
    <xdr:to>
      <xdr:col>20</xdr:col>
      <xdr:colOff>398145</xdr:colOff>
      <xdr:row>33</xdr:row>
      <xdr:rowOff>123530</xdr:rowOff>
    </xdr:to>
    <xdr:pic>
      <xdr:nvPicPr>
        <xdr:cNvPr id="16" name="Picture 15">
          <a:extLst>
            <a:ext uri="{FF2B5EF4-FFF2-40B4-BE49-F238E27FC236}">
              <a16:creationId xmlns:a16="http://schemas.microsoft.com/office/drawing/2014/main" id="{6FEC90B2-AAAB-1EBD-114E-D67EE19A5806}"/>
            </a:ext>
          </a:extLst>
        </xdr:cNvPr>
        <xdr:cNvPicPr>
          <a:picLocks noChangeAspect="1"/>
        </xdr:cNvPicPr>
      </xdr:nvPicPr>
      <xdr:blipFill>
        <a:blip xmlns:r="http://schemas.openxmlformats.org/officeDocument/2006/relationships" r:embed="rId4"/>
        <a:stretch>
          <a:fillRect/>
        </a:stretch>
      </xdr:blipFill>
      <xdr:spPr>
        <a:xfrm>
          <a:off x="10571285" y="3486149"/>
          <a:ext cx="3123760" cy="2981031"/>
        </a:xfrm>
        <a:prstGeom prst="rect">
          <a:avLst/>
        </a:prstGeom>
      </xdr:spPr>
    </xdr:pic>
    <xdr:clientData/>
  </xdr:twoCellAnchor>
  <xdr:twoCellAnchor editAs="oneCell">
    <xdr:from>
      <xdr:col>21</xdr:col>
      <xdr:colOff>218869</xdr:colOff>
      <xdr:row>17</xdr:row>
      <xdr:rowOff>179070</xdr:rowOff>
    </xdr:from>
    <xdr:to>
      <xdr:col>31</xdr:col>
      <xdr:colOff>601962</xdr:colOff>
      <xdr:row>33</xdr:row>
      <xdr:rowOff>93345</xdr:rowOff>
    </xdr:to>
    <xdr:pic>
      <xdr:nvPicPr>
        <xdr:cNvPr id="17" name="Picture 16">
          <a:extLst>
            <a:ext uri="{FF2B5EF4-FFF2-40B4-BE49-F238E27FC236}">
              <a16:creationId xmlns:a16="http://schemas.microsoft.com/office/drawing/2014/main" id="{550FBF69-0D64-EF34-40AA-12F0F49BA371}"/>
            </a:ext>
          </a:extLst>
        </xdr:cNvPr>
        <xdr:cNvPicPr>
          <a:picLocks noChangeAspect="1"/>
        </xdr:cNvPicPr>
      </xdr:nvPicPr>
      <xdr:blipFill>
        <a:blip xmlns:r="http://schemas.openxmlformats.org/officeDocument/2006/relationships" r:embed="rId5"/>
        <a:stretch>
          <a:fillRect/>
        </a:stretch>
      </xdr:blipFill>
      <xdr:spPr>
        <a:xfrm>
          <a:off x="14211094" y="3474720"/>
          <a:ext cx="6905813" cy="2962275"/>
        </a:xfrm>
        <a:prstGeom prst="rect">
          <a:avLst/>
        </a:prstGeom>
      </xdr:spPr>
    </xdr:pic>
    <xdr:clientData/>
  </xdr:twoCellAnchor>
  <xdr:twoCellAnchor>
    <xdr:from>
      <xdr:col>12</xdr:col>
      <xdr:colOff>152338</xdr:colOff>
      <xdr:row>10</xdr:row>
      <xdr:rowOff>35929</xdr:rowOff>
    </xdr:from>
    <xdr:to>
      <xdr:col>18</xdr:col>
      <xdr:colOff>460962</xdr:colOff>
      <xdr:row>13</xdr:row>
      <xdr:rowOff>147625</xdr:rowOff>
    </xdr:to>
    <xdr:sp macro="" textlink="">
      <xdr:nvSpPr>
        <xdr:cNvPr id="13" name="Rectangle: Rounded Corners 12">
          <a:extLst>
            <a:ext uri="{FF2B5EF4-FFF2-40B4-BE49-F238E27FC236}">
              <a16:creationId xmlns:a16="http://schemas.microsoft.com/office/drawing/2014/main" id="{E67E9310-0047-4F80-BF43-5BBF38E4B84A}"/>
            </a:ext>
          </a:extLst>
        </xdr:cNvPr>
        <xdr:cNvSpPr/>
      </xdr:nvSpPr>
      <xdr:spPr>
        <a:xfrm>
          <a:off x="8317968" y="1997373"/>
          <a:ext cx="4062179" cy="737289"/>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0</xdr:col>
      <xdr:colOff>188149</xdr:colOff>
      <xdr:row>20</xdr:row>
      <xdr:rowOff>164630</xdr:rowOff>
    </xdr:from>
    <xdr:to>
      <xdr:col>5</xdr:col>
      <xdr:colOff>498687</xdr:colOff>
      <xdr:row>29</xdr:row>
      <xdr:rowOff>114915</xdr:rowOff>
    </xdr:to>
    <xdr:pic>
      <xdr:nvPicPr>
        <xdr:cNvPr id="14" name="Picture 13">
          <a:extLst>
            <a:ext uri="{FF2B5EF4-FFF2-40B4-BE49-F238E27FC236}">
              <a16:creationId xmlns:a16="http://schemas.microsoft.com/office/drawing/2014/main" id="{8C326F91-59B6-A0AB-CAF5-FE24148FF968}"/>
            </a:ext>
          </a:extLst>
        </xdr:cNvPr>
        <xdr:cNvPicPr>
          <a:picLocks noChangeAspect="1"/>
        </xdr:cNvPicPr>
      </xdr:nvPicPr>
      <xdr:blipFill>
        <a:blip xmlns:r="http://schemas.openxmlformats.org/officeDocument/2006/relationships" r:embed="rId6"/>
        <a:stretch>
          <a:fillRect/>
        </a:stretch>
      </xdr:blipFill>
      <xdr:spPr>
        <a:xfrm>
          <a:off x="188149" y="4111037"/>
          <a:ext cx="3791279" cy="16765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180974</xdr:rowOff>
    </xdr:from>
    <xdr:to>
      <xdr:col>8</xdr:col>
      <xdr:colOff>9524</xdr:colOff>
      <xdr:row>41</xdr:row>
      <xdr:rowOff>171449</xdr:rowOff>
    </xdr:to>
    <xdr:graphicFrame macro="">
      <xdr:nvGraphicFramePr>
        <xdr:cNvPr id="2" name="Chart 1">
          <a:extLst>
            <a:ext uri="{FF2B5EF4-FFF2-40B4-BE49-F238E27FC236}">
              <a16:creationId xmlns:a16="http://schemas.microsoft.com/office/drawing/2014/main" id="{5AB1EF02-B0BD-44DF-BF88-E7C791415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28</xdr:row>
      <xdr:rowOff>0</xdr:rowOff>
    </xdr:from>
    <xdr:to>
      <xdr:col>16</xdr:col>
      <xdr:colOff>561975</xdr:colOff>
      <xdr:row>41</xdr:row>
      <xdr:rowOff>169545</xdr:rowOff>
    </xdr:to>
    <xdr:graphicFrame macro="">
      <xdr:nvGraphicFramePr>
        <xdr:cNvPr id="3" name="Chart 2">
          <a:extLst>
            <a:ext uri="{FF2B5EF4-FFF2-40B4-BE49-F238E27FC236}">
              <a16:creationId xmlns:a16="http://schemas.microsoft.com/office/drawing/2014/main" id="{E8EEA715-F804-4583-B6A1-233BF19C3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57151</xdr:colOff>
      <xdr:row>3</xdr:row>
      <xdr:rowOff>160020</xdr:rowOff>
    </xdr:from>
    <xdr:to>
      <xdr:col>17</xdr:col>
      <xdr:colOff>1</xdr:colOff>
      <xdr:row>18</xdr:row>
      <xdr:rowOff>36195</xdr:rowOff>
    </xdr:to>
    <xdr:graphicFrame macro="">
      <xdr:nvGraphicFramePr>
        <xdr:cNvPr id="4" name="Chart 3">
          <a:extLst>
            <a:ext uri="{FF2B5EF4-FFF2-40B4-BE49-F238E27FC236}">
              <a16:creationId xmlns:a16="http://schemas.microsoft.com/office/drawing/2014/main" id="{7E788D66-528B-4AD5-A6E5-FA03A664F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1712</xdr:colOff>
      <xdr:row>10</xdr:row>
      <xdr:rowOff>122811</xdr:rowOff>
    </xdr:from>
    <xdr:to>
      <xdr:col>34</xdr:col>
      <xdr:colOff>485969</xdr:colOff>
      <xdr:row>23</xdr:row>
      <xdr:rowOff>116087</xdr:rowOff>
    </xdr:to>
    <xdr:graphicFrame macro="">
      <xdr:nvGraphicFramePr>
        <xdr:cNvPr id="5" name="Chart 4">
          <a:extLst>
            <a:ext uri="{FF2B5EF4-FFF2-40B4-BE49-F238E27FC236}">
              <a16:creationId xmlns:a16="http://schemas.microsoft.com/office/drawing/2014/main" id="{BC18ACB7-DA54-48CD-9DC1-225DDB2A6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7814</xdr:colOff>
      <xdr:row>30</xdr:row>
      <xdr:rowOff>132256</xdr:rowOff>
    </xdr:from>
    <xdr:to>
      <xdr:col>35</xdr:col>
      <xdr:colOff>9720</xdr:colOff>
      <xdr:row>46</xdr:row>
      <xdr:rowOff>0</xdr:rowOff>
    </xdr:to>
    <xdr:graphicFrame macro="">
      <xdr:nvGraphicFramePr>
        <xdr:cNvPr id="6" name="Chart 5">
          <a:extLst>
            <a:ext uri="{FF2B5EF4-FFF2-40B4-BE49-F238E27FC236}">
              <a16:creationId xmlns:a16="http://schemas.microsoft.com/office/drawing/2014/main" id="{6A2EFCCF-5F07-400F-876B-2BF2E4246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661</xdr:colOff>
      <xdr:row>30</xdr:row>
      <xdr:rowOff>152399</xdr:rowOff>
    </xdr:from>
    <xdr:to>
      <xdr:col>44</xdr:col>
      <xdr:colOff>0</xdr:colOff>
      <xdr:row>45</xdr:row>
      <xdr:rowOff>161924</xdr:rowOff>
    </xdr:to>
    <xdr:graphicFrame macro="">
      <xdr:nvGraphicFramePr>
        <xdr:cNvPr id="7" name="Chart 6">
          <a:extLst>
            <a:ext uri="{FF2B5EF4-FFF2-40B4-BE49-F238E27FC236}">
              <a16:creationId xmlns:a16="http://schemas.microsoft.com/office/drawing/2014/main" id="{7250DA2D-06CB-45CA-BF83-A0F6DA3A1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171450</xdr:colOff>
      <xdr:row>27</xdr:row>
      <xdr:rowOff>171450</xdr:rowOff>
    </xdr:from>
    <xdr:to>
      <xdr:col>25</xdr:col>
      <xdr:colOff>504825</xdr:colOff>
      <xdr:row>41</xdr:row>
      <xdr:rowOff>161925</xdr:rowOff>
    </xdr:to>
    <xdr:graphicFrame macro="">
      <xdr:nvGraphicFramePr>
        <xdr:cNvPr id="8" name="Chart 7">
          <a:extLst>
            <a:ext uri="{FF2B5EF4-FFF2-40B4-BE49-F238E27FC236}">
              <a16:creationId xmlns:a16="http://schemas.microsoft.com/office/drawing/2014/main" id="{80951E7F-7E2E-4A78-A5B9-2B530B0D8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171450</xdr:colOff>
      <xdr:row>3</xdr:row>
      <xdr:rowOff>161925</xdr:rowOff>
    </xdr:from>
    <xdr:to>
      <xdr:col>25</xdr:col>
      <xdr:colOff>483870</xdr:colOff>
      <xdr:row>18</xdr:row>
      <xdr:rowOff>36195</xdr:rowOff>
    </xdr:to>
    <xdr:graphicFrame macro="">
      <xdr:nvGraphicFramePr>
        <xdr:cNvPr id="9" name="Chart 8">
          <a:extLst>
            <a:ext uri="{FF2B5EF4-FFF2-40B4-BE49-F238E27FC236}">
              <a16:creationId xmlns:a16="http://schemas.microsoft.com/office/drawing/2014/main" id="{421568B2-5811-49A7-B905-61999B87E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hmed Ibrahim" id="{685DAF9C-7E69-437C-B66A-60F972D4A0E6}" userId="Ahmed Ibrahim"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284210-69F5-4990-A2A5-193DCD03ECF3}" name="Table1" displayName="Table1" ref="A2:BG6" totalsRowShown="0" headerRowDxfId="60" dataDxfId="59">
  <autoFilter ref="A2:BG6" xr:uid="{0F284210-69F5-4990-A2A5-193DCD03ECF3}"/>
  <tableColumns count="59">
    <tableColumn id="2" xr3:uid="{22354CD9-A599-4389-A481-60CBCEA51200}" name="Material" dataDxfId="58"/>
    <tableColumn id="3" xr3:uid="{4EE2AFE1-D26A-4182-ACD2-0E8FCC04D4E4}" name="Tc_DK (1/°C)" dataDxfId="57"/>
    <tableColumn id="4" xr3:uid="{A8A14456-3934-43CF-AE73-757A8E52309C}" name="Tc_DF (1/°C)" dataDxfId="56"/>
    <tableColumn id="5" xr3:uid="{9EBA9770-8D34-4C72-94B1-3F8FA0C2B78A}" name="α_M (1/°C)" dataDxfId="55"/>
    <tableColumn id="6" xr3:uid="{75CF7D50-F8FE-4786-956F-1552247B5B96}" name="σo (S/m)" dataDxfId="2"/>
    <tableColumn id="8" xr3:uid="{F5E90E42-97A9-4386-899A-D8C1823BC830}" name="Δ (µm)" dataDxfId="0"/>
    <tableColumn id="7" xr3:uid="{A6224F84-6793-4357-A26B-BB02B60025FA}" name="To (°C)" dataDxfId="1"/>
    <tableColumn id="9" xr3:uid="{110EB71F-B441-40DC-9FD2-EF9E87F2DA79}" name="t_D (µm)" dataDxfId="54"/>
    <tableColumn id="10" xr3:uid="{0A5CB8CD-EACF-4ADA-96C6-46D06F0849C8}" name="t_M (µm)" dataDxfId="53"/>
    <tableColumn id="11" xr3:uid="{E1E79A1B-771E-4E24-8390-03CD1A06DB95}" name="W (µm)" dataDxfId="52"/>
    <tableColumn id="12" xr3:uid="{F8A59D81-6FDA-4A76-AA94-C431984D0E71}" name="S (µm)" dataDxfId="51"/>
    <tableColumn id="13" xr3:uid="{235CBBB0-0030-4A7C-B379-16DF1761BA4D}" name="f1 (GHz)" dataDxfId="50"/>
    <tableColumn id="14" xr3:uid="{0AB313A9-4B77-441C-8047-5677C7E047EF}" name="f2 (GHz)" dataDxfId="49"/>
    <tableColumn id="15" xr3:uid="{D71408FB-D46D-4C19-8BE9-0B1E06B82617}" name="f3 (GHz)" dataDxfId="48"/>
    <tableColumn id="16" xr3:uid="{C8F5BCE5-3303-4932-9823-8B930528244E}" name="f4 (GHz)" dataDxfId="47"/>
    <tableColumn id="17" xr3:uid="{618D3C24-9FB5-4013-A3F4-7AB0E8542984}" name="f5 (GHz)" dataDxfId="46"/>
    <tableColumn id="18" xr3:uid="{54F33D0C-C7E5-4CB7-800B-9457FC6D9B76}" name="f6 (GHz)" dataDxfId="45"/>
    <tableColumn id="19" xr3:uid="{F8928CDC-3ED2-4A44-81C7-4ABA1B3D05A2}" name="t1 (µm)" dataDxfId="44"/>
    <tableColumn id="20" xr3:uid="{2C30865F-A33F-4614-A966-03E9598CD118}" name="t2 (µm)" dataDxfId="43"/>
    <tableColumn id="21" xr3:uid="{7B0C3E7D-08BF-4B81-9525-C9618116F763}" name="t3 (µm)" dataDxfId="42"/>
    <tableColumn id="22" xr3:uid="{FA5AAD20-F946-49F3-8ADD-E48CC613CA00}" name="RC1 (%)" dataDxfId="41"/>
    <tableColumn id="23" xr3:uid="{AB23DE0A-6B38-4750-82C8-9CD91F104D1D}" name="RC2 (%)" dataDxfId="40"/>
    <tableColumn id="24" xr3:uid="{0B9EC151-014E-4052-B14D-20C3D915CBCE}" name="RC3 (%)" dataDxfId="39"/>
    <tableColumn id="25" xr3:uid="{F60C46C7-3220-42FD-9D85-EFCCEC8AFFAD}" name="DK11" dataDxfId="38"/>
    <tableColumn id="26" xr3:uid="{CE35D3D1-1D50-4D31-A5BE-215036B16DE0}" name="DK12" dataDxfId="37"/>
    <tableColumn id="27" xr3:uid="{0D01176C-B1F9-4DE9-AE89-4EC16699026C}" name="DK13" dataDxfId="36"/>
    <tableColumn id="28" xr3:uid="{2E808140-F9B6-4BEE-9F5C-FA6D02E38E1A}" name="DK14" dataDxfId="35"/>
    <tableColumn id="29" xr3:uid="{DC4D4247-4E1A-4A5A-B22D-83CF96F4F81B}" name="DK15" dataDxfId="34"/>
    <tableColumn id="30" xr3:uid="{9E566D91-0CAF-4A4E-AFBF-0FA74925B7AE}" name="DK16" dataDxfId="33"/>
    <tableColumn id="31" xr3:uid="{A7BA5060-69D8-486B-97CA-1AFFA52AE876}" name="DK21" dataDxfId="32"/>
    <tableColumn id="32" xr3:uid="{A49FF30E-1288-4006-9FF7-09DF4B056723}" name="DK22" dataDxfId="31"/>
    <tableColumn id="33" xr3:uid="{1CB9667B-C52E-4C3F-BCC1-4D3D631960F9}" name="DK23" dataDxfId="30"/>
    <tableColumn id="34" xr3:uid="{5F388564-E8E5-4081-BDAF-CAD9DF28106E}" name="DK24" dataDxfId="29"/>
    <tableColumn id="35" xr3:uid="{8712DC67-275B-4C66-9612-6959BBC5E568}" name="DK25" dataDxfId="28"/>
    <tableColumn id="36" xr3:uid="{A5869C4A-E072-4DE3-B7A0-6B8D8D20902F}" name="DK26" dataDxfId="27"/>
    <tableColumn id="37" xr3:uid="{58BEF11D-AAA6-4FA6-BA0C-C9EF695131F5}" name="DK31" dataDxfId="26"/>
    <tableColumn id="38" xr3:uid="{D37AF768-A55E-46D5-9988-300A5319FF70}" name="DK32" dataDxfId="25"/>
    <tableColumn id="39" xr3:uid="{168CA9EB-01C7-4CB1-877B-C3234D10C43B}" name="DK33" dataDxfId="24"/>
    <tableColumn id="40" xr3:uid="{B0FAF506-A593-4359-8325-3364CB964AD3}" name="DK34" dataDxfId="23"/>
    <tableColumn id="41" xr3:uid="{8FF8A027-0972-4379-9277-2FC88F6DC7E5}" name="DK35" dataDxfId="22"/>
    <tableColumn id="42" xr3:uid="{C5D56B35-4081-41EA-B5FD-7C9A8531588B}" name="DK36" dataDxfId="21"/>
    <tableColumn id="43" xr3:uid="{94669113-9DEA-4444-8E28-0432E8BB0D2C}" name="DF11" dataDxfId="20"/>
    <tableColumn id="44" xr3:uid="{928897D2-8FB5-4DB8-B3F1-10066655F991}" name="DF12" dataDxfId="19"/>
    <tableColumn id="45" xr3:uid="{C209FCF8-5359-41C7-8860-29479C213003}" name="DF13" dataDxfId="18"/>
    <tableColumn id="46" xr3:uid="{10C9B386-CA09-4EA9-852B-ABCCEE4FA1BE}" name="DF14" dataDxfId="17"/>
    <tableColumn id="47" xr3:uid="{2655C2AA-22AA-43AB-ADC2-2C675209F645}" name="DF15" dataDxfId="16"/>
    <tableColumn id="48" xr3:uid="{73E3D265-2559-4928-8379-496E28782838}" name="DF16" dataDxfId="15"/>
    <tableColumn id="49" xr3:uid="{989424CF-5C94-4EF9-B215-2944532900F0}" name="DF21" dataDxfId="14"/>
    <tableColumn id="50" xr3:uid="{A361CFEC-AC79-4874-8E43-515836683428}" name="DF22" dataDxfId="13"/>
    <tableColumn id="51" xr3:uid="{88D8603B-43C8-4196-88C6-72DDBDEFDED9}" name="DF23" dataDxfId="12"/>
    <tableColumn id="52" xr3:uid="{5453D9BE-BCB9-4882-B2D4-F5DDFBE9B410}" name="DF24" dataDxfId="11"/>
    <tableColumn id="53" xr3:uid="{B7A580A1-EBA9-4C8B-A5B6-8B544991CC97}" name="DF25" dataDxfId="10"/>
    <tableColumn id="54" xr3:uid="{31CD4ACE-51F6-4C8B-9AF9-E85177EBDDB4}" name="DF26" dataDxfId="9"/>
    <tableColumn id="55" xr3:uid="{3A96F978-8B36-4A52-8468-05CF4C8E47AC}" name="DF31" dataDxfId="8"/>
    <tableColumn id="56" xr3:uid="{4F7A0AD0-6241-4450-8D13-87A9A2B2005E}" name="DF32" dataDxfId="7"/>
    <tableColumn id="57" xr3:uid="{36B5FB3C-A774-4546-BE0C-4F7DA51A71C6}" name="DF33" dataDxfId="6"/>
    <tableColumn id="58" xr3:uid="{8C2E1341-E486-4C00-AEC2-36C5E450CE5C}" name="DF34" dataDxfId="5"/>
    <tableColumn id="59" xr3:uid="{C52FC261-27CE-4A36-97E3-A72A58A65E90}" name="DF35" dataDxfId="4"/>
    <tableColumn id="60" xr3:uid="{4B023531-BE31-49DD-99F8-70F4BA703D2E}" name="DF36"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12EBB-40C8-4DC9-BC1F-CF0DFA703275}" name="Table2" displayName="Table2" ref="BI2:BJ7" totalsRowShown="0" tableBorderDxfId="63">
  <autoFilter ref="BI2:BJ7" xr:uid="{11512EBB-40C8-4DC9-BC1F-CF0DFA703275}"/>
  <tableColumns count="2">
    <tableColumn id="1" xr3:uid="{4340093C-64CA-4075-AE45-01D3149344C5}" name="Copper Foil" dataDxfId="62"/>
    <tableColumn id="2" xr3:uid="{8D924397-5846-4DF8-A087-A9F1D690A7D0}" name="Δ (µm)" dataDxfId="6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4-12-05T15:13:02.78" personId="{685DAF9C-7E69-437C-B66A-60F972D4A0E6}" id="{E97AE688-3969-4F50-A487-14FACFE2A845}">
    <text>Dielectric thickness between two layers. 
The total stripline thickness will be 2x Dielectric thickness + Metal thickness</text>
  </threadedComment>
  <threadedComment ref="H1" dT="2024-12-05T15:13:59.91" personId="{685DAF9C-7E69-437C-B66A-60F972D4A0E6}" id="{CEBCA5BB-DA04-4CEF-8896-C9B55BB93219}">
    <text>Conductivity of Copper</text>
  </threadedComment>
  <threadedComment ref="M1" dT="2024-12-06T10:10:08.81" personId="{685DAF9C-7E69-437C-B66A-60F972D4A0E6}" id="{34B7EF02-D9A0-4C61-976B-2D605D567AA9}">
    <text>TC_DK = [ (DK|T2 - DK|T1)/DK|25C ] / (T2-T1)</text>
  </threadedComment>
  <threadedComment ref="C2" dT="2024-12-05T15:13:13.84" personId="{685DAF9C-7E69-437C-B66A-60F972D4A0E6}" id="{2DD58A31-3C5A-46E8-8683-54E646CEB351}">
    <text>Copper layer thickness</text>
  </threadedComment>
  <threadedComment ref="H2" dT="2024-12-05T15:14:39.76" personId="{685DAF9C-7E69-437C-B66A-60F972D4A0E6}" id="{C7B8FB46-955B-4EAA-AC94-EE48B10ADE49}">
    <text>Temperature</text>
  </threadedComment>
  <threadedComment ref="M2" dT="2024-12-06T10:10:38.31" personId="{685DAF9C-7E69-437C-B66A-60F972D4A0E6}" id="{279B2362-8AEC-4225-A348-43B8383E3CDC}">
    <text>TC_DF = [ (DF|T2 - DF|T1)/DF|25C ] / (T2-T1)</text>
  </threadedComment>
  <threadedComment ref="C3" dT="2024-12-05T15:13:31.26" personId="{685DAF9C-7E69-437C-B66A-60F972D4A0E6}" id="{00A80220-E9FD-4105-BA33-F474A3475211}">
    <text>Stripline width</text>
  </threadedComment>
  <threadedComment ref="H3" dT="2024-09-28T06:20:07.69" personId="{685DAF9C-7E69-437C-B66A-60F972D4A0E6}" id="{3DA56ABE-6FEF-4BF9-968C-02DB5C890AFE}">
    <text>Metal surface roughness
- Note: Multiply by 2 if both sides are treated
- Typical Manufacturer Data:
(STD)         5 &lt; Rz &lt; 7μm
(RTF)          3 &lt; Rz &lt; 5μm
(VLP)         2 &lt; Rz &lt; 3μm
(HVLP)      1 &lt; Rz &lt; 2μm
(HVLP2) 0.2 &lt; Rz &lt; 1μm 
- Roughness RMS = Rz *1.1/7.6</text>
  </threadedComment>
  <threadedComment ref="M3" dT="2024-12-05T15:14:26.44" personId="{685DAF9C-7E69-437C-B66A-60F972D4A0E6}" id="{1E493E4C-872F-4B42-8A9E-97358BD8C750}">
    <text>Temperature coefficient of metal conductivity</text>
  </threadedComment>
  <threadedComment ref="AB3" dT="2024-10-03T21:19:16.88" personId="{685DAF9C-7E69-437C-B66A-60F972D4A0E6}" id="{A24CF183-AD96-4234-9AE7-C2955C2EA0E7}" done="1">
    <text>δs = sqrt(2/(σωµ))</text>
  </threadedComment>
  <threadedComment ref="C4" dT="2024-12-05T15:13:42.82" personId="{685DAF9C-7E69-437C-B66A-60F972D4A0E6}" id="{52CE62EB-3E3C-4A84-8AEF-ACB354278495}">
    <text>Stripline spacing</text>
  </threadedComment>
  <threadedComment ref="AB4" dT="2024-10-03T21:19:31.59" personId="{685DAF9C-7E69-437C-B66A-60F972D4A0E6}" id="{F034D817-1EC2-470C-98D9-0B3489AE4C85}" done="1">
    <text>R' = Rstrip + Rgnd = 1/(σ δs W) + 0.15/(σ δs W)1`</text>
  </threadedComment>
  <threadedComment ref="AB5" dT="2024-10-03T21:20:00.73" personId="{685DAF9C-7E69-437C-B66A-60F972D4A0E6}" id="{33195EFF-F62B-4825-8D58-9832F1292A8C}" done="1">
    <text>Zdiff=2*Zo*(1-.347*(EXP(-2.9*(S/H)))), where Zo=60/SQRT(Er)*LN(1.9*(2*H+T)/(0.8*W+T))</text>
  </threadedComment>
  <threadedComment ref="AK5" dT="2024-10-03T21:19:16.88" personId="{685DAF9C-7E69-437C-B66A-60F972D4A0E6}" id="{48BE5FDE-F68A-49CD-80D0-197163CD3554}" done="1">
    <text>δs = sqrt(2/(σωµ))</text>
  </threadedComment>
  <threadedComment ref="AK6" dT="2024-10-03T21:19:31.59" personId="{685DAF9C-7E69-437C-B66A-60F972D4A0E6}" id="{8016D416-AA0D-479F-9E76-5229FEE740FF}" done="1">
    <text>R' = Rstrip + Rgnd = 1/(σ δs W) + 0.15/(σ δs W)</text>
  </threadedComment>
  <threadedComment ref="AB7" dT="2024-10-03T21:14:12.65" personId="{685DAF9C-7E69-437C-B66A-60F972D4A0E6}" id="{D4093EF6-FA9A-4633-A1B4-754703A5FE08}" done="1">
    <text>α_Dielectric = 91.02 x sqrt(ɛr) x FGHz x DF</text>
  </threadedComment>
  <threadedComment ref="AK7" dT="2024-10-03T21:20:00.73" personId="{685DAF9C-7E69-437C-B66A-60F972D4A0E6}" id="{412F86C3-7516-4782-8066-3AF4F5B8D440}" done="1">
    <text>Zdiff=2*Zo*(1-.347*(EXP(-2.9*(S/H)))), where Zo=60/SQRT(Er)*LN(1.9*(2*H+T)/(0.8*W+T))</text>
  </threadedComment>
  <threadedComment ref="AB8" dT="2024-10-03T21:15:07.76" personId="{685DAF9C-7E69-437C-B66A-60F972D4A0E6}" id="{F678E52A-0452-4D97-A36F-6E533FDD2D29}" done="1">
    <text>α_SmoothCopper = 8.686 x R' / 2 Zo , where R' is TL resistance per unit length</text>
  </threadedComment>
  <threadedComment ref="AB9" dT="2024-10-03T21:15:26.41" personId="{685DAF9C-7E69-437C-B66A-60F972D4A0E6}" id="{737C9ECB-3F8B-44FC-8859-7983153941A3}" done="1">
    <text>α_RoughCopper = α_SmoothCopper * ( 1 + (2/π)* tan-1{1.4*(Δ/δs)^2}]</text>
  </threadedComment>
  <threadedComment ref="AB10" dT="2024-10-03T21:15:37.11" personId="{685DAF9C-7E69-437C-B66A-60F972D4A0E6}" id="{0352E7A0-5B3E-4D7B-8146-F2FEA717A90F}" done="1">
    <text>α_Total = α_Dielectric + α_RoughCopper</text>
  </threadedComment>
  <threadedComment ref="AK10" dT="2024-10-03T21:19:16.88" personId="{685DAF9C-7E69-437C-B66A-60F972D4A0E6}" id="{4D034C31-E8E2-47C9-A64B-5D536F7A5046}" done="1">
    <text>δs = sqrt(2/(σωµ))</text>
  </threadedComment>
  <threadedComment ref="AK11" dT="2024-10-03T21:19:31.59" personId="{685DAF9C-7E69-437C-B66A-60F972D4A0E6}" id="{CF3C4527-BB21-41A6-A59A-EE46F4A9A486}" done="1">
    <text>R' = Rstrip + Rgnd = 1/(σ δs W) + 0.15/(σ δs W)</text>
  </threadedComment>
  <threadedComment ref="AK12" dT="2024-10-03T21:20:00.73" personId="{685DAF9C-7E69-437C-B66A-60F972D4A0E6}" id="{4DBFE2E7-77E8-4575-867C-A87F6987BFA4}" done="1">
    <text>Zdiff=2*Zo*(1-.347*(EXP(-2.9*(S/H)))), where Zo=60/SQRT(Er)*LN(1.9*(2*H+T)/(0.8*W+T))</text>
  </threadedComment>
  <threadedComment ref="AK15" dT="2024-10-03T21:19:16.88" personId="{685DAF9C-7E69-437C-B66A-60F972D4A0E6}" id="{E5573892-4454-44B8-9D55-F3B175BBE1B4}" done="1">
    <text>δs = sqrt(2/(σωµ))</text>
  </threadedComment>
  <threadedComment ref="AK16" dT="2024-10-03T21:19:31.59" personId="{685DAF9C-7E69-437C-B66A-60F972D4A0E6}" id="{4DC5EA6A-5255-4BD6-A298-0FAE9172B0A3}" done="1">
    <text>R' = Rstrip + Rgnd = 1/(σ δs W) + 0.15/(σ δs W)</text>
  </threadedComment>
  <threadedComment ref="AK17" dT="2024-10-03T21:20:00.73" personId="{685DAF9C-7E69-437C-B66A-60F972D4A0E6}" id="{06BB6BC3-3D01-4E3C-9BFC-1404A62D247F}" done="1">
    <text>Zdiff=2*Zo*(1-.347*(EXP(-2.9*(S/H)))), where Zo=60/SQRT(Er)*LN(1.9*(2*H+T)/(0.8*W+T))</text>
  </threadedComment>
  <threadedComment ref="AK20" dT="2024-10-03T21:19:16.88" personId="{685DAF9C-7E69-437C-B66A-60F972D4A0E6}" id="{5091EEAE-86CB-4E54-8EEE-E97C8E78C8BD}" done="1">
    <text>δs = sqrt(2/(σωµ))</text>
  </threadedComment>
  <threadedComment ref="AK21" dT="2024-10-03T21:19:31.59" personId="{685DAF9C-7E69-437C-B66A-60F972D4A0E6}" id="{1B17BAF3-4CA2-4846-8C10-3A7A9F47307C}" done="1">
    <text>R' = Rstrip + Rgnd = 1/(σ δs W) + 0.15/(σ δs W)</text>
  </threadedComment>
  <threadedComment ref="AK22" dT="2024-10-03T21:20:00.73" personId="{685DAF9C-7E69-437C-B66A-60F972D4A0E6}" id="{7A12ABDE-7C38-484D-BE36-FAEB7C8EBB7A}" done="1">
    <text>Zdiff=2*Zo*(1-.347*(EXP(-2.9*(S/H)))), where Zo=60/SQRT(Er)*LN(1.9*(2*H+T)/(0.8*W+T))</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4-12-06T10:10:08.81" personId="{685DAF9C-7E69-437C-B66A-60F972D4A0E6}" id="{DA3A8A89-34AB-4C90-8EF9-C1DB1D48FD32}">
    <text>TC_DK = [ (DK|T2 - DK|T1)/DK|25C ] / (T2-T1)</text>
  </threadedComment>
  <threadedComment ref="C2" dT="2024-12-06T10:10:38.31" personId="{685DAF9C-7E69-437C-B66A-60F972D4A0E6}" id="{8D22B870-DEEF-4577-8F62-C02DEDE49307}">
    <text>TC_DF = [ (DF|T2 - DF|T1)/DF|25C ] / (T2-T1)</text>
  </threadedComment>
  <threadedComment ref="D2" dT="2024-12-05T15:14:26.44" personId="{685DAF9C-7E69-437C-B66A-60F972D4A0E6}" id="{9BA8CB9F-027F-4019-870C-E19AB2615A09}">
    <text>Temperature coefficient of metal conductivity</text>
  </threadedComment>
  <threadedComment ref="E2" dT="2024-12-05T15:13:59.91" personId="{685DAF9C-7E69-437C-B66A-60F972D4A0E6}" id="{B9DA68C6-6F68-4427-A0DD-EC94F9ECA19D}">
    <text>Metal conductivity</text>
  </threadedComment>
  <threadedComment ref="F2" dT="2024-09-28T06:20:07.69" personId="{685DAF9C-7E69-437C-B66A-60F972D4A0E6}" id="{9D859DB6-2A73-437C-B08C-39F36360EBAF}">
    <text>Metal surface roughness
- Note: Multiply by 2 if both sides are treated
- Typical Manufacturer Data:
(STD)         5 &lt; Rz &lt; 7μm
(RTF)          3 &lt; Rz &lt; 5μm
(VLP)         2 &lt; Rz &lt; 3μm
(HVLP)      1 &lt; Rz &lt; 2μm
(HVLP2) 0.2 &lt; Rz &lt; 1μm 
- Roughness RMS = Rz *1.1/7.6</text>
  </threadedComment>
  <threadedComment ref="H2" dT="2024-12-05T15:13:02.78" personId="{685DAF9C-7E69-437C-B66A-60F972D4A0E6}" id="{AF6BB9F7-C89F-4C7E-BD6B-134C5FFAC4CC}">
    <text>Dielectric thickness between two layers. 
The total stripline thickness will be 2x Dielectric thickness + Metal thickness</text>
  </threadedComment>
  <threadedComment ref="I2" dT="2024-12-05T15:13:13.84" personId="{685DAF9C-7E69-437C-B66A-60F972D4A0E6}" id="{74C09A0D-20EC-45EA-859C-642CFD5C8385}">
    <text>Copper layer thickness</text>
  </threadedComment>
  <threadedComment ref="J2" dT="2024-12-05T15:13:31.26" personId="{685DAF9C-7E69-437C-B66A-60F972D4A0E6}" id="{B6F6F324-6FF3-452A-9D8D-0037EC90FC12}">
    <text>Stripline width</text>
  </threadedComment>
  <threadedComment ref="K2" dT="2024-12-05T15:13:42.82" personId="{685DAF9C-7E69-437C-B66A-60F972D4A0E6}" id="{96381BDA-6030-42D5-A33B-3467E9414F6A}">
    <text>Stripline spacing</text>
  </threadedComment>
  <threadedComment ref="BJ2" dT="2024-09-28T06:20:07.69" personId="{685DAF9C-7E69-437C-B66A-60F972D4A0E6}" id="{43FCD850-5AA7-4C28-850A-94AC8C23A507}">
    <text>Metal surface roughness
- Note: Multiply by 2 if both sides are treated
- Typical Manufacturer Data:
(STD)         5 &lt; Rz &lt; 7μm
(RTF)          3 &lt; Rz &lt; 5μm
(VLP)         2 &lt; Rz &lt; 3μm
(HVLP)      1 &lt; Rz &lt; 2μm
(HVLP2) 0.2 &lt; Rz &lt; 1μm 
- Roughness RMS = Rz *1.1/7.6</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2.v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597B-8214-402C-B9CC-78D649251E6E}">
  <dimension ref="A1:L35"/>
  <sheetViews>
    <sheetView tabSelected="1" zoomScaleNormal="100" workbookViewId="0">
      <selection activeCell="A12" sqref="A12:L17"/>
    </sheetView>
  </sheetViews>
  <sheetFormatPr defaultRowHeight="14.4" x14ac:dyDescent="0.55000000000000004"/>
  <cols>
    <col min="1" max="1" width="15.578125" style="3" customWidth="1"/>
    <col min="2" max="2" width="10.41796875" style="3" customWidth="1"/>
    <col min="3" max="11" width="8.83984375" style="3"/>
    <col min="12" max="12" width="17.83984375" style="3" bestFit="1" customWidth="1"/>
    <col min="13" max="16384" width="8.83984375" style="3"/>
  </cols>
  <sheetData>
    <row r="1" spans="1:12" x14ac:dyDescent="0.55000000000000004">
      <c r="A1" s="92" t="s">
        <v>33</v>
      </c>
      <c r="B1" s="93"/>
      <c r="C1" s="93"/>
      <c r="D1" s="93"/>
      <c r="E1" s="93"/>
      <c r="F1" s="93"/>
      <c r="G1" s="93"/>
      <c r="H1" s="93"/>
      <c r="I1" s="93"/>
      <c r="J1" s="93"/>
      <c r="K1" s="93"/>
      <c r="L1" s="94"/>
    </row>
    <row r="2" spans="1:12" x14ac:dyDescent="0.55000000000000004">
      <c r="A2" s="95"/>
      <c r="B2" s="96"/>
      <c r="C2" s="96"/>
      <c r="D2" s="96"/>
      <c r="E2" s="96"/>
      <c r="F2" s="96"/>
      <c r="G2" s="96"/>
      <c r="H2" s="96"/>
      <c r="I2" s="96"/>
      <c r="J2" s="96"/>
      <c r="K2" s="96"/>
      <c r="L2" s="97"/>
    </row>
    <row r="3" spans="1:12" x14ac:dyDescent="0.55000000000000004">
      <c r="A3" s="95"/>
      <c r="B3" s="96"/>
      <c r="C3" s="96"/>
      <c r="D3" s="96"/>
      <c r="E3" s="96"/>
      <c r="F3" s="96"/>
      <c r="G3" s="96"/>
      <c r="H3" s="96"/>
      <c r="I3" s="96"/>
      <c r="J3" s="96"/>
      <c r="K3" s="96"/>
      <c r="L3" s="97"/>
    </row>
    <row r="4" spans="1:12" x14ac:dyDescent="0.55000000000000004">
      <c r="A4" s="98"/>
      <c r="B4" s="99"/>
      <c r="C4" s="99"/>
      <c r="D4" s="99"/>
      <c r="E4" s="99"/>
      <c r="F4" s="99"/>
      <c r="G4" s="99"/>
      <c r="H4" s="99"/>
      <c r="I4" s="99"/>
      <c r="J4" s="99"/>
      <c r="K4" s="99"/>
      <c r="L4" s="100"/>
    </row>
    <row r="5" spans="1:12" ht="17.7" x14ac:dyDescent="0.6">
      <c r="A5" s="101" t="s">
        <v>50</v>
      </c>
      <c r="B5" s="101"/>
      <c r="C5" s="101"/>
      <c r="D5" s="101"/>
      <c r="E5" s="101"/>
      <c r="F5" s="101"/>
      <c r="G5" s="101"/>
      <c r="H5" s="101"/>
      <c r="I5" s="101"/>
      <c r="J5" s="101"/>
      <c r="K5" s="101"/>
      <c r="L5" s="102"/>
    </row>
    <row r="6" spans="1:12" ht="17.7" x14ac:dyDescent="0.6">
      <c r="A6" s="101" t="s">
        <v>34</v>
      </c>
      <c r="B6" s="101"/>
      <c r="C6" s="4" t="str">
        <f>A30</f>
        <v>1.1.1</v>
      </c>
      <c r="D6" s="5"/>
      <c r="E6" s="5"/>
      <c r="F6" s="5"/>
      <c r="G6" s="5"/>
      <c r="H6" s="5"/>
      <c r="I6" s="5"/>
      <c r="J6" s="5"/>
      <c r="K6" s="6"/>
      <c r="L6" s="7"/>
    </row>
    <row r="7" spans="1:12" ht="17.7" x14ac:dyDescent="0.6">
      <c r="A7" s="101" t="s">
        <v>35</v>
      </c>
      <c r="B7" s="101"/>
      <c r="C7" s="4" t="s">
        <v>36</v>
      </c>
      <c r="D7" s="5"/>
      <c r="E7" s="5"/>
      <c r="F7" s="5"/>
      <c r="G7" s="5"/>
      <c r="H7" s="5"/>
      <c r="I7" s="5"/>
      <c r="J7" s="8"/>
      <c r="K7" s="8"/>
      <c r="L7" s="7"/>
    </row>
    <row r="8" spans="1:12" x14ac:dyDescent="0.55000000000000004">
      <c r="A8" s="9"/>
      <c r="B8" s="10"/>
      <c r="C8" s="10"/>
      <c r="D8" s="10"/>
      <c r="E8" s="10"/>
      <c r="F8" s="10"/>
      <c r="G8" s="10"/>
      <c r="H8" s="10"/>
      <c r="I8" s="10"/>
      <c r="J8" s="10"/>
      <c r="K8" s="10"/>
      <c r="L8" s="11"/>
    </row>
    <row r="9" spans="1:12" ht="20.399999999999999" x14ac:dyDescent="0.75">
      <c r="A9" s="89" t="s">
        <v>37</v>
      </c>
      <c r="B9" s="90"/>
      <c r="C9" s="90"/>
      <c r="D9" s="90"/>
      <c r="E9" s="90"/>
      <c r="F9" s="90"/>
      <c r="G9" s="90"/>
      <c r="H9" s="90"/>
      <c r="I9" s="90"/>
      <c r="J9" s="90"/>
      <c r="K9" s="90"/>
      <c r="L9" s="91"/>
    </row>
    <row r="10" spans="1:12" x14ac:dyDescent="0.55000000000000004">
      <c r="A10" s="9" t="s">
        <v>38</v>
      </c>
      <c r="B10" s="10"/>
      <c r="C10" s="10"/>
      <c r="D10" s="10"/>
      <c r="E10" s="10"/>
      <c r="F10" s="10"/>
      <c r="G10" s="10"/>
      <c r="H10" s="10"/>
      <c r="I10" s="10"/>
      <c r="J10" s="10"/>
      <c r="K10" s="10"/>
      <c r="L10" s="11"/>
    </row>
    <row r="11" spans="1:12" x14ac:dyDescent="0.55000000000000004">
      <c r="A11" s="9"/>
      <c r="B11" s="10"/>
      <c r="C11" s="10"/>
      <c r="D11" s="10"/>
      <c r="E11" s="10"/>
      <c r="F11" s="10"/>
      <c r="G11" s="10"/>
      <c r="H11" s="10"/>
      <c r="I11" s="10"/>
      <c r="J11" s="10"/>
      <c r="K11" s="10"/>
      <c r="L11" s="11"/>
    </row>
    <row r="12" spans="1:12" x14ac:dyDescent="0.55000000000000004">
      <c r="A12" s="104" t="s">
        <v>39</v>
      </c>
      <c r="B12" s="105"/>
      <c r="C12" s="105"/>
      <c r="D12" s="105"/>
      <c r="E12" s="105"/>
      <c r="F12" s="105"/>
      <c r="G12" s="105"/>
      <c r="H12" s="105"/>
      <c r="I12" s="105"/>
      <c r="J12" s="105"/>
      <c r="K12" s="105"/>
      <c r="L12" s="106"/>
    </row>
    <row r="13" spans="1:12" x14ac:dyDescent="0.55000000000000004">
      <c r="A13" s="104"/>
      <c r="B13" s="105"/>
      <c r="C13" s="105"/>
      <c r="D13" s="105"/>
      <c r="E13" s="105"/>
      <c r="F13" s="105"/>
      <c r="G13" s="105"/>
      <c r="H13" s="105"/>
      <c r="I13" s="105"/>
      <c r="J13" s="105"/>
      <c r="K13" s="105"/>
      <c r="L13" s="106"/>
    </row>
    <row r="14" spans="1:12" x14ac:dyDescent="0.55000000000000004">
      <c r="A14" s="104"/>
      <c r="B14" s="105"/>
      <c r="C14" s="105"/>
      <c r="D14" s="105"/>
      <c r="E14" s="105"/>
      <c r="F14" s="105"/>
      <c r="G14" s="105"/>
      <c r="H14" s="105"/>
      <c r="I14" s="105"/>
      <c r="J14" s="105"/>
      <c r="K14" s="105"/>
      <c r="L14" s="106"/>
    </row>
    <row r="15" spans="1:12" x14ac:dyDescent="0.55000000000000004">
      <c r="A15" s="104"/>
      <c r="B15" s="105"/>
      <c r="C15" s="105"/>
      <c r="D15" s="105"/>
      <c r="E15" s="105"/>
      <c r="F15" s="105"/>
      <c r="G15" s="105"/>
      <c r="H15" s="105"/>
      <c r="I15" s="105"/>
      <c r="J15" s="105"/>
      <c r="K15" s="105"/>
      <c r="L15" s="106"/>
    </row>
    <row r="16" spans="1:12" x14ac:dyDescent="0.55000000000000004">
      <c r="A16" s="104"/>
      <c r="B16" s="105"/>
      <c r="C16" s="105"/>
      <c r="D16" s="105"/>
      <c r="E16" s="105"/>
      <c r="F16" s="105"/>
      <c r="G16" s="105"/>
      <c r="H16" s="105"/>
      <c r="I16" s="105"/>
      <c r="J16" s="105"/>
      <c r="K16" s="105"/>
      <c r="L16" s="106"/>
    </row>
    <row r="17" spans="1:12" x14ac:dyDescent="0.55000000000000004">
      <c r="A17" s="104"/>
      <c r="B17" s="105"/>
      <c r="C17" s="105"/>
      <c r="D17" s="105"/>
      <c r="E17" s="105"/>
      <c r="F17" s="105"/>
      <c r="G17" s="105"/>
      <c r="H17" s="105"/>
      <c r="I17" s="105"/>
      <c r="J17" s="105"/>
      <c r="K17" s="105"/>
      <c r="L17" s="106"/>
    </row>
    <row r="18" spans="1:12" ht="20.399999999999999" x14ac:dyDescent="0.75">
      <c r="A18" s="89" t="s">
        <v>40</v>
      </c>
      <c r="B18" s="90"/>
      <c r="C18" s="90"/>
      <c r="D18" s="90"/>
      <c r="E18" s="90"/>
      <c r="F18" s="90"/>
      <c r="G18" s="90"/>
      <c r="H18" s="90"/>
      <c r="I18" s="90"/>
      <c r="J18" s="90"/>
      <c r="K18" s="90"/>
      <c r="L18" s="91"/>
    </row>
    <row r="19" spans="1:12" x14ac:dyDescent="0.55000000000000004">
      <c r="A19" s="107" t="s">
        <v>41</v>
      </c>
      <c r="B19" s="108"/>
      <c r="C19" s="108"/>
      <c r="D19" s="108"/>
      <c r="E19" s="108"/>
      <c r="F19" s="108"/>
      <c r="G19" s="108"/>
      <c r="H19" s="108"/>
      <c r="I19" s="108"/>
      <c r="J19" s="108"/>
      <c r="K19" s="108"/>
      <c r="L19" s="109"/>
    </row>
    <row r="20" spans="1:12" x14ac:dyDescent="0.55000000000000004">
      <c r="A20" s="107" t="s">
        <v>42</v>
      </c>
      <c r="B20" s="108"/>
      <c r="C20" s="108"/>
      <c r="D20" s="108"/>
      <c r="E20" s="108"/>
      <c r="F20" s="108"/>
      <c r="G20" s="108"/>
      <c r="H20" s="108"/>
      <c r="I20" s="108"/>
      <c r="J20" s="108"/>
      <c r="K20" s="108"/>
      <c r="L20" s="109"/>
    </row>
    <row r="21" spans="1:12" x14ac:dyDescent="0.55000000000000004">
      <c r="A21" s="9"/>
      <c r="B21" s="10"/>
      <c r="C21" s="10"/>
      <c r="D21" s="10"/>
      <c r="E21" s="10"/>
      <c r="F21" s="10"/>
      <c r="G21" s="10"/>
      <c r="H21" s="10"/>
      <c r="I21" s="10"/>
      <c r="J21" s="10"/>
      <c r="K21" s="10"/>
      <c r="L21" s="11"/>
    </row>
    <row r="22" spans="1:12" ht="20.399999999999999" x14ac:dyDescent="0.75">
      <c r="A22" s="89" t="s">
        <v>43</v>
      </c>
      <c r="B22" s="90"/>
      <c r="C22" s="90"/>
      <c r="D22" s="90"/>
      <c r="E22" s="90"/>
      <c r="F22" s="90"/>
      <c r="G22" s="90"/>
      <c r="H22" s="90"/>
      <c r="I22" s="90"/>
      <c r="J22" s="90"/>
      <c r="K22" s="90"/>
      <c r="L22" s="91"/>
    </row>
    <row r="23" spans="1:12" ht="14.4" customHeight="1" x14ac:dyDescent="0.55000000000000004">
      <c r="A23" s="104" t="s">
        <v>44</v>
      </c>
      <c r="B23" s="105"/>
      <c r="C23" s="105"/>
      <c r="D23" s="105"/>
      <c r="E23" s="105"/>
      <c r="F23" s="105"/>
      <c r="G23" s="105"/>
      <c r="H23" s="105"/>
      <c r="I23" s="105"/>
      <c r="J23" s="105"/>
      <c r="K23" s="105"/>
      <c r="L23" s="106"/>
    </row>
    <row r="24" spans="1:12" x14ac:dyDescent="0.55000000000000004">
      <c r="A24" s="104"/>
      <c r="B24" s="105"/>
      <c r="C24" s="105"/>
      <c r="D24" s="105"/>
      <c r="E24" s="105"/>
      <c r="F24" s="105"/>
      <c r="G24" s="105"/>
      <c r="H24" s="105"/>
      <c r="I24" s="105"/>
      <c r="J24" s="105"/>
      <c r="K24" s="105"/>
      <c r="L24" s="106"/>
    </row>
    <row r="25" spans="1:12" x14ac:dyDescent="0.55000000000000004">
      <c r="A25" s="104"/>
      <c r="B25" s="105"/>
      <c r="C25" s="105"/>
      <c r="D25" s="105"/>
      <c r="E25" s="105"/>
      <c r="F25" s="105"/>
      <c r="G25" s="105"/>
      <c r="H25" s="105"/>
      <c r="I25" s="105"/>
      <c r="J25" s="105"/>
      <c r="K25" s="105"/>
      <c r="L25" s="106"/>
    </row>
    <row r="26" spans="1:12" x14ac:dyDescent="0.55000000000000004">
      <c r="A26" s="104"/>
      <c r="B26" s="105"/>
      <c r="C26" s="105"/>
      <c r="D26" s="105"/>
      <c r="E26" s="105"/>
      <c r="F26" s="105"/>
      <c r="G26" s="105"/>
      <c r="H26" s="105"/>
      <c r="I26" s="105"/>
      <c r="J26" s="105"/>
      <c r="K26" s="105"/>
      <c r="L26" s="106"/>
    </row>
    <row r="27" spans="1:12" x14ac:dyDescent="0.55000000000000004">
      <c r="A27" s="12"/>
      <c r="B27" s="13"/>
      <c r="C27" s="14"/>
      <c r="D27" s="14"/>
      <c r="E27" s="14"/>
      <c r="F27" s="14"/>
      <c r="G27" s="14"/>
      <c r="H27" s="14"/>
      <c r="I27" s="14"/>
      <c r="J27" s="14"/>
      <c r="K27" s="14"/>
      <c r="L27" s="15"/>
    </row>
    <row r="28" spans="1:12" x14ac:dyDescent="0.55000000000000004">
      <c r="A28" s="16" t="s">
        <v>45</v>
      </c>
      <c r="B28" s="17"/>
      <c r="C28" s="14"/>
      <c r="D28" s="14"/>
      <c r="E28" s="14"/>
      <c r="F28" s="14"/>
      <c r="G28" s="14"/>
      <c r="H28" s="14"/>
      <c r="I28" s="14"/>
      <c r="J28" s="14"/>
      <c r="K28" s="14"/>
      <c r="L28" s="18"/>
    </row>
    <row r="29" spans="1:12" x14ac:dyDescent="0.55000000000000004">
      <c r="A29" s="19" t="s">
        <v>46</v>
      </c>
      <c r="B29" s="103" t="s">
        <v>47</v>
      </c>
      <c r="C29" s="103"/>
      <c r="D29" s="103"/>
      <c r="E29" s="103"/>
      <c r="F29" s="103"/>
      <c r="G29" s="103"/>
      <c r="H29" s="103"/>
      <c r="I29" s="103"/>
      <c r="J29" s="103"/>
      <c r="K29" s="103"/>
      <c r="L29" s="20"/>
    </row>
    <row r="30" spans="1:12" x14ac:dyDescent="0.55000000000000004">
      <c r="A30" s="16" t="s">
        <v>161</v>
      </c>
      <c r="B30" s="13" t="s">
        <v>162</v>
      </c>
      <c r="C30" s="13"/>
      <c r="D30" s="13"/>
      <c r="E30" s="13"/>
      <c r="F30" s="13"/>
      <c r="G30" s="13"/>
      <c r="H30" s="13"/>
      <c r="I30" s="13"/>
      <c r="J30" s="13"/>
      <c r="K30" s="13"/>
      <c r="L30" s="18"/>
    </row>
    <row r="31" spans="1:12" ht="14.4" customHeight="1" x14ac:dyDescent="0.55000000000000004">
      <c r="A31" s="16" t="s">
        <v>147</v>
      </c>
      <c r="B31" s="13" t="s">
        <v>148</v>
      </c>
      <c r="C31" s="13"/>
      <c r="D31" s="13"/>
      <c r="E31" s="13"/>
      <c r="F31" s="13"/>
      <c r="G31" s="13"/>
      <c r="H31" s="13"/>
      <c r="I31" s="13"/>
      <c r="J31" s="13"/>
      <c r="K31" s="13"/>
      <c r="L31" s="18"/>
    </row>
    <row r="32" spans="1:12" x14ac:dyDescent="0.55000000000000004">
      <c r="A32" s="16" t="s">
        <v>67</v>
      </c>
      <c r="B32" s="13" t="s">
        <v>68</v>
      </c>
      <c r="C32" s="13"/>
      <c r="D32" s="14"/>
      <c r="E32" s="14"/>
      <c r="F32" s="14"/>
      <c r="G32" s="14"/>
      <c r="H32" s="14"/>
      <c r="I32" s="14"/>
      <c r="J32" s="14"/>
      <c r="K32" s="14"/>
      <c r="L32" s="18"/>
    </row>
    <row r="33" spans="1:12" x14ac:dyDescent="0.55000000000000004">
      <c r="A33" s="16" t="s">
        <v>65</v>
      </c>
      <c r="B33" s="13" t="s">
        <v>66</v>
      </c>
      <c r="C33" s="13"/>
      <c r="D33" s="14"/>
      <c r="E33" s="14"/>
      <c r="F33" s="14"/>
      <c r="G33" s="14"/>
      <c r="H33" s="14"/>
      <c r="I33" s="14"/>
      <c r="J33" s="14"/>
      <c r="K33" s="14"/>
      <c r="L33" s="18"/>
    </row>
    <row r="34" spans="1:12" x14ac:dyDescent="0.55000000000000004">
      <c r="A34" s="16" t="s">
        <v>48</v>
      </c>
      <c r="B34" s="13" t="s">
        <v>49</v>
      </c>
      <c r="C34" s="13"/>
      <c r="D34" s="14"/>
      <c r="E34" s="14"/>
      <c r="F34" s="14"/>
      <c r="G34" s="14"/>
      <c r="H34" s="14"/>
      <c r="I34" s="14"/>
      <c r="J34" s="14"/>
      <c r="K34" s="14"/>
      <c r="L34" s="18"/>
    </row>
    <row r="35" spans="1:12" ht="14.7" thickBot="1" x14ac:dyDescent="0.6">
      <c r="A35" s="21"/>
      <c r="B35" s="22"/>
      <c r="C35" s="23"/>
      <c r="D35" s="23"/>
      <c r="E35" s="23"/>
      <c r="F35" s="23"/>
      <c r="G35" s="23"/>
      <c r="H35" s="23"/>
      <c r="I35" s="23"/>
      <c r="J35" s="23"/>
      <c r="K35" s="23"/>
      <c r="L35" s="24"/>
    </row>
  </sheetData>
  <mergeCells count="13">
    <mergeCell ref="B29:K29"/>
    <mergeCell ref="A12:L17"/>
    <mergeCell ref="A18:L18"/>
    <mergeCell ref="A19:L19"/>
    <mergeCell ref="A20:L20"/>
    <mergeCell ref="A22:L22"/>
    <mergeCell ref="A23:L26"/>
    <mergeCell ref="A9:L9"/>
    <mergeCell ref="A1:L3"/>
    <mergeCell ref="A4:L4"/>
    <mergeCell ref="A5:L5"/>
    <mergeCell ref="A6:B6"/>
    <mergeCell ref="A7:B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56F-AD53-4147-BF1E-023AB387B268}">
  <dimension ref="A1:AF34"/>
  <sheetViews>
    <sheetView zoomScale="81" zoomScaleNormal="100" workbookViewId="0">
      <selection activeCell="A5" sqref="A5:AF5"/>
    </sheetView>
  </sheetViews>
  <sheetFormatPr defaultRowHeight="14.4" x14ac:dyDescent="0.55000000000000004"/>
  <cols>
    <col min="1" max="6" width="9.62890625" style="3" customWidth="1"/>
    <col min="7" max="7" width="7" style="3" customWidth="1"/>
    <col min="8" max="15" width="9.62890625" style="3" customWidth="1"/>
    <col min="16" max="16" width="3.7890625" style="3" customWidth="1"/>
    <col min="17" max="21" width="9.62890625" style="3" customWidth="1"/>
    <col min="22" max="22" width="3.68359375" style="3" customWidth="1"/>
    <col min="23" max="32" width="9.62890625" style="3" customWidth="1"/>
    <col min="33" max="16384" width="8.83984375" style="3"/>
  </cols>
  <sheetData>
    <row r="1" spans="1:32" x14ac:dyDescent="0.55000000000000004">
      <c r="A1" s="92" t="s">
        <v>33</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4"/>
    </row>
    <row r="2" spans="1:32" x14ac:dyDescent="0.55000000000000004">
      <c r="A2" s="95"/>
      <c r="B2" s="96"/>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7"/>
    </row>
    <row r="3" spans="1:32" x14ac:dyDescent="0.55000000000000004">
      <c r="A3" s="95"/>
      <c r="B3" s="96"/>
      <c r="C3" s="96"/>
      <c r="D3" s="96"/>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7"/>
    </row>
    <row r="4" spans="1:32" x14ac:dyDescent="0.55000000000000004">
      <c r="A4" s="98"/>
      <c r="B4" s="99"/>
      <c r="C4" s="99"/>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100"/>
    </row>
    <row r="5" spans="1:32" ht="17.7" x14ac:dyDescent="0.6">
      <c r="A5" s="112" t="s">
        <v>53</v>
      </c>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2"/>
    </row>
    <row r="6" spans="1:32" ht="17.7" x14ac:dyDescent="0.6">
      <c r="A6" s="112"/>
      <c r="B6" s="101"/>
      <c r="C6" s="4"/>
      <c r="D6" s="5"/>
      <c r="E6" s="5"/>
      <c r="F6" s="5"/>
      <c r="G6" s="5"/>
      <c r="H6" s="5"/>
      <c r="I6" s="5"/>
      <c r="J6" s="5"/>
      <c r="K6" s="6"/>
      <c r="L6" s="6"/>
      <c r="M6" s="6"/>
      <c r="N6" s="6"/>
      <c r="O6" s="6"/>
      <c r="P6" s="6"/>
      <c r="Q6" s="6"/>
      <c r="R6" s="6"/>
      <c r="S6" s="6"/>
      <c r="T6" s="6"/>
      <c r="U6" s="6"/>
      <c r="V6" s="6"/>
      <c r="W6" s="6"/>
      <c r="X6" s="6"/>
      <c r="Y6" s="6"/>
      <c r="Z6" s="6"/>
      <c r="AA6" s="6"/>
      <c r="AB6" s="6"/>
      <c r="AC6" s="6"/>
      <c r="AD6" s="6"/>
      <c r="AE6" s="6"/>
      <c r="AF6" s="7"/>
    </row>
    <row r="7" spans="1:32" x14ac:dyDescent="0.55000000000000004">
      <c r="A7" s="25" t="s">
        <v>54</v>
      </c>
      <c r="B7" s="113" t="s">
        <v>55</v>
      </c>
      <c r="C7" s="113"/>
      <c r="D7" s="113"/>
      <c r="E7" s="113"/>
      <c r="F7" s="113"/>
      <c r="G7" s="113"/>
      <c r="H7" s="26"/>
      <c r="I7" s="27"/>
      <c r="J7" s="27"/>
      <c r="K7" s="27"/>
      <c r="L7" s="27"/>
      <c r="M7" s="27"/>
      <c r="N7" s="27"/>
      <c r="O7" s="27"/>
      <c r="P7" s="27"/>
      <c r="Q7" s="27"/>
      <c r="R7" s="27"/>
      <c r="S7" s="27"/>
      <c r="T7" s="27"/>
      <c r="U7" s="27"/>
      <c r="V7" s="27"/>
      <c r="W7" s="27"/>
      <c r="X7" s="27"/>
      <c r="Y7" s="27"/>
      <c r="Z7" s="27"/>
      <c r="AA7" s="27"/>
      <c r="AB7" s="27"/>
      <c r="AC7" s="27"/>
      <c r="AD7" s="27"/>
      <c r="AE7" s="27"/>
      <c r="AF7" s="7"/>
    </row>
    <row r="8" spans="1:32" ht="17.7" x14ac:dyDescent="0.6">
      <c r="A8" s="28"/>
      <c r="B8" s="29"/>
      <c r="C8" s="4"/>
      <c r="D8" s="5"/>
      <c r="E8" s="5"/>
      <c r="F8" s="5"/>
      <c r="G8" s="30"/>
      <c r="H8" s="5"/>
      <c r="I8" s="5"/>
      <c r="J8" s="5"/>
      <c r="K8" s="6"/>
      <c r="L8" s="6"/>
      <c r="M8" s="6"/>
      <c r="N8" s="6"/>
      <c r="O8" s="6"/>
      <c r="P8" s="6"/>
      <c r="Q8" s="6"/>
      <c r="R8" s="6"/>
      <c r="S8" s="6"/>
      <c r="T8" s="6"/>
      <c r="U8" s="6"/>
      <c r="V8" s="6"/>
      <c r="W8" s="6"/>
      <c r="X8" s="6"/>
      <c r="Y8" s="6"/>
      <c r="Z8" s="6"/>
      <c r="AA8" s="6"/>
      <c r="AB8" s="6"/>
      <c r="AC8" s="6"/>
      <c r="AD8" s="6"/>
      <c r="AE8" s="6"/>
      <c r="AF8" s="7"/>
    </row>
    <row r="9" spans="1:32" ht="14.4" customHeight="1" x14ac:dyDescent="0.55000000000000004">
      <c r="A9" s="111" t="s">
        <v>159</v>
      </c>
      <c r="B9" s="110"/>
      <c r="C9" s="110"/>
      <c r="D9" s="110"/>
      <c r="E9" s="110"/>
      <c r="F9" s="110"/>
      <c r="G9" s="110"/>
      <c r="H9" s="110"/>
      <c r="I9" s="110"/>
      <c r="J9" s="110"/>
      <c r="K9" s="110"/>
      <c r="L9" s="110"/>
      <c r="M9" s="110"/>
      <c r="N9" s="110"/>
      <c r="O9" s="110"/>
      <c r="Q9" s="44"/>
      <c r="R9" s="44"/>
      <c r="S9" s="44"/>
      <c r="T9" s="44"/>
      <c r="U9" s="44"/>
      <c r="V9" s="44"/>
      <c r="W9" s="44"/>
      <c r="X9" s="44"/>
      <c r="Y9" s="44"/>
      <c r="Z9" s="44"/>
      <c r="AA9" s="44"/>
      <c r="AB9" s="44"/>
      <c r="AC9" s="44"/>
      <c r="AD9" s="44"/>
      <c r="AE9" s="44"/>
      <c r="AF9" s="46"/>
    </row>
    <row r="10" spans="1:32" ht="14.4" customHeight="1" x14ac:dyDescent="0.55000000000000004">
      <c r="A10" s="114" t="s">
        <v>56</v>
      </c>
      <c r="B10" s="115"/>
      <c r="C10" s="115"/>
      <c r="D10" s="115" t="s">
        <v>57</v>
      </c>
      <c r="E10" s="115"/>
      <c r="F10" s="115"/>
      <c r="G10" s="115" t="s">
        <v>58</v>
      </c>
      <c r="H10" s="115"/>
      <c r="I10" s="115"/>
      <c r="J10" s="115"/>
      <c r="K10" s="42"/>
      <c r="L10" s="42"/>
      <c r="M10" s="115" t="s">
        <v>150</v>
      </c>
      <c r="N10" s="115"/>
      <c r="O10" s="115"/>
      <c r="P10" s="115"/>
      <c r="Q10" s="115" t="s">
        <v>149</v>
      </c>
      <c r="R10" s="115"/>
      <c r="S10" s="115"/>
      <c r="T10" s="115"/>
      <c r="U10" s="44"/>
      <c r="V10" s="44"/>
      <c r="W10" s="44"/>
      <c r="X10" s="44"/>
      <c r="Y10" s="44"/>
      <c r="Z10" s="44"/>
      <c r="AA10" s="44"/>
      <c r="AB10" s="44"/>
      <c r="AC10" s="44"/>
      <c r="AD10" s="44"/>
      <c r="AE10" s="44"/>
      <c r="AF10" s="46"/>
    </row>
    <row r="11" spans="1:32" ht="20.399999999999999" customHeight="1" x14ac:dyDescent="0.55000000000000004">
      <c r="A11" s="41"/>
      <c r="B11" s="42"/>
      <c r="C11" s="42"/>
      <c r="D11" s="42"/>
      <c r="I11" s="31"/>
      <c r="J11" s="31"/>
      <c r="K11" s="31"/>
      <c r="L11" s="31"/>
      <c r="M11" s="42"/>
      <c r="N11" s="42"/>
      <c r="O11" s="42"/>
      <c r="P11" s="44"/>
      <c r="Q11" s="44"/>
      <c r="R11" s="44"/>
      <c r="S11" s="44"/>
      <c r="T11" s="44"/>
      <c r="U11" s="44"/>
      <c r="V11" s="44"/>
      <c r="W11" s="44"/>
      <c r="X11" s="44"/>
      <c r="Y11" s="44"/>
      <c r="Z11" s="44"/>
      <c r="AA11" s="44"/>
      <c r="AB11" s="44"/>
      <c r="AC11" s="44"/>
      <c r="AD11" s="44"/>
      <c r="AE11" s="44"/>
      <c r="AF11" s="46"/>
    </row>
    <row r="12" spans="1:32" x14ac:dyDescent="0.55000000000000004">
      <c r="A12" s="32"/>
      <c r="B12" s="31"/>
      <c r="C12" s="31"/>
      <c r="D12" s="31"/>
      <c r="I12" s="31"/>
      <c r="J12" s="31"/>
      <c r="K12" s="31"/>
      <c r="L12" s="31"/>
      <c r="M12" s="42"/>
      <c r="N12" s="42"/>
      <c r="O12" s="42"/>
      <c r="P12" s="44"/>
      <c r="Q12" s="44"/>
      <c r="R12" s="44"/>
      <c r="S12" s="44"/>
      <c r="T12" s="44"/>
      <c r="U12" s="44"/>
      <c r="V12" s="44"/>
      <c r="W12" s="44"/>
      <c r="X12" s="44"/>
      <c r="Y12" s="44"/>
      <c r="Z12" s="44"/>
      <c r="AA12" s="44"/>
      <c r="AB12" s="44"/>
      <c r="AC12" s="44"/>
      <c r="AD12" s="44"/>
      <c r="AE12" s="44"/>
      <c r="AF12" s="45"/>
    </row>
    <row r="13" spans="1:32" x14ac:dyDescent="0.55000000000000004">
      <c r="A13" s="9"/>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1"/>
    </row>
    <row r="14" spans="1:32" x14ac:dyDescent="0.55000000000000004">
      <c r="A14" s="33"/>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5"/>
    </row>
    <row r="15" spans="1:32" x14ac:dyDescent="0.55000000000000004">
      <c r="A15" s="33"/>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5"/>
    </row>
    <row r="16" spans="1:32" ht="14.4" customHeight="1" x14ac:dyDescent="0.55000000000000004">
      <c r="A16" s="111" t="s">
        <v>160</v>
      </c>
      <c r="B16" s="127"/>
      <c r="C16" s="127"/>
      <c r="D16" s="127"/>
      <c r="E16" s="127"/>
      <c r="F16" s="127"/>
      <c r="G16" s="44"/>
      <c r="H16" s="110" t="s">
        <v>64</v>
      </c>
      <c r="I16" s="110"/>
      <c r="J16" s="110"/>
      <c r="K16" s="110"/>
      <c r="L16" s="110"/>
      <c r="M16" s="110"/>
      <c r="N16" s="110"/>
      <c r="O16" s="110"/>
      <c r="P16" s="43"/>
      <c r="Q16" s="110" t="s">
        <v>59</v>
      </c>
      <c r="R16" s="110"/>
      <c r="S16" s="110"/>
      <c r="T16" s="110"/>
      <c r="U16" s="110"/>
      <c r="V16" s="43"/>
      <c r="W16" s="110" t="s">
        <v>60</v>
      </c>
      <c r="X16" s="110"/>
      <c r="Y16" s="110"/>
      <c r="Z16" s="110"/>
      <c r="AA16" s="110"/>
      <c r="AB16" s="110"/>
      <c r="AC16" s="110"/>
      <c r="AD16" s="110"/>
      <c r="AE16" s="110"/>
      <c r="AF16" s="46"/>
    </row>
    <row r="17" spans="1:32" x14ac:dyDescent="0.55000000000000004">
      <c r="A17" s="111"/>
      <c r="B17" s="127"/>
      <c r="C17" s="127"/>
      <c r="D17" s="127"/>
      <c r="E17" s="127"/>
      <c r="F17" s="127"/>
      <c r="G17" s="44"/>
      <c r="H17" s="110"/>
      <c r="I17" s="110"/>
      <c r="J17" s="110"/>
      <c r="K17" s="110"/>
      <c r="L17" s="110"/>
      <c r="M17" s="110"/>
      <c r="N17" s="110"/>
      <c r="O17" s="110"/>
      <c r="P17" s="43"/>
      <c r="Q17" s="110"/>
      <c r="R17" s="110"/>
      <c r="S17" s="110"/>
      <c r="T17" s="110"/>
      <c r="U17" s="110"/>
      <c r="V17" s="43"/>
      <c r="W17" s="110"/>
      <c r="X17" s="110"/>
      <c r="Y17" s="110"/>
      <c r="Z17" s="110"/>
      <c r="AA17" s="110"/>
      <c r="AB17" s="110"/>
      <c r="AC17" s="110"/>
      <c r="AD17" s="110"/>
      <c r="AE17" s="110"/>
      <c r="AF17" s="46"/>
    </row>
    <row r="18" spans="1:32" x14ac:dyDescent="0.55000000000000004">
      <c r="A18" s="111"/>
      <c r="B18" s="127"/>
      <c r="C18" s="127"/>
      <c r="D18" s="127"/>
      <c r="E18" s="127"/>
      <c r="F18" s="127"/>
      <c r="G18" s="44"/>
      <c r="H18" s="110"/>
      <c r="I18" s="110"/>
      <c r="J18" s="110"/>
      <c r="K18" s="110"/>
      <c r="L18" s="110"/>
      <c r="M18" s="110"/>
      <c r="N18" s="110"/>
      <c r="O18" s="110"/>
      <c r="P18" s="43"/>
      <c r="Q18" s="110"/>
      <c r="R18" s="110"/>
      <c r="S18" s="110"/>
      <c r="T18" s="110"/>
      <c r="U18" s="110"/>
      <c r="V18" s="43"/>
      <c r="W18" s="110"/>
      <c r="X18" s="110"/>
      <c r="Y18" s="110"/>
      <c r="Z18" s="110"/>
      <c r="AA18" s="110"/>
      <c r="AB18" s="110"/>
      <c r="AC18" s="110"/>
      <c r="AD18" s="110"/>
      <c r="AE18" s="110"/>
      <c r="AF18" s="46"/>
    </row>
    <row r="19" spans="1:32" x14ac:dyDescent="0.55000000000000004">
      <c r="A19" s="111"/>
      <c r="B19" s="127"/>
      <c r="C19" s="127"/>
      <c r="D19" s="127"/>
      <c r="E19" s="127"/>
      <c r="F19" s="127"/>
      <c r="G19" s="34"/>
      <c r="H19" s="110"/>
      <c r="I19" s="110"/>
      <c r="J19" s="110"/>
      <c r="K19" s="110"/>
      <c r="L19" s="110"/>
      <c r="M19" s="110"/>
      <c r="N19" s="110"/>
      <c r="O19" s="110"/>
      <c r="P19" s="34"/>
      <c r="Q19" s="34"/>
      <c r="R19" s="34"/>
      <c r="S19" s="34"/>
      <c r="T19" s="34"/>
      <c r="U19" s="34"/>
      <c r="V19" s="34"/>
      <c r="W19" s="34"/>
      <c r="X19" s="34"/>
      <c r="Y19" s="34"/>
      <c r="Z19" s="34"/>
      <c r="AA19" s="34"/>
      <c r="AB19" s="34"/>
      <c r="AC19" s="34"/>
      <c r="AD19" s="34"/>
      <c r="AE19" s="34"/>
      <c r="AF19" s="35"/>
    </row>
    <row r="20" spans="1:32" ht="20.399999999999999" x14ac:dyDescent="0.75">
      <c r="A20" s="111"/>
      <c r="B20" s="127"/>
      <c r="C20" s="127"/>
      <c r="D20" s="127"/>
      <c r="E20" s="127"/>
      <c r="F20" s="127"/>
      <c r="G20" s="37"/>
      <c r="H20" s="110"/>
      <c r="I20" s="110"/>
      <c r="J20" s="110"/>
      <c r="K20" s="110"/>
      <c r="L20" s="110"/>
      <c r="M20" s="110"/>
      <c r="N20" s="110"/>
      <c r="O20" s="110"/>
      <c r="P20" s="37"/>
      <c r="Q20" s="37"/>
      <c r="R20" s="37"/>
      <c r="S20" s="37"/>
      <c r="T20" s="37"/>
      <c r="U20" s="37"/>
      <c r="V20" s="37"/>
      <c r="W20" s="37"/>
      <c r="X20" s="37"/>
      <c r="Y20" s="37"/>
      <c r="Z20" s="37"/>
      <c r="AA20" s="37"/>
      <c r="AB20" s="37"/>
      <c r="AC20" s="37"/>
      <c r="AD20" s="37"/>
      <c r="AE20" s="37"/>
      <c r="AF20" s="38"/>
    </row>
    <row r="21" spans="1:32" x14ac:dyDescent="0.55000000000000004">
      <c r="A21" s="111"/>
      <c r="B21" s="127"/>
      <c r="C21" s="127"/>
      <c r="D21" s="127"/>
      <c r="E21" s="127"/>
      <c r="F21" s="127"/>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1"/>
    </row>
    <row r="22" spans="1:32" x14ac:dyDescent="0.55000000000000004">
      <c r="A22" s="9"/>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1"/>
    </row>
    <row r="23" spans="1:32" x14ac:dyDescent="0.55000000000000004">
      <c r="A23" s="9"/>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1"/>
    </row>
    <row r="24" spans="1:32" ht="20.399999999999999" x14ac:dyDescent="0.75">
      <c r="A24" s="36"/>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8"/>
    </row>
    <row r="25" spans="1:32" ht="14.4" customHeight="1" x14ac:dyDescent="0.55000000000000004">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5"/>
    </row>
    <row r="26" spans="1:32" x14ac:dyDescent="0.55000000000000004">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5"/>
    </row>
    <row r="27" spans="1:32" x14ac:dyDescent="0.5500000000000000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5"/>
    </row>
    <row r="28" spans="1:32" x14ac:dyDescent="0.55000000000000004">
      <c r="A28" s="41"/>
      <c r="B28" s="42"/>
      <c r="C28" s="42"/>
      <c r="D28" s="42"/>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5"/>
    </row>
    <row r="29" spans="1:32" x14ac:dyDescent="0.55000000000000004">
      <c r="A29" s="41"/>
      <c r="B29" s="42"/>
      <c r="C29" s="42"/>
      <c r="D29" s="42"/>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5"/>
    </row>
    <row r="30" spans="1:32" x14ac:dyDescent="0.55000000000000004">
      <c r="A30" s="32"/>
      <c r="B30" s="31"/>
      <c r="C30" s="31"/>
      <c r="D30" s="31"/>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5"/>
    </row>
    <row r="31" spans="1:32" x14ac:dyDescent="0.55000000000000004">
      <c r="A31" s="32"/>
      <c r="B31" s="31"/>
      <c r="C31" s="31"/>
      <c r="D31" s="31"/>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5"/>
    </row>
    <row r="32" spans="1:32" x14ac:dyDescent="0.55000000000000004">
      <c r="A32" s="32"/>
      <c r="B32" s="31"/>
      <c r="C32" s="31"/>
      <c r="D32" s="31"/>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5"/>
    </row>
    <row r="33" spans="1:32" x14ac:dyDescent="0.55000000000000004">
      <c r="A33" s="32"/>
      <c r="B33" s="31"/>
      <c r="C33" s="31"/>
      <c r="D33" s="31"/>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5"/>
    </row>
    <row r="34" spans="1:32" ht="14.7" thickBot="1" x14ac:dyDescent="0.6">
      <c r="A34" s="21"/>
      <c r="B34" s="22"/>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4"/>
    </row>
  </sheetData>
  <mergeCells count="15">
    <mergeCell ref="W16:AE18"/>
    <mergeCell ref="Q16:U18"/>
    <mergeCell ref="H16:O20"/>
    <mergeCell ref="A1:AF3"/>
    <mergeCell ref="A4:AF4"/>
    <mergeCell ref="A5:AF5"/>
    <mergeCell ref="A6:B6"/>
    <mergeCell ref="B7:G7"/>
    <mergeCell ref="A10:C10"/>
    <mergeCell ref="D10:F10"/>
    <mergeCell ref="G10:J10"/>
    <mergeCell ref="A9:O9"/>
    <mergeCell ref="M10:P10"/>
    <mergeCell ref="Q10:T10"/>
    <mergeCell ref="A16:F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934A0-2468-4A9A-B47D-A67DA7F2D46F}">
  <sheetPr>
    <tabColor theme="0" tint="-4.9989318521683403E-2"/>
  </sheetPr>
  <dimension ref="A1:AU292"/>
  <sheetViews>
    <sheetView zoomScale="81" zoomScaleNormal="81" workbookViewId="0">
      <selection activeCell="AB4" sqref="AB4"/>
    </sheetView>
  </sheetViews>
  <sheetFormatPr defaultRowHeight="14.4" x14ac:dyDescent="0.55000000000000004"/>
  <cols>
    <col min="1" max="1" width="12.3671875" style="132" bestFit="1" customWidth="1"/>
    <col min="2" max="2" width="7.83984375" style="132" customWidth="1"/>
    <col min="3" max="3" width="7.15625" style="132" customWidth="1"/>
    <col min="4" max="4" width="7.15625" style="132" bestFit="1" customWidth="1"/>
    <col min="5" max="7" width="7.05078125" style="132" customWidth="1"/>
    <col min="8" max="8" width="7.89453125" style="132" customWidth="1"/>
    <col min="9" max="9" width="1.9453125" style="132" customWidth="1"/>
    <col min="10" max="10" width="12.3671875" style="132" bestFit="1" customWidth="1"/>
    <col min="11" max="11" width="6.5234375" style="132" customWidth="1"/>
    <col min="12" max="12" width="7.20703125" style="132" bestFit="1" customWidth="1"/>
    <col min="13" max="13" width="8.734375" style="132" bestFit="1" customWidth="1"/>
    <col min="14" max="15" width="7.20703125" style="132" bestFit="1" customWidth="1"/>
    <col min="16" max="16" width="7" style="132" customWidth="1"/>
    <col min="17" max="17" width="7.15625" style="132" customWidth="1"/>
    <col min="18" max="18" width="2.5234375" style="132" customWidth="1"/>
    <col min="19" max="19" width="13.20703125" style="132" bestFit="1" customWidth="1"/>
    <col min="20" max="20" width="7.05078125" style="132" bestFit="1" customWidth="1"/>
    <col min="21" max="26" width="7.15625" style="132" customWidth="1"/>
    <col min="27" max="27" width="2.47265625" style="132" customWidth="1"/>
    <col min="28" max="28" width="18.20703125" style="132" bestFit="1" customWidth="1"/>
    <col min="29" max="29" width="3.47265625" style="132" customWidth="1"/>
    <col min="30" max="35" width="6.7890625" style="132" customWidth="1"/>
    <col min="36" max="36" width="2.41796875" style="132" customWidth="1"/>
    <col min="37" max="37" width="7.05078125" style="132" bestFit="1" customWidth="1"/>
    <col min="38" max="38" width="4.20703125" style="132" customWidth="1"/>
    <col min="39" max="44" width="7.1015625" style="132" customWidth="1"/>
    <col min="45" max="45" width="4.62890625" style="132" customWidth="1"/>
    <col min="46" max="49" width="8.83984375" style="132"/>
    <col min="50" max="50" width="10.734375" style="132" bestFit="1" customWidth="1"/>
    <col min="51" max="51" width="12.9453125" style="132" bestFit="1" customWidth="1"/>
    <col min="52" max="52" width="8.83984375" style="132"/>
    <col min="53" max="56" width="12.9453125" style="132" customWidth="1"/>
    <col min="57" max="57" width="32.3125" style="132" customWidth="1"/>
    <col min="58" max="58" width="33.9453125" style="132" bestFit="1" customWidth="1"/>
    <col min="59" max="59" width="38.578125" style="132" bestFit="1" customWidth="1"/>
    <col min="60" max="60" width="43" style="132" bestFit="1" customWidth="1"/>
    <col min="61" max="61" width="38.578125" style="132" bestFit="1" customWidth="1"/>
    <col min="62" max="62" width="43" style="132" customWidth="1"/>
    <col min="63" max="64" width="13.62890625" style="132" customWidth="1"/>
    <col min="65" max="16384" width="8.83984375" style="132"/>
  </cols>
  <sheetData>
    <row r="1" spans="1:44" ht="14.4" customHeight="1" x14ac:dyDescent="0.55000000000000004">
      <c r="A1" s="155" t="s">
        <v>51</v>
      </c>
      <c r="B1" s="155"/>
      <c r="C1" s="156">
        <f>VLOOKUP(S1,Table1[],8,FALSE)</f>
        <v>152</v>
      </c>
      <c r="D1" s="157"/>
      <c r="E1" s="158" t="s">
        <v>29</v>
      </c>
      <c r="F1" s="158"/>
      <c r="G1" s="158"/>
      <c r="H1" s="159">
        <f>VLOOKUP(S1,Table1[],5,FALSE)</f>
        <v>59600000</v>
      </c>
      <c r="J1" s="160" t="s">
        <v>27</v>
      </c>
      <c r="K1" s="160"/>
      <c r="L1" s="160"/>
      <c r="M1" s="161">
        <f>VLOOKUP(S1,Table1[],2,FALSE)</f>
        <v>7.6312576312576949E-5</v>
      </c>
      <c r="O1" s="162" t="s">
        <v>144</v>
      </c>
      <c r="P1" s="132" t="s">
        <v>0</v>
      </c>
      <c r="S1" s="163" t="s">
        <v>86</v>
      </c>
      <c r="T1" s="163"/>
      <c r="U1" s="163"/>
      <c r="V1" s="163"/>
      <c r="W1" s="163"/>
      <c r="X1" s="163"/>
      <c r="Y1" s="163" t="s">
        <v>155</v>
      </c>
      <c r="Z1" s="163"/>
      <c r="AB1" s="136" t="str">
        <f>_xlfn.CONCAT("Stripline Parameters (dB/m)")</f>
        <v>Stripline Parameters (dB/m)</v>
      </c>
      <c r="AC1" s="137"/>
      <c r="AD1" s="137"/>
      <c r="AE1" s="137"/>
      <c r="AF1" s="137"/>
      <c r="AG1" s="137"/>
      <c r="AH1" s="137"/>
      <c r="AI1" s="138"/>
      <c r="AK1" s="136" t="str">
        <f>_xlfn.CONCAT("Stripline Parameters and Loss Decomposition vs Temperature")</f>
        <v>Stripline Parameters and Loss Decomposition vs Temperature</v>
      </c>
      <c r="AL1" s="137"/>
      <c r="AM1" s="137"/>
      <c r="AN1" s="137"/>
      <c r="AO1" s="137"/>
      <c r="AP1" s="137"/>
      <c r="AQ1" s="137"/>
      <c r="AR1" s="138"/>
    </row>
    <row r="2" spans="1:44" ht="14.4" customHeight="1" x14ac:dyDescent="0.55000000000000004">
      <c r="A2" s="155" t="s">
        <v>52</v>
      </c>
      <c r="B2" s="155"/>
      <c r="C2" s="156">
        <f>VLOOKUP(S1,Table1[],9,FALSE)</f>
        <v>17</v>
      </c>
      <c r="E2" s="155" t="s">
        <v>31</v>
      </c>
      <c r="F2" s="155"/>
      <c r="G2" s="155"/>
      <c r="H2" s="164">
        <f>VLOOKUP(S1,Table1[],7,FALSE)</f>
        <v>25</v>
      </c>
      <c r="J2" s="160" t="s">
        <v>28</v>
      </c>
      <c r="K2" s="160"/>
      <c r="L2" s="160"/>
      <c r="M2" s="165">
        <f>VLOOKUP(S1,Table1[],3,FALSE)</f>
        <v>3.8095238095238104E-3</v>
      </c>
      <c r="O2" s="166" t="s">
        <v>145</v>
      </c>
      <c r="P2" s="132" t="s">
        <v>1</v>
      </c>
      <c r="S2" s="163"/>
      <c r="T2" s="163"/>
      <c r="U2" s="163"/>
      <c r="V2" s="163"/>
      <c r="W2" s="163"/>
      <c r="X2" s="163"/>
      <c r="Y2" s="163"/>
      <c r="Z2" s="163"/>
      <c r="AB2" s="167" t="s">
        <v>2</v>
      </c>
      <c r="AC2" s="168"/>
      <c r="AD2" s="169">
        <f t="shared" ref="AD2:AI2" si="0">L24</f>
        <v>1</v>
      </c>
      <c r="AE2" s="169">
        <f t="shared" si="0"/>
        <v>2</v>
      </c>
      <c r="AF2" s="169">
        <f t="shared" si="0"/>
        <v>5</v>
      </c>
      <c r="AG2" s="169">
        <f t="shared" si="0"/>
        <v>10</v>
      </c>
      <c r="AH2" s="169">
        <f t="shared" si="0"/>
        <v>15</v>
      </c>
      <c r="AI2" s="170">
        <f t="shared" si="0"/>
        <v>20</v>
      </c>
      <c r="AK2" s="167" t="s">
        <v>2</v>
      </c>
      <c r="AL2" s="168"/>
      <c r="AM2" s="169">
        <f t="shared" ref="AM2:AR2" si="1">L24</f>
        <v>1</v>
      </c>
      <c r="AN2" s="169">
        <f t="shared" si="1"/>
        <v>2</v>
      </c>
      <c r="AO2" s="169">
        <f t="shared" si="1"/>
        <v>5</v>
      </c>
      <c r="AP2" s="169">
        <f t="shared" si="1"/>
        <v>10</v>
      </c>
      <c r="AQ2" s="169">
        <f t="shared" si="1"/>
        <v>15</v>
      </c>
      <c r="AR2" s="170">
        <f t="shared" si="1"/>
        <v>20</v>
      </c>
    </row>
    <row r="3" spans="1:44" ht="14.4" customHeight="1" x14ac:dyDescent="0.55000000000000004">
      <c r="A3" s="160" t="s">
        <v>3</v>
      </c>
      <c r="B3" s="160"/>
      <c r="C3" s="156">
        <f>VLOOKUP(S1,Table1[],11,FALSE)</f>
        <v>100</v>
      </c>
      <c r="D3" s="157"/>
      <c r="E3" s="158" t="s">
        <v>32</v>
      </c>
      <c r="F3" s="158"/>
      <c r="G3" s="158"/>
      <c r="H3" s="156">
        <f>VLOOKUP(Y1,Table2[],2,FALSE)</f>
        <v>0.21710526315789477</v>
      </c>
      <c r="L3" s="171" t="s">
        <v>30</v>
      </c>
      <c r="M3" s="172">
        <f>VLOOKUP(S1,Table1[],4,FALSE)</f>
        <v>4.0400000000000002E-3</v>
      </c>
      <c r="O3" s="159" t="s">
        <v>69</v>
      </c>
      <c r="P3" s="132" t="s">
        <v>146</v>
      </c>
      <c r="S3" s="163"/>
      <c r="T3" s="163"/>
      <c r="U3" s="163"/>
      <c r="V3" s="163"/>
      <c r="W3" s="163"/>
      <c r="X3" s="163"/>
      <c r="Y3" s="163"/>
      <c r="Z3" s="163"/>
      <c r="AB3" s="141" t="s">
        <v>4</v>
      </c>
      <c r="AC3" s="173">
        <f>H2</f>
        <v>25</v>
      </c>
      <c r="AD3" s="135">
        <f>IF(AD$2=0,$C$2,SQRT(1/(($H$1/(1+$M$3*($AC$3-$H$2)))*PI()*(AD$2*1000000000)*0.999991*0.0000004*PI()))*1000000)</f>
        <v>2.0615741316329186</v>
      </c>
      <c r="AE3" s="135">
        <f>IF(AE$2=0,$C$2,SQRT(1/(($H$1/(1+$M$3*($AC$3-$H$2)))*PI()*(AE$2*1000000000)*0.999991*0.0000004*PI()))*1000000)</f>
        <v>1.4577530483964047</v>
      </c>
      <c r="AF3" s="135">
        <f>IF(AF$2=0,$C$2,SQRT(1/(($H$1/(1+$M$3*($AC$3-$H$2)))*PI()*(AF$2*1000000000)*0.999991*0.0000004*PI()))*1000000)</f>
        <v>0.92196397979726119</v>
      </c>
      <c r="AG3" s="135">
        <f>IF(AG$2=0,$C$2,SQRT(1/(($H$1/(1+$M$3*($AC$3-$H$2)))*PI()*(AG$2*1000000000)*0.999991*0.0000004*PI()))*1000000)</f>
        <v>0.65192698212438038</v>
      </c>
      <c r="AH3" s="135">
        <f>IF(AH$2=0,$C$2,SQRT(1/(($H$1/(1+$M$3*($AC$3-$H$2)))*PI()*(AH$2*1000000000)*0.999991*0.0000004*PI()))*1000000)</f>
        <v>0.53229615191908741</v>
      </c>
      <c r="AI3" s="143">
        <f>IF(AI$2=0,$C$2,SQRT(1/(($H$1/(1+$M$3*($AC$3-$H$2)))*PI()*(AI$2*1000000000)*0.999991*0.0000004*PI()))*1000000)</f>
        <v>0.4609819898986306</v>
      </c>
      <c r="AK3" s="141" t="s">
        <v>5</v>
      </c>
      <c r="AL3" s="173">
        <f>AC27</f>
        <v>-40</v>
      </c>
      <c r="AM3" s="135">
        <f>($M$1*($AL$3-$H$2)+1)*AVERAGE(C$46,L$46)</f>
        <v>3.0075844390027657</v>
      </c>
      <c r="AN3" s="135">
        <f>($M$1*($AL$3-$H$2)+1)*AVERAGE(D$46,M$46)</f>
        <v>3.0075844390027657</v>
      </c>
      <c r="AO3" s="135">
        <f>($M$1*($AL$3-$H$2)+1)*AVERAGE(E$46,N$46)</f>
        <v>3.0075844390027657</v>
      </c>
      <c r="AP3" s="135">
        <f>($M$1*($AL$3-$H$2)+1)*AVERAGE(F$46,O$46)</f>
        <v>3.0075844390027657</v>
      </c>
      <c r="AQ3" s="135">
        <f>($M$1*($AL$3-$H$2)+1)*AVERAGE(G$46,P$46)</f>
        <v>3.0075844390027657</v>
      </c>
      <c r="AR3" s="143">
        <f>($M$1*($AL$3-$H$2)+1)*AVERAGE(H$46,Q$46)</f>
        <v>2.9933322244382339</v>
      </c>
    </row>
    <row r="4" spans="1:44" x14ac:dyDescent="0.55000000000000004">
      <c r="A4" s="158" t="s">
        <v>6</v>
      </c>
      <c r="B4" s="158"/>
      <c r="C4" s="156">
        <f>VLOOKUP(S1,Table1[],11,FALSE)</f>
        <v>100</v>
      </c>
      <c r="D4" s="157"/>
      <c r="M4" s="171"/>
      <c r="AB4" s="141" t="s">
        <v>26</v>
      </c>
      <c r="AC4" s="174"/>
      <c r="AD4" s="135">
        <f>0.76*(1/(($H$1/(1+$M$3*($AC$3-$H$2)))*AD3*$C$3*0.000000000001))</f>
        <v>61.854083521356216</v>
      </c>
      <c r="AE4" s="135">
        <f>0.76*(1/(($H$1/(1+$M$3*($AC$3-$H$2)))*AE3*$C$3*0.000000000001))</f>
        <v>87.474883804060099</v>
      </c>
      <c r="AF4" s="135">
        <f>0.76*(1/(($H$1/(1+$M$3*($AC$3-$H$2)))*AF3*$C$3*0.000000000001))</f>
        <v>138.30993543970203</v>
      </c>
      <c r="AG4" s="135">
        <f>0.76*(1/(($H$1/(1+$M$3*($AC$3-$H$2)))*AG3*$C$3*0.000000000001))</f>
        <v>195.59978650977382</v>
      </c>
      <c r="AH4" s="135">
        <f>0.76*(1/(($H$1/(1+$M$3*($AC$3-$H$2)))*AH3*$C$3*0.000000000001))</f>
        <v>239.55983537313517</v>
      </c>
      <c r="AI4" s="143">
        <f>0.76*(1/(($H$1/(1+$M$3*($AC$3-$H$2)))*AI3*$C$3*0.000000000001))</f>
        <v>276.61987087940406</v>
      </c>
      <c r="AK4" s="141" t="s">
        <v>7</v>
      </c>
      <c r="AL4" s="174"/>
      <c r="AM4" s="175">
        <f>($M$2*($AL$3-$H$2)+1)*U$46</f>
        <v>1.3461068475907963E-3</v>
      </c>
      <c r="AN4" s="175">
        <f>($M$2*($AL$3-$H$2)+1)*V$46</f>
        <v>1.3461068475907963E-3</v>
      </c>
      <c r="AO4" s="175">
        <f>($M$2*($AL$3-$H$2)+1)*W$46</f>
        <v>1.3461068475907963E-3</v>
      </c>
      <c r="AP4" s="175">
        <f>($M$2*($AL$3-$H$2)+1)*X$46</f>
        <v>1.3461068475907963E-3</v>
      </c>
      <c r="AQ4" s="175">
        <f>($M$2*($AL$3-$H$2)+1)*Y$46</f>
        <v>1.3461068475907963E-3</v>
      </c>
      <c r="AR4" s="176">
        <f>($M$2*($AL$3-$H$2)+1)*Z$46</f>
        <v>1.3461068475907963E-3</v>
      </c>
    </row>
    <row r="5" spans="1:44" ht="14.4" customHeight="1" thickBot="1" x14ac:dyDescent="0.6">
      <c r="AB5" s="144" t="s">
        <v>25</v>
      </c>
      <c r="AC5" s="177"/>
      <c r="AD5" s="146">
        <f t="shared" ref="AD5:AI5" si="2">2*(60/SQRT(AVERAGE(C$46,L$46))*LN(1.9*(2*$C$1+$C$2)/(0.8*$C$3+$C$2)))*(1-0.347*(EXP(-2.9*($C$4/(2*$C$1+$C$2)))))</f>
        <v>109.06184901652794</v>
      </c>
      <c r="AE5" s="146">
        <f t="shared" si="2"/>
        <v>109.06184901652794</v>
      </c>
      <c r="AF5" s="146">
        <f t="shared" si="2"/>
        <v>109.06184901652794</v>
      </c>
      <c r="AG5" s="146">
        <f t="shared" si="2"/>
        <v>109.06184901652794</v>
      </c>
      <c r="AH5" s="146">
        <f t="shared" si="2"/>
        <v>109.06184901652794</v>
      </c>
      <c r="AI5" s="147">
        <f t="shared" si="2"/>
        <v>109.32117991121919</v>
      </c>
      <c r="AK5" s="141" t="s">
        <v>8</v>
      </c>
      <c r="AL5" s="174"/>
      <c r="AM5" s="135">
        <f>IF(AM$2=0,$C$2,SQRT(1/(($H$1/(1+$M$3*($AC$27-$H$2)))*PI()*(AM$2*1000000000)*0.999991*0.0000004*PI()))*1000000)</f>
        <v>1.7703148922213725</v>
      </c>
      <c r="AN5" s="135">
        <f>IF(AN$2=0,$C$2,SQRT(1/(($H$1/(1+$M$3*($AC$27-$H$2)))*PI()*(AN$2*1000000000)*0.999991*0.0000004*PI()))*1000000)</f>
        <v>1.2518016651252646</v>
      </c>
      <c r="AO5" s="135">
        <f>IF(AO$2=0,$C$2,SQRT(1/(($H$1/(1+$M$3*($AC$27-$H$2)))*PI()*(AO$2*1000000000)*0.999991*0.0000004*PI()))*1000000)</f>
        <v>0.79170888811744067</v>
      </c>
      <c r="AP5" s="135">
        <f>IF(AP$2=0,$C$2,SQRT(1/(($H$1/(1+$M$3*($AC$27-$H$2)))*PI()*(AP$2*1000000000)*0.999991*0.0000004*PI()))*1000000)</f>
        <v>0.55982272351350393</v>
      </c>
      <c r="AQ5" s="135">
        <f>IF(AQ$2=0,$C$2,SQRT(1/(($H$1/(1+$M$3*($AC$27-$H$2)))*PI()*(AQ$2*1000000000)*0.999991*0.0000004*PI()))*1000000)</f>
        <v>0.45709333967442356</v>
      </c>
      <c r="AR5" s="143">
        <f>IF(AR$2=0,$C$2,SQRT(1/(($H$1/(1+$M$3*($AC$27-$H$2)))*PI()*(AR$2*1000000000)*0.999991*0.0000004*PI()))*1000000)</f>
        <v>0.39585444405872033</v>
      </c>
    </row>
    <row r="6" spans="1:44" ht="14.4" customHeight="1" x14ac:dyDescent="0.55000000000000004">
      <c r="A6" s="178" t="s">
        <v>9</v>
      </c>
      <c r="B6" s="178"/>
      <c r="C6" s="178"/>
      <c r="D6" s="178"/>
      <c r="E6" s="178"/>
      <c r="F6" s="178"/>
      <c r="G6" s="178"/>
      <c r="H6" s="178"/>
      <c r="AB6" s="136" t="str">
        <f>_xlfn.CONCAT("Stripline Loss Decomposition at Temp = ",H2,"°C (dB/m)")</f>
        <v>Stripline Loss Decomposition at Temp = 25°C (dB/m)</v>
      </c>
      <c r="AC6" s="137"/>
      <c r="AD6" s="137"/>
      <c r="AE6" s="137"/>
      <c r="AF6" s="137"/>
      <c r="AG6" s="137"/>
      <c r="AH6" s="137"/>
      <c r="AI6" s="138"/>
      <c r="AK6" s="141" t="s">
        <v>20</v>
      </c>
      <c r="AL6" s="174"/>
      <c r="AM6" s="135">
        <f>0.76*(1/(($H$1/(1+$M$3*($AC$27-$H$2)))*AM5*$C$3*0.000000000001))</f>
        <v>53.11533721847222</v>
      </c>
      <c r="AN6" s="135">
        <f>0.76*(1/(($H$1/(1+$M$3*($AC$27-$H$2)))*AN5*$C$3*0.000000000001))</f>
        <v>75.116430264383823</v>
      </c>
      <c r="AO6" s="135">
        <f>0.76*(1/(($H$1/(1+$M$3*($AC$27-$H$2)))*AO5*$C$3*0.000000000001))</f>
        <v>118.76950466832845</v>
      </c>
      <c r="AP6" s="135">
        <f>0.76*(1/(($H$1/(1+$M$3*($AC$27-$H$2)))*AP5*$C$3*0.000000000001))</f>
        <v>167.96544429828472</v>
      </c>
      <c r="AQ6" s="135">
        <f>0.76*(1/(($H$1/(1+$M$3*($AC$27-$H$2)))*AQ5*$C$3*0.000000000001))</f>
        <v>205.71481647533386</v>
      </c>
      <c r="AR6" s="143">
        <f>0.76*(1/(($H$1/(1+$M$3*($AC$27-$H$2)))*AR5*$C$3*0.000000000001))</f>
        <v>237.5390093366569</v>
      </c>
    </row>
    <row r="7" spans="1:44" ht="14.7" thickBot="1" x14ac:dyDescent="0.6">
      <c r="A7" s="179"/>
      <c r="B7" s="179"/>
      <c r="C7" s="179"/>
      <c r="D7" s="179"/>
      <c r="E7" s="179"/>
      <c r="F7" s="179"/>
      <c r="G7" s="179"/>
      <c r="H7" s="179"/>
      <c r="I7" s="134"/>
      <c r="AB7" s="141" t="s">
        <v>23</v>
      </c>
      <c r="AC7" s="174">
        <f>H2</f>
        <v>25</v>
      </c>
      <c r="AD7" s="151">
        <f t="shared" ref="AD7:AI7" si="3">20*LOG(EXP(1))*(2*PI()/(2*0.299795637693216))*SQRT(AVERAGE(C46,L46))*(AD2)*U46</f>
        <v>0.28311920223533704</v>
      </c>
      <c r="AE7" s="151">
        <f t="shared" si="3"/>
        <v>0.56623840447067408</v>
      </c>
      <c r="AF7" s="151">
        <f t="shared" si="3"/>
        <v>1.4155960111766852</v>
      </c>
      <c r="AG7" s="151">
        <f t="shared" si="3"/>
        <v>2.8311920223533704</v>
      </c>
      <c r="AH7" s="151">
        <f t="shared" si="3"/>
        <v>4.2467880335300556</v>
      </c>
      <c r="AI7" s="152">
        <f t="shared" si="3"/>
        <v>5.6489517791421751</v>
      </c>
      <c r="AK7" s="180" t="s">
        <v>10</v>
      </c>
      <c r="AL7" s="181"/>
      <c r="AM7" s="182">
        <f t="shared" ref="AM7:AR7" si="4">2*(60/SQRT(AM$3)*LN(1.9*(2*$C$1+$C$2)/(0.8*$C$3+$C$2)))*(1-0.347*(EXP(-2.9*($C$4/(2*$C$1+$C$2)))))</f>
        <v>109.33335018102096</v>
      </c>
      <c r="AN7" s="182">
        <f t="shared" si="4"/>
        <v>109.33335018102096</v>
      </c>
      <c r="AO7" s="182">
        <f t="shared" si="4"/>
        <v>109.33335018102096</v>
      </c>
      <c r="AP7" s="182">
        <f t="shared" si="4"/>
        <v>109.33335018102096</v>
      </c>
      <c r="AQ7" s="182">
        <f t="shared" si="4"/>
        <v>109.33335018102096</v>
      </c>
      <c r="AR7" s="183">
        <f t="shared" si="4"/>
        <v>109.59332666021798</v>
      </c>
    </row>
    <row r="8" spans="1:44" x14ac:dyDescent="0.55000000000000004">
      <c r="A8" s="136" t="s">
        <v>11</v>
      </c>
      <c r="B8" s="137"/>
      <c r="C8" s="137"/>
      <c r="D8" s="137"/>
      <c r="E8" s="137"/>
      <c r="F8" s="137"/>
      <c r="G8" s="137"/>
      <c r="H8" s="138"/>
      <c r="AB8" s="141" t="s">
        <v>24</v>
      </c>
      <c r="AC8" s="174"/>
      <c r="AD8" s="151">
        <f t="shared" ref="AD8:AI8" si="5">20*LOG(EXP(1))*AD4/(AD5)</f>
        <v>4.9261748996089167</v>
      </c>
      <c r="AE8" s="151">
        <f t="shared" si="5"/>
        <v>6.9666633536488467</v>
      </c>
      <c r="AF8" s="151">
        <f t="shared" si="5"/>
        <v>11.015261944578736</v>
      </c>
      <c r="AG8" s="151">
        <f t="shared" si="5"/>
        <v>15.577932835115481</v>
      </c>
      <c r="AH8" s="151">
        <f t="shared" si="5"/>
        <v>19.078993346690321</v>
      </c>
      <c r="AI8" s="152">
        <f t="shared" si="5"/>
        <v>21.978263243275933</v>
      </c>
      <c r="AK8" s="184" t="s">
        <v>5</v>
      </c>
      <c r="AL8" s="173">
        <f>AC28</f>
        <v>0</v>
      </c>
      <c r="AM8" s="185">
        <f>($M$1*($AL$8-$H$2)+1)*AVERAGE(C$46,L$46)</f>
        <v>3.0168108656888699</v>
      </c>
      <c r="AN8" s="185">
        <f>($M$1*($AL$8-$H$2)+1)*AVERAGE(D$46,M$46)</f>
        <v>3.0168108656888699</v>
      </c>
      <c r="AO8" s="185">
        <f>($M$1*($AL$8-$H$2)+1)*AVERAGE(E$46,N$46)</f>
        <v>3.0168108656888699</v>
      </c>
      <c r="AP8" s="185">
        <f>($M$1*($AL$8-$H$2)+1)*AVERAGE(F$46,O$46)</f>
        <v>3.0168108656888699</v>
      </c>
      <c r="AQ8" s="185">
        <f>($M$1*($AL$8-$H$2)+1)*AVERAGE(G$46,P$46)</f>
        <v>3.0168108656888699</v>
      </c>
      <c r="AR8" s="186">
        <f>($M$1*($AL$8-$H$2)+1)*AVERAGE(H$46,Q$46)</f>
        <v>3.0025149293218547</v>
      </c>
    </row>
    <row r="9" spans="1:44" x14ac:dyDescent="0.55000000000000004">
      <c r="A9" s="187" t="s">
        <v>12</v>
      </c>
      <c r="B9" s="142" t="s">
        <v>13</v>
      </c>
      <c r="C9" s="188">
        <f>VLOOKUP($S$1,Table1[],12,FALSE)</f>
        <v>1</v>
      </c>
      <c r="D9" s="188">
        <f>VLOOKUP($S$1,Table1[],13,FALSE)</f>
        <v>2</v>
      </c>
      <c r="E9" s="188">
        <f>VLOOKUP($S$1,Table1[],14,FALSE)</f>
        <v>5</v>
      </c>
      <c r="F9" s="188">
        <f>VLOOKUP($S$1,Table1[],15,FALSE)</f>
        <v>10</v>
      </c>
      <c r="G9" s="188">
        <f>VLOOKUP($S$1,Table1[],16,FALSE)</f>
        <v>15</v>
      </c>
      <c r="H9" s="189">
        <f>VLOOKUP($S$1,Table1[],17,FALSE)</f>
        <v>20</v>
      </c>
      <c r="AB9" s="141" t="s">
        <v>21</v>
      </c>
      <c r="AC9" s="174"/>
      <c r="AD9" s="151">
        <f t="shared" ref="AD9:AI9" si="6">AD8*(1+(2/PI())*ATAN(1.4*($H$3/AD$3)^2))</f>
        <v>4.9748633421726343</v>
      </c>
      <c r="AE9" s="151">
        <f t="shared" si="6"/>
        <v>7.1043418885372169</v>
      </c>
      <c r="AF9" s="151">
        <f t="shared" si="6"/>
        <v>11.558569313656125</v>
      </c>
      <c r="AG9" s="151">
        <f t="shared" si="6"/>
        <v>17.105523058077669</v>
      </c>
      <c r="AH9" s="151">
        <f t="shared" si="6"/>
        <v>21.858221425886313</v>
      </c>
      <c r="AI9" s="152">
        <f t="shared" si="6"/>
        <v>26.191016208761344</v>
      </c>
      <c r="AK9" s="141" t="s">
        <v>7</v>
      </c>
      <c r="AL9" s="174"/>
      <c r="AM9" s="175">
        <f>($M$2*($AL$8-$H$2)+1)*U$46</f>
        <v>1.6187360825458943E-3</v>
      </c>
      <c r="AN9" s="175">
        <f>($M$2*($AL$8-$H$2)+1)*V$46</f>
        <v>1.6187360825458943E-3</v>
      </c>
      <c r="AO9" s="175">
        <f>($M$2*($AL$8-$H$2)+1)*W$46</f>
        <v>1.6187360825458943E-3</v>
      </c>
      <c r="AP9" s="175">
        <f>($M$2*($AL$8-$H$2)+1)*X$46</f>
        <v>1.6187360825458943E-3</v>
      </c>
      <c r="AQ9" s="175">
        <f>($M$2*($AL$8-$H$2)+1)*Y$46</f>
        <v>1.6187360825458943E-3</v>
      </c>
      <c r="AR9" s="176">
        <f>($M$2*($AL$8-$H$2)+1)*Z$46</f>
        <v>1.6187360825458943E-3</v>
      </c>
    </row>
    <row r="10" spans="1:44" ht="14.7" thickBot="1" x14ac:dyDescent="0.6">
      <c r="A10" s="190">
        <f>VLOOKUP($S$1,Table1[],18,FALSE)</f>
        <v>127</v>
      </c>
      <c r="B10" s="191">
        <f>VLOOKUP($S$1,Table1[],21,FALSE)</f>
        <v>0.6</v>
      </c>
      <c r="C10" s="192">
        <f>VLOOKUP($S$1,Table1[],24,FALSE)</f>
        <v>3.19</v>
      </c>
      <c r="D10" s="192">
        <f>VLOOKUP($S$1,Table1[],25,FALSE)</f>
        <v>3.19</v>
      </c>
      <c r="E10" s="192">
        <f>VLOOKUP($S$1,Table1[],26,FALSE)</f>
        <v>3.19</v>
      </c>
      <c r="F10" s="192">
        <f>VLOOKUP($S$1,Table1[],27,FALSE)</f>
        <v>3.19</v>
      </c>
      <c r="G10" s="192">
        <f>VLOOKUP($S$1,Table1[],28,FALSE)</f>
        <v>3.19</v>
      </c>
      <c r="H10" s="193">
        <f>VLOOKUP($S$1,Table1[],29,FALSE)</f>
        <v>3.19</v>
      </c>
      <c r="AB10" s="144" t="s">
        <v>22</v>
      </c>
      <c r="AC10" s="177"/>
      <c r="AD10" s="146">
        <f t="shared" ref="AD10:AI10" si="7">AD9+AD7</f>
        <v>5.2579825444079713</v>
      </c>
      <c r="AE10" s="146">
        <f t="shared" si="7"/>
        <v>7.670580293007891</v>
      </c>
      <c r="AF10" s="146">
        <f t="shared" si="7"/>
        <v>12.974165324832811</v>
      </c>
      <c r="AG10" s="146">
        <f t="shared" si="7"/>
        <v>19.936715080431039</v>
      </c>
      <c r="AH10" s="146">
        <f t="shared" si="7"/>
        <v>26.105009459416369</v>
      </c>
      <c r="AI10" s="147">
        <f t="shared" si="7"/>
        <v>31.83996798790352</v>
      </c>
      <c r="AK10" s="141" t="s">
        <v>8</v>
      </c>
      <c r="AL10" s="174"/>
      <c r="AM10" s="135">
        <f>IF(AM$2=0,$C$2,SQRT(1/(($H$1/(1+$M$3*($AC$28-$H$2)))*PI()*(AM$2*1000000000)*0.999991*0.0000004*PI()))*1000000)</f>
        <v>1.9546940994170934</v>
      </c>
      <c r="AN10" s="135">
        <f>IF(AN$2=0,$C$2,SQRT(1/(($H$1/(1+$M$3*($AC$28-$H$2)))*PI()*(AN$2*1000000000)*0.999991*0.0000004*PI()))*1000000)</f>
        <v>1.3821774528431583</v>
      </c>
      <c r="AO10" s="135">
        <f>IF(AO$2=0,$C$2,SQRT(1/(($H$1/(1+$M$3*($AC$28-$H$2)))*PI()*(AO$2*1000000000)*0.999991*0.0000004*PI()))*1000000)</f>
        <v>0.87416577630287073</v>
      </c>
      <c r="AP10" s="135">
        <f>IF(AP$2=0,$C$2,SQRT(1/(($H$1/(1+$M$3*($AC$28-$H$2)))*PI()*(AP$2*1000000000)*0.999991*0.0000004*PI()))*1000000)</f>
        <v>0.61812854830496244</v>
      </c>
      <c r="AQ10" s="135">
        <f>IF(AQ$2=0,$C$2,SQRT(1/(($H$1/(1+$M$3*($AC$28-$H$2)))*PI()*(AQ$2*1000000000)*0.999991*0.0000004*PI()))*1000000)</f>
        <v>0.50469984626482056</v>
      </c>
      <c r="AR10" s="143">
        <f>IF(AR$2=0,$C$2,SQRT(1/(($H$1/(1+$M$3*($AC$28-$H$2)))*PI()*(AR$2*1000000000)*0.999991*0.0000004*PI()))*1000000)</f>
        <v>0.43708288815143537</v>
      </c>
    </row>
    <row r="11" spans="1:44" x14ac:dyDescent="0.55000000000000004">
      <c r="A11" s="190">
        <f>VLOOKUP($S$1,Table1[],19,FALSE)</f>
        <v>139.69999999999999</v>
      </c>
      <c r="B11" s="191">
        <f>VLOOKUP($S$1,Table1[],22,FALSE)</f>
        <v>0.63</v>
      </c>
      <c r="C11" s="192">
        <f>VLOOKUP($S$1,Table1[],30,FALSE)</f>
        <v>3.15</v>
      </c>
      <c r="D11" s="192">
        <f>VLOOKUP($S$1,Table1[],31,FALSE)</f>
        <v>3.15</v>
      </c>
      <c r="E11" s="192">
        <f>VLOOKUP($S$1,Table1[],32,FALSE)</f>
        <v>3.15</v>
      </c>
      <c r="F11" s="192">
        <f>VLOOKUP($S$1,Table1[],33,FALSE)</f>
        <v>3.15</v>
      </c>
      <c r="G11" s="192">
        <f>VLOOKUP($S$1,Table1[],34,FALSE)</f>
        <v>3.15</v>
      </c>
      <c r="H11" s="193">
        <f>VLOOKUP($S$1,Table1[],35,FALSE)</f>
        <v>3.15</v>
      </c>
      <c r="AK11" s="141" t="s">
        <v>20</v>
      </c>
      <c r="AL11" s="174"/>
      <c r="AM11" s="135">
        <f>0.76*(1/(($H$1/(1+$M$3*($AC$28-$H$2)))*AM10*$C$3*0.000000000001))</f>
        <v>58.647326927933825</v>
      </c>
      <c r="AN11" s="135">
        <f>0.76*(1/(($H$1/(1+$M$3*($AC$28-$H$2)))*AN10*$C$3*0.000000000001))</f>
        <v>82.939845138412835</v>
      </c>
      <c r="AO11" s="135">
        <f>0.76*(1/(($H$1/(1+$M$3*($AC$28-$H$2)))*AO10*$C$3*0.000000000001))</f>
        <v>131.13940970951393</v>
      </c>
      <c r="AP11" s="135">
        <f>0.76*(1/(($H$1/(1+$M$3*($AC$28-$H$2)))*AP10*$C$3*0.000000000001))</f>
        <v>185.45913177279652</v>
      </c>
      <c r="AQ11" s="135">
        <f>0.76*(1/(($H$1/(1+$M$3*($AC$28-$H$2)))*AQ10*$C$3*0.000000000001))</f>
        <v>227.14012049146945</v>
      </c>
      <c r="AR11" s="143">
        <f>0.76*(1/(($H$1/(1+$M$3*($AC$28-$H$2)))*AR10*$C$3*0.000000000001))</f>
        <v>262.27881941902785</v>
      </c>
    </row>
    <row r="12" spans="1:44" ht="14.7" thickBot="1" x14ac:dyDescent="0.6">
      <c r="A12" s="194">
        <f>VLOOKUP($S$1,Table1[],20,FALSE)</f>
        <v>177.8</v>
      </c>
      <c r="B12" s="195">
        <f>VLOOKUP($S$1,Table1[],23,FALSE)</f>
        <v>0.70499999999999996</v>
      </c>
      <c r="C12" s="196">
        <f>VLOOKUP($S$1,Table1[],36,FALSE)</f>
        <v>3.02</v>
      </c>
      <c r="D12" s="196">
        <f>VLOOKUP($S$1,Table1[],37,FALSE)</f>
        <v>3.02</v>
      </c>
      <c r="E12" s="196">
        <f>VLOOKUP($S$1,Table1[],38,FALSE)</f>
        <v>3.02</v>
      </c>
      <c r="F12" s="196">
        <f>VLOOKUP($S$1,Table1[],39,FALSE)</f>
        <v>3.02</v>
      </c>
      <c r="G12" s="196">
        <f>VLOOKUP($S$1,Table1[],40,FALSE)</f>
        <v>3.02</v>
      </c>
      <c r="H12" s="197">
        <f>VLOOKUP($S$1,Table1[],41,FALSE)</f>
        <v>3.01</v>
      </c>
      <c r="AK12" s="180" t="s">
        <v>10</v>
      </c>
      <c r="AL12" s="181"/>
      <c r="AM12" s="182">
        <f t="shared" ref="AM12:AR12" si="8">2*(60/SQRT(AM$8)*LN(1.9*(2*$C$1+$C$2)/(0.8*$C$3+$C$2)))*(1-0.347*(EXP(-2.9*($C$4/(2*$C$1+$C$2)))))</f>
        <v>109.16603299647268</v>
      </c>
      <c r="AN12" s="182">
        <f t="shared" si="8"/>
        <v>109.16603299647268</v>
      </c>
      <c r="AO12" s="182">
        <f t="shared" si="8"/>
        <v>109.16603299647268</v>
      </c>
      <c r="AP12" s="182">
        <f t="shared" si="8"/>
        <v>109.16603299647268</v>
      </c>
      <c r="AQ12" s="182">
        <f t="shared" si="8"/>
        <v>109.16603299647268</v>
      </c>
      <c r="AR12" s="183">
        <f t="shared" si="8"/>
        <v>109.42561162329915</v>
      </c>
    </row>
    <row r="13" spans="1:44" ht="14.7" thickBot="1" x14ac:dyDescent="0.6">
      <c r="AK13" s="184" t="s">
        <v>5</v>
      </c>
      <c r="AL13" s="173">
        <f>AC29</f>
        <v>25</v>
      </c>
      <c r="AM13" s="185">
        <f>($M$1*($AL$13-$H$2)+1)*AVERAGE(C$46,L$46)</f>
        <v>3.0225773823676851</v>
      </c>
      <c r="AN13" s="185">
        <f>($M$1*($AL$13-$H$2)+1)*AVERAGE(D$46,M$46)</f>
        <v>3.0225773823676851</v>
      </c>
      <c r="AO13" s="185">
        <f>($M$1*($AL$13-$H$2)+1)*AVERAGE(E$46,N$46)</f>
        <v>3.0225773823676851</v>
      </c>
      <c r="AP13" s="185">
        <f>($M$1*($AL$13-$H$2)+1)*AVERAGE(F$46,O$46)</f>
        <v>3.0225773823676851</v>
      </c>
      <c r="AQ13" s="185">
        <f>($M$1*($AL$13-$H$2)+1)*AVERAGE(G$46,P$46)</f>
        <v>3.0225773823676851</v>
      </c>
      <c r="AR13" s="186">
        <f>($M$1*($AL$13-$H$2)+1)*AVERAGE(H$46,Q$46)</f>
        <v>3.0082541198741177</v>
      </c>
    </row>
    <row r="14" spans="1:44" x14ac:dyDescent="0.55000000000000004">
      <c r="A14" s="136" t="s">
        <v>14</v>
      </c>
      <c r="B14" s="137"/>
      <c r="C14" s="137"/>
      <c r="D14" s="137"/>
      <c r="E14" s="137"/>
      <c r="F14" s="137"/>
      <c r="G14" s="137"/>
      <c r="H14" s="138"/>
      <c r="AK14" s="141" t="s">
        <v>7</v>
      </c>
      <c r="AL14" s="174"/>
      <c r="AM14" s="175">
        <f>($M$2*($AL$13-$H$2)+1)*U$46</f>
        <v>1.7891293543928306E-3</v>
      </c>
      <c r="AN14" s="175">
        <f>($M$2*($AL$13-$H$2)+1)*V$46</f>
        <v>1.7891293543928306E-3</v>
      </c>
      <c r="AO14" s="175">
        <f>($M$2*($AL$13-$H$2)+1)*W$46</f>
        <v>1.7891293543928306E-3</v>
      </c>
      <c r="AP14" s="175">
        <f>($M$2*($AL$13-$H$2)+1)*X$46</f>
        <v>1.7891293543928306E-3</v>
      </c>
      <c r="AQ14" s="175">
        <f>($M$2*($AL$13-$H$2)+1)*Y$46</f>
        <v>1.7891293543928306E-3</v>
      </c>
      <c r="AR14" s="176">
        <f>($M$2*($AL$13-$H$2)+1)*Z$46</f>
        <v>1.7891293543928306E-3</v>
      </c>
    </row>
    <row r="15" spans="1:44" x14ac:dyDescent="0.55000000000000004">
      <c r="A15" s="187" t="s">
        <v>12</v>
      </c>
      <c r="B15" s="142" t="s">
        <v>13</v>
      </c>
      <c r="C15" s="188">
        <f>VLOOKUP($S$1,Table1[],12,FALSE)</f>
        <v>1</v>
      </c>
      <c r="D15" s="188">
        <f>VLOOKUP($S$1,Table1[],13,FALSE)</f>
        <v>2</v>
      </c>
      <c r="E15" s="188">
        <f>VLOOKUP($S$1,Table1[],14,FALSE)</f>
        <v>5</v>
      </c>
      <c r="F15" s="188">
        <f>VLOOKUP($S$1,Table1[],15,FALSE)</f>
        <v>10</v>
      </c>
      <c r="G15" s="188">
        <f>VLOOKUP($S$1,Table1[],16,FALSE)</f>
        <v>15</v>
      </c>
      <c r="H15" s="189">
        <f>VLOOKUP($S$1,Table1[],17,FALSE)</f>
        <v>20</v>
      </c>
      <c r="AK15" s="141" t="s">
        <v>8</v>
      </c>
      <c r="AL15" s="174"/>
      <c r="AM15" s="135">
        <f>IF(AM$2=0,$C$2,SQRT(1/(($H$1/(1+$M$3*($AC$29-$H$2)))*PI()*(AM$2*1000000000)*0.999991*0.0000004*PI()))*1000000)</f>
        <v>2.0615741316329186</v>
      </c>
      <c r="AN15" s="135">
        <f>IF(AN$2=0,$C$2,SQRT(1/(($H$1/(1+$M$3*($AC$29-$H$2)))*PI()*(AN$2*1000000000)*0.999991*0.0000004*PI()))*1000000)</f>
        <v>1.4577530483964047</v>
      </c>
      <c r="AO15" s="135">
        <f>IF(AO$2=0,$C$2,SQRT(1/(($H$1/(1+$M$3*($AC$29-$H$2)))*PI()*(AO$2*1000000000)*0.999991*0.0000004*PI()))*1000000)</f>
        <v>0.92196397979726119</v>
      </c>
      <c r="AP15" s="135">
        <f>IF(AP$2=0,$C$2,SQRT(1/(($H$1/(1+$M$3*($AC$29-$H$2)))*PI()*(AP$2*1000000000)*0.999991*0.0000004*PI()))*1000000)</f>
        <v>0.65192698212438038</v>
      </c>
      <c r="AQ15" s="135">
        <f>IF(AQ$2=0,$C$2,SQRT(1/(($H$1/(1+$M$3*($AC$29-$H$2)))*PI()*(AQ$2*1000000000)*0.999991*0.0000004*PI()))*1000000)</f>
        <v>0.53229615191908741</v>
      </c>
      <c r="AR15" s="143">
        <f>IF(AR$2=0,$C$2,SQRT(1/(($H$1/(1+$M$3*($AC$29-$H$2)))*PI()*(AR$2*1000000000)*0.999991*0.0000004*PI()))*1000000)</f>
        <v>0.4609819898986306</v>
      </c>
    </row>
    <row r="16" spans="1:44" x14ac:dyDescent="0.55000000000000004">
      <c r="A16" s="190">
        <f>VLOOKUP($S$1,Table1[],18,FALSE)</f>
        <v>127</v>
      </c>
      <c r="B16" s="191">
        <f>VLOOKUP($S$1,Table1[],21,FALSE)</f>
        <v>0.6</v>
      </c>
      <c r="C16" s="198">
        <f>VLOOKUP($S$1,Table1[],42,FALSE)</f>
        <v>2.0999999999999999E-3</v>
      </c>
      <c r="D16" s="198">
        <f>VLOOKUP($S$1,Table1[],43,FALSE)</f>
        <v>2.0999999999999999E-3</v>
      </c>
      <c r="E16" s="198">
        <f>VLOOKUP($S$1,Table1[],44,FALSE)</f>
        <v>2.0999999999999999E-3</v>
      </c>
      <c r="F16" s="198">
        <f>VLOOKUP($S$1,Table1[],45,FALSE)</f>
        <v>2.0999999999999999E-3</v>
      </c>
      <c r="G16" s="198">
        <f>VLOOKUP($S$1,Table1[],46,FALSE)</f>
        <v>2.0999999999999999E-3</v>
      </c>
      <c r="H16" s="199">
        <f>VLOOKUP($S$1,Table1[],47,FALSE)</f>
        <v>2.0999999999999999E-3</v>
      </c>
      <c r="AK16" s="141" t="s">
        <v>20</v>
      </c>
      <c r="AL16" s="174"/>
      <c r="AM16" s="135">
        <f>0.76*(1/(($H$1/(1+$M$3*($AC$29-$H$2)))*AM15*$C$3*0.000000000001))</f>
        <v>61.854083521356216</v>
      </c>
      <c r="AN16" s="135">
        <f>0.76*(1/(($H$1/(1+$M$3*($AC$29-$H$2)))*AN15*$C$3*0.000000000001))</f>
        <v>87.474883804060099</v>
      </c>
      <c r="AO16" s="135">
        <f>0.76*(1/(($H$1/(1+$M$3*($AC$29-$H$2)))*AO15*$C$3*0.000000000001))</f>
        <v>138.30993543970203</v>
      </c>
      <c r="AP16" s="135">
        <f>0.76*(1/(($H$1/(1+$M$3*($AC$29-$H$2)))*AP15*$C$3*0.000000000001))</f>
        <v>195.59978650977382</v>
      </c>
      <c r="AQ16" s="135">
        <f>0.76*(1/(($H$1/(1+$M$3*($AC$29-$H$2)))*AQ15*$C$3*0.000000000001))</f>
        <v>239.55983537313517</v>
      </c>
      <c r="AR16" s="143">
        <f>0.76*(1/(($H$1/(1+$M$3*($AC$29-$H$2)))*AR15*$C$3*0.000000000001))</f>
        <v>276.61987087940406</v>
      </c>
    </row>
    <row r="17" spans="1:44" x14ac:dyDescent="0.55000000000000004">
      <c r="A17" s="190">
        <f>VLOOKUP($S$1,Table1[],19,FALSE)</f>
        <v>139.69999999999999</v>
      </c>
      <c r="B17" s="191">
        <f>VLOOKUP($S$1,Table1[],22,FALSE)</f>
        <v>0.63</v>
      </c>
      <c r="C17" s="198">
        <f>VLOOKUP($S$1,Table1[],48,FALSE)</f>
        <v>1.9E-3</v>
      </c>
      <c r="D17" s="198">
        <f>VLOOKUP($S$1,Table1[],49,FALSE)</f>
        <v>1.9E-3</v>
      </c>
      <c r="E17" s="198">
        <f>VLOOKUP($S$1,Table1[],50,FALSE)</f>
        <v>1.9E-3</v>
      </c>
      <c r="F17" s="198">
        <f>VLOOKUP($S$1,Table1[],51,FALSE)</f>
        <v>1.9E-3</v>
      </c>
      <c r="G17" s="198">
        <f>VLOOKUP($S$1,Table1[],52,FALSE)</f>
        <v>1.9E-3</v>
      </c>
      <c r="H17" s="199">
        <f>VLOOKUP($S$1,Table1[],53,FALSE)</f>
        <v>1.9E-3</v>
      </c>
      <c r="AK17" s="180" t="s">
        <v>10</v>
      </c>
      <c r="AL17" s="181"/>
      <c r="AM17" s="182">
        <f t="shared" ref="AM17:AR17" si="9">2*(60/SQRT(AM$13)*LN(1.9*(2*$C$1+$C$2)/(0.8*$C$3+$C$2)))*(1-0.347*(EXP(-2.9*($C$4/(2*$C$1+$C$2)))))</f>
        <v>109.06184901652794</v>
      </c>
      <c r="AN17" s="182">
        <f t="shared" si="9"/>
        <v>109.06184901652794</v>
      </c>
      <c r="AO17" s="182">
        <f t="shared" si="9"/>
        <v>109.06184901652794</v>
      </c>
      <c r="AP17" s="182">
        <f t="shared" si="9"/>
        <v>109.06184901652794</v>
      </c>
      <c r="AQ17" s="182">
        <f t="shared" si="9"/>
        <v>109.06184901652794</v>
      </c>
      <c r="AR17" s="183">
        <f t="shared" si="9"/>
        <v>109.32117991121919</v>
      </c>
    </row>
    <row r="18" spans="1:44" ht="14.7" thickBot="1" x14ac:dyDescent="0.6">
      <c r="A18" s="194">
        <f>VLOOKUP($S$1,Table1[],20,FALSE)</f>
        <v>177.8</v>
      </c>
      <c r="B18" s="195">
        <f>VLOOKUP($S$1,Table1[],23,FALSE)</f>
        <v>0.70499999999999996</v>
      </c>
      <c r="C18" s="200">
        <f>VLOOKUP($S$1,Table1[],54,FALSE)</f>
        <v>1.5E-3</v>
      </c>
      <c r="D18" s="200">
        <f>VLOOKUP($S$1,Table1[],55,FALSE)</f>
        <v>1.5E-3</v>
      </c>
      <c r="E18" s="200">
        <f>VLOOKUP($S$1,Table1[],56,FALSE)</f>
        <v>1.5E-3</v>
      </c>
      <c r="F18" s="200">
        <f>VLOOKUP($S$1,Table1[],57,FALSE)</f>
        <v>1.5E-3</v>
      </c>
      <c r="G18" s="200">
        <f>VLOOKUP($S$1,Table1[],58,FALSE)</f>
        <v>1.5E-3</v>
      </c>
      <c r="H18" s="201">
        <f>VLOOKUP($S$1,Table1[],59,FALSE)</f>
        <v>1.5E-3</v>
      </c>
      <c r="AK18" s="141" t="s">
        <v>5</v>
      </c>
      <c r="AL18" s="174">
        <f>AC30</f>
        <v>90</v>
      </c>
      <c r="AM18" s="135">
        <f>($M$1*($AL$18-$H$2)+1)*AVERAGE(C$46,L$46)</f>
        <v>3.0375703257326041</v>
      </c>
      <c r="AN18" s="135">
        <f>($M$1*($AL$18-$H$2)+1)*AVERAGE(D$46,M$46)</f>
        <v>3.0375703257326041</v>
      </c>
      <c r="AO18" s="135">
        <f>($M$1*($AL$18-$H$2)+1)*AVERAGE(E$46,N$46)</f>
        <v>3.0375703257326041</v>
      </c>
      <c r="AP18" s="135">
        <f>($M$1*($AL$18-$H$2)+1)*AVERAGE(F$46,O$46)</f>
        <v>3.0375703257326041</v>
      </c>
      <c r="AQ18" s="135">
        <f>($M$1*($AL$18-$H$2)+1)*AVERAGE(G$46,P$46)</f>
        <v>3.0375703257326041</v>
      </c>
      <c r="AR18" s="143">
        <f>($M$1*($AL$18-$H$2)+1)*AVERAGE(H$46,Q$46)</f>
        <v>3.0231760153100011</v>
      </c>
    </row>
    <row r="19" spans="1:44" ht="14.7" thickBot="1" x14ac:dyDescent="0.6">
      <c r="AK19" s="141" t="s">
        <v>7</v>
      </c>
      <c r="AL19" s="174"/>
      <c r="AM19" s="175">
        <f>($M$2*($AL$18-$H$2)+1)*U$46</f>
        <v>2.2321518611948649E-3</v>
      </c>
      <c r="AN19" s="175">
        <f>($M$2*($AL$18-$H$2)+1)*V$46</f>
        <v>2.2321518611948649E-3</v>
      </c>
      <c r="AO19" s="175">
        <f>($M$2*($AL$18-$H$2)+1)*W$46</f>
        <v>2.2321518611948649E-3</v>
      </c>
      <c r="AP19" s="175">
        <f>($M$2*($AL$18-$H$2)+1)*X$46</f>
        <v>2.2321518611948649E-3</v>
      </c>
      <c r="AQ19" s="175">
        <f>($M$2*($AL$18-$H$2)+1)*Y$46</f>
        <v>2.2321518611948649E-3</v>
      </c>
      <c r="AR19" s="176">
        <f>($M$2*($AL$18-$H$2)+1)*Z$46</f>
        <v>2.2321518611948649E-3</v>
      </c>
    </row>
    <row r="20" spans="1:44" x14ac:dyDescent="0.55000000000000004">
      <c r="A20" s="202" t="s">
        <v>15</v>
      </c>
      <c r="B20" s="203"/>
      <c r="C20" s="128">
        <f t="shared" ref="C20:H20" si="10">INTERCEPT(C10:C12,$B10:$B12)</f>
        <v>4.178461538461538</v>
      </c>
      <c r="D20" s="128">
        <f t="shared" si="10"/>
        <v>4.178461538461538</v>
      </c>
      <c r="E20" s="128">
        <f t="shared" si="10"/>
        <v>4.178461538461538</v>
      </c>
      <c r="F20" s="128">
        <f t="shared" si="10"/>
        <v>4.178461538461538</v>
      </c>
      <c r="G20" s="128">
        <f t="shared" si="10"/>
        <v>4.178461538461538</v>
      </c>
      <c r="H20" s="129">
        <f t="shared" si="10"/>
        <v>4.2412820512820524</v>
      </c>
      <c r="S20" s="202" t="s">
        <v>61</v>
      </c>
      <c r="T20" s="203"/>
      <c r="U20" s="204">
        <f t="shared" ref="U20:Z20" si="11">INTERCEPT(C16:C18,$B16:$B18)</f>
        <v>5.4717948717948718E-3</v>
      </c>
      <c r="V20" s="204">
        <f t="shared" si="11"/>
        <v>5.4717948717948718E-3</v>
      </c>
      <c r="W20" s="204">
        <f t="shared" si="11"/>
        <v>5.4717948717948718E-3</v>
      </c>
      <c r="X20" s="204">
        <f t="shared" si="11"/>
        <v>5.4717948717948718E-3</v>
      </c>
      <c r="Y20" s="204">
        <f t="shared" si="11"/>
        <v>5.4717948717948718E-3</v>
      </c>
      <c r="Z20" s="205">
        <f t="shared" si="11"/>
        <v>5.4717948717948718E-3</v>
      </c>
      <c r="AJ20" s="206"/>
      <c r="AK20" s="141" t="s">
        <v>8</v>
      </c>
      <c r="AL20" s="174"/>
      <c r="AM20" s="135">
        <f>IF(AM$2=0,$C$2,SQRT(1/(($H$1/(1+$M$3*($AC$30-$H$2)))*PI()*(AM$2*1000000000)*0.999991*0.0000004*PI()))*1000000)</f>
        <v>2.3164975680572764</v>
      </c>
      <c r="AN20" s="135">
        <f>IF(AN$2=0,$C$2,SQRT(1/(($H$1/(1+$M$3*($AC$30-$H$2)))*PI()*(AN$2*1000000000)*0.999991*0.0000004*PI()))*1000000)</f>
        <v>1.6380111389754459</v>
      </c>
      <c r="AO20" s="135">
        <f>IF(AO$2=0,$C$2,SQRT(1/(($H$1/(1+$M$3*($AC$30-$H$2)))*PI()*(AO$2*1000000000)*0.999991*0.0000004*PI()))*1000000)</f>
        <v>1.035969206377803</v>
      </c>
      <c r="AP20" s="135">
        <f>IF(AP$2=0,$C$2,SQRT(1/(($H$1/(1+$M$3*($AC$30-$H$2)))*PI()*(AP$2*1000000000)*0.999991*0.0000004*PI()))*1000000)</f>
        <v>0.73254085093019039</v>
      </c>
      <c r="AQ20" s="135">
        <f>IF(AQ$2=0,$C$2,SQRT(1/(($H$1/(1+$M$3*($AC$30-$H$2)))*PI()*(AQ$2*1000000000)*0.999991*0.0000004*PI()))*1000000)</f>
        <v>0.59811710017438746</v>
      </c>
      <c r="AR20" s="143">
        <f>IF(AR$2=0,$C$2,SQRT(1/(($H$1/(1+$M$3*($AC$30-$H$2)))*PI()*(AR$2*1000000000)*0.999991*0.0000004*PI()))*1000000)</f>
        <v>0.51798460318890149</v>
      </c>
    </row>
    <row r="21" spans="1:44" ht="14.7" thickBot="1" x14ac:dyDescent="0.6">
      <c r="A21" s="207" t="s">
        <v>16</v>
      </c>
      <c r="B21" s="208"/>
      <c r="C21" s="130">
        <f t="shared" ref="C21:H21" si="12">SLOPE(C10:C12,$B10:$B12)*100%+C20</f>
        <v>2.5374358974358975</v>
      </c>
      <c r="D21" s="130">
        <f t="shared" si="12"/>
        <v>2.5374358974358975</v>
      </c>
      <c r="E21" s="130">
        <f t="shared" si="12"/>
        <v>2.5374358974358975</v>
      </c>
      <c r="F21" s="130">
        <f t="shared" si="12"/>
        <v>2.5374358974358975</v>
      </c>
      <c r="G21" s="130">
        <f t="shared" si="12"/>
        <v>2.5374358974358975</v>
      </c>
      <c r="H21" s="131">
        <f t="shared" si="12"/>
        <v>2.497692307692307</v>
      </c>
      <c r="S21" s="207" t="s">
        <v>62</v>
      </c>
      <c r="T21" s="208"/>
      <c r="U21" s="209">
        <f t="shared" ref="U21:Z21" si="13">SLOPE(C16:C18,$B16:$B18)*100%+U20</f>
        <v>-1.6923076923076961E-4</v>
      </c>
      <c r="V21" s="209">
        <f t="shared" si="13"/>
        <v>-1.6923076923076961E-4</v>
      </c>
      <c r="W21" s="209">
        <f t="shared" si="13"/>
        <v>-1.6923076923076961E-4</v>
      </c>
      <c r="X21" s="209">
        <f t="shared" si="13"/>
        <v>-1.6923076923076961E-4</v>
      </c>
      <c r="Y21" s="209">
        <f t="shared" si="13"/>
        <v>-1.6923076923076961E-4</v>
      </c>
      <c r="Z21" s="210">
        <f t="shared" si="13"/>
        <v>-1.6923076923076961E-4</v>
      </c>
      <c r="AK21" s="141" t="s">
        <v>20</v>
      </c>
      <c r="AL21" s="174"/>
      <c r="AM21" s="135">
        <f>0.76*(1/(($H$1/(1+$M$3*($AC$30-$H$2)))*AM20*$C$3*0.000000000001))</f>
        <v>69.502634832801832</v>
      </c>
      <c r="AN21" s="135">
        <f>0.76*(1/(($H$1/(1+$M$3*($AC$30-$H$2)))*AN20*$C$3*0.000000000001))</f>
        <v>98.291568801213018</v>
      </c>
      <c r="AO21" s="135">
        <f>0.76*(1/(($H$1/(1+$M$3*($AC$30-$H$2)))*AO20*$C$3*0.000000000001))</f>
        <v>155.41261610148965</v>
      </c>
      <c r="AP21" s="135">
        <f>0.76*(1/(($H$1/(1+$M$3*($AC$30-$H$2)))*AP20*$C$3*0.000000000001))</f>
        <v>219.78662945460988</v>
      </c>
      <c r="AQ21" s="135">
        <f>0.76*(1/(($H$1/(1+$M$3*($AC$30-$H$2)))*AQ20*$C$3*0.000000000001))</f>
        <v>269.18254722497704</v>
      </c>
      <c r="AR21" s="143">
        <f>0.76*(1/(($H$1/(1+$M$3*($AC$30-$H$2)))*AR20*$C$3*0.000000000001))</f>
        <v>310.82523220297929</v>
      </c>
    </row>
    <row r="22" spans="1:44" ht="14.7" thickBot="1" x14ac:dyDescent="0.6">
      <c r="AK22" s="144" t="s">
        <v>10</v>
      </c>
      <c r="AL22" s="177"/>
      <c r="AM22" s="211">
        <f t="shared" ref="AM22:AR22" si="14">2*(60/SQRT(AM$18)*LN(1.9*(2*$C$1+$C$2)/(0.8*$C$3+$C$2)))*(1-0.347*(EXP(-2.9*($C$4/(2*$C$1+$C$2)))))</f>
        <v>108.79236046773384</v>
      </c>
      <c r="AN22" s="211">
        <f t="shared" si="14"/>
        <v>108.79236046773384</v>
      </c>
      <c r="AO22" s="211">
        <f t="shared" si="14"/>
        <v>108.79236046773384</v>
      </c>
      <c r="AP22" s="211">
        <f t="shared" si="14"/>
        <v>108.79236046773384</v>
      </c>
      <c r="AQ22" s="211">
        <f t="shared" si="14"/>
        <v>108.79236046773384</v>
      </c>
      <c r="AR22" s="212">
        <f t="shared" si="14"/>
        <v>109.05105056358387</v>
      </c>
    </row>
    <row r="23" spans="1:44" x14ac:dyDescent="0.55000000000000004">
      <c r="A23" s="136" t="s">
        <v>17</v>
      </c>
      <c r="B23" s="137"/>
      <c r="C23" s="137"/>
      <c r="D23" s="137"/>
      <c r="E23" s="137"/>
      <c r="F23" s="137"/>
      <c r="G23" s="137"/>
      <c r="H23" s="138"/>
      <c r="J23" s="136" t="s">
        <v>18</v>
      </c>
      <c r="K23" s="137"/>
      <c r="L23" s="137"/>
      <c r="M23" s="137"/>
      <c r="N23" s="137"/>
      <c r="O23" s="137"/>
      <c r="P23" s="137"/>
      <c r="Q23" s="138"/>
      <c r="S23" s="136" t="s">
        <v>63</v>
      </c>
      <c r="T23" s="137"/>
      <c r="U23" s="137"/>
      <c r="V23" s="137"/>
      <c r="W23" s="137"/>
      <c r="X23" s="137"/>
      <c r="Y23" s="137"/>
      <c r="Z23" s="138"/>
    </row>
    <row r="24" spans="1:44" ht="14.7" thickBot="1" x14ac:dyDescent="0.6">
      <c r="A24" s="141" t="str">
        <f t="shared" ref="A24:H27" si="15">A9</f>
        <v>Thickness (um)</v>
      </c>
      <c r="B24" s="132" t="str">
        <f t="shared" si="15"/>
        <v>RC (%)</v>
      </c>
      <c r="C24" s="213">
        <f t="shared" si="15"/>
        <v>1</v>
      </c>
      <c r="D24" s="213">
        <f t="shared" si="15"/>
        <v>2</v>
      </c>
      <c r="E24" s="213">
        <f t="shared" si="15"/>
        <v>5</v>
      </c>
      <c r="F24" s="213">
        <f t="shared" si="15"/>
        <v>10</v>
      </c>
      <c r="G24" s="213">
        <f t="shared" si="15"/>
        <v>15</v>
      </c>
      <c r="H24" s="214">
        <f t="shared" si="15"/>
        <v>20</v>
      </c>
      <c r="J24" s="141" t="str">
        <f t="shared" ref="J24:Q27" si="16">A9</f>
        <v>Thickness (um)</v>
      </c>
      <c r="K24" s="132" t="str">
        <f t="shared" si="16"/>
        <v>RC (%)</v>
      </c>
      <c r="L24" s="213">
        <f t="shared" si="16"/>
        <v>1</v>
      </c>
      <c r="M24" s="213">
        <f t="shared" si="16"/>
        <v>2</v>
      </c>
      <c r="N24" s="213">
        <f t="shared" si="16"/>
        <v>5</v>
      </c>
      <c r="O24" s="213">
        <f t="shared" si="16"/>
        <v>10</v>
      </c>
      <c r="P24" s="213">
        <f t="shared" si="16"/>
        <v>15</v>
      </c>
      <c r="Q24" s="214">
        <f t="shared" si="16"/>
        <v>20</v>
      </c>
      <c r="S24" s="187" t="str">
        <f>A9</f>
        <v>Thickness (um)</v>
      </c>
      <c r="T24" s="142" t="str">
        <f>B9</f>
        <v>RC (%)</v>
      </c>
      <c r="U24" s="213">
        <f t="shared" ref="U24:Z24" si="17">C9</f>
        <v>1</v>
      </c>
      <c r="V24" s="213">
        <f t="shared" si="17"/>
        <v>2</v>
      </c>
      <c r="W24" s="213">
        <f t="shared" si="17"/>
        <v>5</v>
      </c>
      <c r="X24" s="213">
        <f t="shared" si="17"/>
        <v>10</v>
      </c>
      <c r="Y24" s="213">
        <f t="shared" si="17"/>
        <v>15</v>
      </c>
      <c r="Z24" s="214">
        <f t="shared" si="17"/>
        <v>20</v>
      </c>
    </row>
    <row r="25" spans="1:44" x14ac:dyDescent="0.55000000000000004">
      <c r="A25" s="215">
        <f t="shared" si="15"/>
        <v>127</v>
      </c>
      <c r="B25" s="216">
        <f t="shared" si="15"/>
        <v>0.6</v>
      </c>
      <c r="C25" s="151">
        <f t="shared" ref="C25:H27" si="18">((C$20*(100%-$B25))+(C$21*$B25))/100%</f>
        <v>3.1938461538461538</v>
      </c>
      <c r="D25" s="151">
        <f t="shared" si="18"/>
        <v>3.1938461538461538</v>
      </c>
      <c r="E25" s="151">
        <f t="shared" si="18"/>
        <v>3.1938461538461538</v>
      </c>
      <c r="F25" s="151">
        <f t="shared" si="18"/>
        <v>3.1938461538461538</v>
      </c>
      <c r="G25" s="151">
        <f t="shared" si="18"/>
        <v>3.1938461538461538</v>
      </c>
      <c r="H25" s="152">
        <f t="shared" si="18"/>
        <v>3.1951282051282055</v>
      </c>
      <c r="J25" s="215">
        <f t="shared" si="16"/>
        <v>127</v>
      </c>
      <c r="K25" s="216">
        <f t="shared" si="16"/>
        <v>0.6</v>
      </c>
      <c r="L25" s="151">
        <f t="shared" ref="L25:Q27" si="19">100%/((100%-$K25)/C$20+$K25/C$21)</f>
        <v>3.0103418305631466</v>
      </c>
      <c r="M25" s="151">
        <f t="shared" si="19"/>
        <v>3.0103418305631466</v>
      </c>
      <c r="N25" s="151">
        <f t="shared" si="19"/>
        <v>3.0103418305631466</v>
      </c>
      <c r="O25" s="151">
        <f t="shared" si="19"/>
        <v>3.0103418305631466</v>
      </c>
      <c r="P25" s="151">
        <f t="shared" si="19"/>
        <v>3.0103418305631466</v>
      </c>
      <c r="Q25" s="152">
        <f t="shared" si="19"/>
        <v>2.9892430693537704</v>
      </c>
      <c r="S25" s="215">
        <f t="shared" ref="S25:T27" si="20">A10</f>
        <v>127</v>
      </c>
      <c r="T25" s="216">
        <f>B10</f>
        <v>0.6</v>
      </c>
      <c r="U25" s="217">
        <f>((U$20*(100%-$T25))+(U$21*$T25))/100%</f>
        <v>2.0871794871794871E-3</v>
      </c>
      <c r="V25" s="217">
        <f t="shared" ref="V25:Z25" si="21">((V$20*(100%-$T25))+(V$21*$T25))/100%</f>
        <v>2.0871794871794871E-3</v>
      </c>
      <c r="W25" s="217">
        <f t="shared" si="21"/>
        <v>2.0871794871794871E-3</v>
      </c>
      <c r="X25" s="217">
        <f t="shared" si="21"/>
        <v>2.0871794871794871E-3</v>
      </c>
      <c r="Y25" s="217">
        <f t="shared" si="21"/>
        <v>2.0871794871794871E-3</v>
      </c>
      <c r="Z25" s="218">
        <f t="shared" si="21"/>
        <v>2.0871794871794871E-3</v>
      </c>
      <c r="AB25" s="136" t="s">
        <v>19</v>
      </c>
      <c r="AC25" s="137"/>
      <c r="AD25" s="137"/>
      <c r="AE25" s="137"/>
      <c r="AF25" s="137"/>
      <c r="AG25" s="137"/>
      <c r="AH25" s="137"/>
      <c r="AI25" s="138"/>
    </row>
    <row r="26" spans="1:44" x14ac:dyDescent="0.55000000000000004">
      <c r="A26" s="215">
        <f t="shared" si="15"/>
        <v>139.69999999999999</v>
      </c>
      <c r="B26" s="216">
        <f t="shared" si="15"/>
        <v>0.63</v>
      </c>
      <c r="C26" s="151">
        <f t="shared" si="18"/>
        <v>3.1446153846153848</v>
      </c>
      <c r="D26" s="151">
        <f t="shared" si="18"/>
        <v>3.1446153846153848</v>
      </c>
      <c r="E26" s="151">
        <f t="shared" si="18"/>
        <v>3.1446153846153848</v>
      </c>
      <c r="F26" s="151">
        <f t="shared" si="18"/>
        <v>3.1446153846153848</v>
      </c>
      <c r="G26" s="151">
        <f t="shared" si="18"/>
        <v>3.1446153846153848</v>
      </c>
      <c r="H26" s="152">
        <f t="shared" si="18"/>
        <v>3.1428205128205127</v>
      </c>
      <c r="J26" s="215">
        <f t="shared" si="16"/>
        <v>139.69999999999999</v>
      </c>
      <c r="K26" s="216">
        <f t="shared" si="16"/>
        <v>0.63</v>
      </c>
      <c r="L26" s="151">
        <f t="shared" si="19"/>
        <v>2.9688437237661818</v>
      </c>
      <c r="M26" s="151">
        <f t="shared" si="19"/>
        <v>2.9688437237661818</v>
      </c>
      <c r="N26" s="151">
        <f t="shared" si="19"/>
        <v>2.9688437237661818</v>
      </c>
      <c r="O26" s="151">
        <f t="shared" si="19"/>
        <v>2.9688437237661818</v>
      </c>
      <c r="P26" s="151">
        <f t="shared" si="19"/>
        <v>2.9688437237661818</v>
      </c>
      <c r="Q26" s="152">
        <f t="shared" si="19"/>
        <v>2.9457631701631697</v>
      </c>
      <c r="S26" s="215">
        <f t="shared" si="20"/>
        <v>139.69999999999999</v>
      </c>
      <c r="T26" s="216">
        <f t="shared" si="20"/>
        <v>0.63</v>
      </c>
      <c r="U26" s="217">
        <f t="shared" ref="U26:Z27" si="22">((U$20*(100%-$T26))+(U$21*$T26))/100%</f>
        <v>1.9179487179487177E-3</v>
      </c>
      <c r="V26" s="217">
        <f t="shared" si="22"/>
        <v>1.9179487179487177E-3</v>
      </c>
      <c r="W26" s="217">
        <f t="shared" si="22"/>
        <v>1.9179487179487177E-3</v>
      </c>
      <c r="X26" s="217">
        <f t="shared" si="22"/>
        <v>1.9179487179487177E-3</v>
      </c>
      <c r="Y26" s="217">
        <f t="shared" si="22"/>
        <v>1.9179487179487177E-3</v>
      </c>
      <c r="Z26" s="218">
        <f t="shared" si="22"/>
        <v>1.9179487179487177E-3</v>
      </c>
      <c r="AB26" s="219" t="s">
        <v>2</v>
      </c>
      <c r="AC26" s="160"/>
      <c r="AD26" s="135">
        <f t="shared" ref="AD26:AI26" si="23">AD2</f>
        <v>1</v>
      </c>
      <c r="AE26" s="135">
        <f t="shared" si="23"/>
        <v>2</v>
      </c>
      <c r="AF26" s="135">
        <f t="shared" si="23"/>
        <v>5</v>
      </c>
      <c r="AG26" s="135">
        <f t="shared" si="23"/>
        <v>10</v>
      </c>
      <c r="AH26" s="135">
        <f t="shared" si="23"/>
        <v>15</v>
      </c>
      <c r="AI26" s="143">
        <f t="shared" si="23"/>
        <v>20</v>
      </c>
    </row>
    <row r="27" spans="1:44" ht="14.7" thickBot="1" x14ac:dyDescent="0.6">
      <c r="A27" s="153">
        <f t="shared" si="15"/>
        <v>177.8</v>
      </c>
      <c r="B27" s="154">
        <f t="shared" si="15"/>
        <v>0.70499999999999996</v>
      </c>
      <c r="C27" s="146">
        <f t="shared" si="18"/>
        <v>3.0215384615384613</v>
      </c>
      <c r="D27" s="146">
        <f t="shared" si="18"/>
        <v>3.0215384615384613</v>
      </c>
      <c r="E27" s="146">
        <f t="shared" si="18"/>
        <v>3.0215384615384613</v>
      </c>
      <c r="F27" s="146">
        <f t="shared" si="18"/>
        <v>3.0215384615384613</v>
      </c>
      <c r="G27" s="146">
        <f t="shared" si="18"/>
        <v>3.0215384615384613</v>
      </c>
      <c r="H27" s="147">
        <f t="shared" si="18"/>
        <v>3.0120512820512819</v>
      </c>
      <c r="J27" s="153">
        <f t="shared" si="16"/>
        <v>177.8</v>
      </c>
      <c r="K27" s="154">
        <f t="shared" si="16"/>
        <v>0.70499999999999996</v>
      </c>
      <c r="L27" s="146">
        <f t="shared" si="19"/>
        <v>2.8699372143680861</v>
      </c>
      <c r="M27" s="146">
        <f t="shared" si="19"/>
        <v>2.8699372143680861</v>
      </c>
      <c r="N27" s="146">
        <f t="shared" si="19"/>
        <v>2.8699372143680861</v>
      </c>
      <c r="O27" s="146">
        <f t="shared" si="19"/>
        <v>2.8699372143680861</v>
      </c>
      <c r="P27" s="146">
        <f t="shared" si="19"/>
        <v>2.8699372143680861</v>
      </c>
      <c r="Q27" s="147">
        <f t="shared" si="19"/>
        <v>2.8424030589293743</v>
      </c>
      <c r="S27" s="153">
        <f t="shared" si="20"/>
        <v>177.8</v>
      </c>
      <c r="T27" s="154">
        <f t="shared" si="20"/>
        <v>0.70499999999999996</v>
      </c>
      <c r="U27" s="148">
        <f t="shared" si="22"/>
        <v>1.4948717948717947E-3</v>
      </c>
      <c r="V27" s="148">
        <f t="shared" si="22"/>
        <v>1.4948717948717947E-3</v>
      </c>
      <c r="W27" s="148">
        <f t="shared" si="22"/>
        <v>1.4948717948717947E-3</v>
      </c>
      <c r="X27" s="148">
        <f t="shared" si="22"/>
        <v>1.4948717948717947E-3</v>
      </c>
      <c r="Y27" s="148">
        <f t="shared" si="22"/>
        <v>1.4948717948717947E-3</v>
      </c>
      <c r="Z27" s="149">
        <f t="shared" si="22"/>
        <v>1.4948717948717947E-3</v>
      </c>
      <c r="AB27" s="141"/>
      <c r="AC27" s="39">
        <v>-40</v>
      </c>
      <c r="AD27" s="151">
        <f t="shared" ref="AD27:AI27" si="24">(20*LOG(EXP(1))*(2*PI()/(2*0.299795637693216))*SQRT(AM$3)*(AM$2)*AM$4)+(20*LOG(EXP(1))*AM6/(AM7))*(1+(2/PI())*ATAN(1.4*($H$3/AM$5)^2))</f>
        <v>4.4887389580122692</v>
      </c>
      <c r="AE27" s="151">
        <f t="shared" si="24"/>
        <v>6.5524150230060929</v>
      </c>
      <c r="AF27" s="151">
        <f t="shared" si="24"/>
        <v>11.128027318930249</v>
      </c>
      <c r="AG27" s="151">
        <f t="shared" si="24"/>
        <v>17.231624343691589</v>
      </c>
      <c r="AH27" s="151">
        <f t="shared" si="24"/>
        <v>22.712933316966968</v>
      </c>
      <c r="AI27" s="152">
        <f t="shared" si="24"/>
        <v>27.842892637110687</v>
      </c>
    </row>
    <row r="28" spans="1:44" x14ac:dyDescent="0.55000000000000004">
      <c r="AB28" s="141"/>
      <c r="AC28" s="39">
        <v>0</v>
      </c>
      <c r="AD28" s="151">
        <f t="shared" ref="AD28:AI28" si="25">(20*LOG(EXP(1))*(2*PI()/(2*0.299795637693216))*SQRT(AM$8)*AM$2*AM9)+(20*LOG(EXP(1))*AM11/(AM12))*(1+(2/PI())*ATAN(1.4*($H$3/AM$10)^2))</f>
        <v>4.9735368654101357</v>
      </c>
      <c r="AE28" s="151">
        <f t="shared" si="25"/>
        <v>7.2560593483712363</v>
      </c>
      <c r="AF28" s="151">
        <f t="shared" si="25"/>
        <v>12.285971884494066</v>
      </c>
      <c r="AG28" s="151">
        <f t="shared" si="25"/>
        <v>18.92190847590852</v>
      </c>
      <c r="AH28" s="151">
        <f t="shared" si="25"/>
        <v>24.827745031975518</v>
      </c>
      <c r="AI28" s="152">
        <f t="shared" si="25"/>
        <v>30.333003663349619</v>
      </c>
    </row>
    <row r="29" spans="1:44" x14ac:dyDescent="0.55000000000000004">
      <c r="AB29" s="141"/>
      <c r="AC29" s="39">
        <v>25</v>
      </c>
      <c r="AD29" s="151">
        <f t="shared" ref="AD29:AI29" si="26">(20*LOG(EXP(1))*(2*PI()/(2*0.299795637693216))*SQRT(AM$13)*AM$2*AM14)+((20*LOG(EXP(1))*AM16/(AM17))*(1+(2/PI())*ATAN(1.4*($H$3/AM$15)^2)))</f>
        <v>5.2579825444079713</v>
      </c>
      <c r="AE29" s="151">
        <f t="shared" si="26"/>
        <v>7.670580293007891</v>
      </c>
      <c r="AF29" s="151">
        <f t="shared" si="26"/>
        <v>12.974165324832811</v>
      </c>
      <c r="AG29" s="151">
        <f t="shared" si="26"/>
        <v>19.936715080431039</v>
      </c>
      <c r="AH29" s="151">
        <f t="shared" si="26"/>
        <v>26.105009459416369</v>
      </c>
      <c r="AI29" s="152">
        <f t="shared" si="26"/>
        <v>31.83996798790352</v>
      </c>
    </row>
    <row r="30" spans="1:44" ht="14.7" thickBot="1" x14ac:dyDescent="0.6">
      <c r="AB30" s="144"/>
      <c r="AC30" s="40">
        <v>90</v>
      </c>
      <c r="AD30" s="146">
        <f t="shared" ref="AD30:AI30" si="27">(20*LOG(EXP(1))*(2*PI()/(2*0.299795637693216))*SQRT(AM$18)*AM$2*AM19)+(20*LOG(EXP(1))*AM21/(AM22))*(1+(2/PI())*ATAN(1.4*($H$3/AM$20)^2))</f>
        <v>5.9465702638059232</v>
      </c>
      <c r="AE30" s="146">
        <f t="shared" si="27"/>
        <v>8.6785607640649793</v>
      </c>
      <c r="AF30" s="146">
        <f t="shared" si="27"/>
        <v>14.663587948041283</v>
      </c>
      <c r="AG30" s="146">
        <f t="shared" si="27"/>
        <v>22.455447224001034</v>
      </c>
      <c r="AH30" s="146">
        <f t="shared" si="27"/>
        <v>29.298460608679491</v>
      </c>
      <c r="AI30" s="147">
        <f t="shared" si="27"/>
        <v>35.623201472964098</v>
      </c>
    </row>
    <row r="34" spans="1:44" x14ac:dyDescent="0.55000000000000004">
      <c r="B34" s="133"/>
    </row>
    <row r="35" spans="1:44" x14ac:dyDescent="0.55000000000000004">
      <c r="B35" s="133"/>
    </row>
    <row r="37" spans="1:44" x14ac:dyDescent="0.55000000000000004">
      <c r="AK37" s="134"/>
    </row>
    <row r="38" spans="1:44" x14ac:dyDescent="0.55000000000000004">
      <c r="AB38" s="134"/>
      <c r="AL38" s="135"/>
      <c r="AM38" s="135"/>
      <c r="AN38" s="135"/>
      <c r="AO38" s="135"/>
      <c r="AP38" s="135"/>
      <c r="AQ38" s="135"/>
    </row>
    <row r="39" spans="1:44" x14ac:dyDescent="0.55000000000000004">
      <c r="AL39" s="135"/>
      <c r="AM39" s="135"/>
      <c r="AN39" s="135"/>
      <c r="AO39" s="135"/>
      <c r="AP39" s="135"/>
      <c r="AQ39" s="135"/>
    </row>
    <row r="40" spans="1:44" x14ac:dyDescent="0.55000000000000004">
      <c r="AL40" s="135"/>
      <c r="AM40" s="135"/>
      <c r="AN40" s="135"/>
      <c r="AO40" s="135"/>
      <c r="AP40" s="135"/>
      <c r="AQ40" s="135"/>
    </row>
    <row r="43" spans="1:44" ht="14.7" thickBot="1" x14ac:dyDescent="0.6"/>
    <row r="44" spans="1:44" x14ac:dyDescent="0.55000000000000004">
      <c r="A44" s="136" t="str">
        <f>_xlfn.CONCAT("DK_InPlane (Thickness = ",$C$1,"µm)")</f>
        <v>DK_InPlane (Thickness = 152µm)</v>
      </c>
      <c r="B44" s="137"/>
      <c r="C44" s="137"/>
      <c r="D44" s="137"/>
      <c r="E44" s="137"/>
      <c r="F44" s="137"/>
      <c r="G44" s="137"/>
      <c r="H44" s="138"/>
      <c r="J44" s="136" t="str">
        <f>_xlfn.CONCAT("DK_OutofPlane (Thickness = ",$C$1,"µm)")</f>
        <v>DK_OutofPlane (Thickness = 152µm)</v>
      </c>
      <c r="K44" s="137"/>
      <c r="L44" s="137"/>
      <c r="M44" s="137"/>
      <c r="N44" s="137"/>
      <c r="O44" s="137"/>
      <c r="P44" s="137"/>
      <c r="Q44" s="138"/>
      <c r="R44" s="139"/>
      <c r="S44" s="136" t="str">
        <f>_xlfn.CONCAT("DF (Thickness = ",$C$1,"µm)")</f>
        <v>DF (Thickness = 152µm)</v>
      </c>
      <c r="T44" s="137"/>
      <c r="U44" s="137"/>
      <c r="V44" s="137"/>
      <c r="W44" s="137"/>
      <c r="X44" s="137"/>
      <c r="Y44" s="137"/>
      <c r="Z44" s="138"/>
      <c r="AR44" s="140"/>
    </row>
    <row r="45" spans="1:44" x14ac:dyDescent="0.55000000000000004">
      <c r="A45" s="141" t="str">
        <f t="shared" ref="A45:H45" si="28">A24</f>
        <v>Thickness (um)</v>
      </c>
      <c r="B45" s="142" t="str">
        <f t="shared" si="28"/>
        <v>RC (%)</v>
      </c>
      <c r="C45" s="135">
        <f t="shared" si="28"/>
        <v>1</v>
      </c>
      <c r="D45" s="135">
        <f t="shared" si="28"/>
        <v>2</v>
      </c>
      <c r="E45" s="135">
        <f t="shared" si="28"/>
        <v>5</v>
      </c>
      <c r="F45" s="135">
        <f t="shared" si="28"/>
        <v>10</v>
      </c>
      <c r="G45" s="135">
        <f t="shared" si="28"/>
        <v>15</v>
      </c>
      <c r="H45" s="143">
        <f t="shared" si="28"/>
        <v>20</v>
      </c>
      <c r="J45" s="141" t="str">
        <f t="shared" ref="J45:Q45" si="29">J24</f>
        <v>Thickness (um)</v>
      </c>
      <c r="K45" s="142" t="str">
        <f t="shared" si="29"/>
        <v>RC (%)</v>
      </c>
      <c r="L45" s="135">
        <f t="shared" si="29"/>
        <v>1</v>
      </c>
      <c r="M45" s="135">
        <f t="shared" si="29"/>
        <v>2</v>
      </c>
      <c r="N45" s="135">
        <f t="shared" si="29"/>
        <v>5</v>
      </c>
      <c r="O45" s="135">
        <f t="shared" si="29"/>
        <v>10</v>
      </c>
      <c r="P45" s="135">
        <f t="shared" si="29"/>
        <v>15</v>
      </c>
      <c r="Q45" s="143">
        <f t="shared" si="29"/>
        <v>20</v>
      </c>
      <c r="R45" s="139"/>
      <c r="S45" s="141" t="str">
        <f t="shared" ref="S45:Z45" si="30">S24</f>
        <v>Thickness (um)</v>
      </c>
      <c r="T45" s="142" t="str">
        <f t="shared" si="30"/>
        <v>RC (%)</v>
      </c>
      <c r="U45" s="135">
        <f t="shared" si="30"/>
        <v>1</v>
      </c>
      <c r="V45" s="135">
        <f t="shared" si="30"/>
        <v>2</v>
      </c>
      <c r="W45" s="135">
        <f t="shared" si="30"/>
        <v>5</v>
      </c>
      <c r="X45" s="135">
        <f t="shared" si="30"/>
        <v>10</v>
      </c>
      <c r="Y45" s="135">
        <f t="shared" si="30"/>
        <v>15</v>
      </c>
      <c r="Z45" s="143">
        <f t="shared" si="30"/>
        <v>20</v>
      </c>
    </row>
    <row r="46" spans="1:44" ht="14.7" thickBot="1" x14ac:dyDescent="0.6">
      <c r="A46" s="144">
        <f>C1</f>
        <v>152</v>
      </c>
      <c r="B46" s="145">
        <f>SLOPE(B10:B12,A10:A12)*A46+INTERCEPT(B10:B12,A10:A12)</f>
        <v>0.65283615990308907</v>
      </c>
      <c r="C46" s="146">
        <f t="shared" ref="C46:H46" si="31">((C$20*(100%-$B46))+(C$21*$B46))/100%</f>
        <v>3.1071406606718535</v>
      </c>
      <c r="D46" s="146">
        <f t="shared" si="31"/>
        <v>3.1071406606718535</v>
      </c>
      <c r="E46" s="146">
        <f t="shared" si="31"/>
        <v>3.1071406606718535</v>
      </c>
      <c r="F46" s="146">
        <f t="shared" si="31"/>
        <v>3.1071406606718535</v>
      </c>
      <c r="G46" s="146">
        <f t="shared" si="31"/>
        <v>3.1071406606718535</v>
      </c>
      <c r="H46" s="147">
        <f t="shared" si="31"/>
        <v>3.1030036186305114</v>
      </c>
      <c r="J46" s="144">
        <f>A46</f>
        <v>152</v>
      </c>
      <c r="K46" s="145">
        <f>SLOPE(B10:B12,A10:A12)*A46+INTERCEPT(B10:B12,A10:A12)</f>
        <v>0.65283615990308907</v>
      </c>
      <c r="L46" s="146">
        <f t="shared" ref="L46:Q46" si="32">100%/((100%-$K46)/C$20+$K46/C$21)</f>
        <v>2.9380141040635168</v>
      </c>
      <c r="M46" s="146">
        <f t="shared" si="32"/>
        <v>2.9380141040635168</v>
      </c>
      <c r="N46" s="146">
        <f t="shared" si="32"/>
        <v>2.9380141040635168</v>
      </c>
      <c r="O46" s="146">
        <f t="shared" si="32"/>
        <v>2.9380141040635168</v>
      </c>
      <c r="P46" s="146">
        <f t="shared" si="32"/>
        <v>2.9380141040635168</v>
      </c>
      <c r="Q46" s="147">
        <f t="shared" si="32"/>
        <v>2.9135046211177236</v>
      </c>
      <c r="R46" s="139"/>
      <c r="S46" s="144">
        <f>J46</f>
        <v>152</v>
      </c>
      <c r="T46" s="145">
        <f>SLOPE(B10:B12,A10:A12)*S46+INTERCEPT(B10:B12,A10:A12)</f>
        <v>0.65283615990308907</v>
      </c>
      <c r="U46" s="148">
        <f>((U$20*(100%-$T46))+(U$21*$T46))/100%</f>
        <v>1.7891293543928306E-3</v>
      </c>
      <c r="V46" s="148">
        <f t="shared" ref="V46:Z46" si="33">((V$20*(100%-$T46))+(V$21*$T46))/100%</f>
        <v>1.7891293543928306E-3</v>
      </c>
      <c r="W46" s="148">
        <f t="shared" si="33"/>
        <v>1.7891293543928306E-3</v>
      </c>
      <c r="X46" s="148">
        <f t="shared" si="33"/>
        <v>1.7891293543928306E-3</v>
      </c>
      <c r="Y46" s="148">
        <f t="shared" si="33"/>
        <v>1.7891293543928306E-3</v>
      </c>
      <c r="Z46" s="149">
        <f t="shared" si="33"/>
        <v>1.7891293543928306E-3</v>
      </c>
    </row>
    <row r="47" spans="1:44" x14ac:dyDescent="0.55000000000000004">
      <c r="G47" s="135"/>
      <c r="K47" s="150"/>
      <c r="R47" s="139"/>
    </row>
    <row r="55" spans="45:45" x14ac:dyDescent="0.55000000000000004">
      <c r="AS55" s="140"/>
    </row>
    <row r="193" spans="47:47" x14ac:dyDescent="0.55000000000000004">
      <c r="AU193" s="135"/>
    </row>
    <row r="194" spans="47:47" x14ac:dyDescent="0.55000000000000004">
      <c r="AU194" s="135"/>
    </row>
    <row r="195" spans="47:47" x14ac:dyDescent="0.55000000000000004">
      <c r="AU195" s="135"/>
    </row>
    <row r="196" spans="47:47" x14ac:dyDescent="0.55000000000000004">
      <c r="AU196" s="135"/>
    </row>
    <row r="197" spans="47:47" x14ac:dyDescent="0.55000000000000004">
      <c r="AU197" s="135"/>
    </row>
    <row r="198" spans="47:47" x14ac:dyDescent="0.55000000000000004">
      <c r="AU198" s="135"/>
    </row>
    <row r="199" spans="47:47" x14ac:dyDescent="0.55000000000000004">
      <c r="AU199" s="135"/>
    </row>
    <row r="200" spans="47:47" x14ac:dyDescent="0.55000000000000004">
      <c r="AU200" s="135"/>
    </row>
    <row r="201" spans="47:47" x14ac:dyDescent="0.55000000000000004">
      <c r="AU201" s="135"/>
    </row>
    <row r="202" spans="47:47" x14ac:dyDescent="0.55000000000000004">
      <c r="AU202" s="135"/>
    </row>
    <row r="203" spans="47:47" x14ac:dyDescent="0.55000000000000004">
      <c r="AU203" s="135"/>
    </row>
    <row r="204" spans="47:47" x14ac:dyDescent="0.55000000000000004">
      <c r="AU204" s="135"/>
    </row>
    <row r="205" spans="47:47" x14ac:dyDescent="0.55000000000000004">
      <c r="AU205" s="135"/>
    </row>
    <row r="206" spans="47:47" x14ac:dyDescent="0.55000000000000004">
      <c r="AU206" s="135"/>
    </row>
    <row r="207" spans="47:47" x14ac:dyDescent="0.55000000000000004">
      <c r="AU207" s="135"/>
    </row>
    <row r="208" spans="47:47" x14ac:dyDescent="0.55000000000000004">
      <c r="AU208" s="135"/>
    </row>
    <row r="209" spans="47:47" x14ac:dyDescent="0.55000000000000004">
      <c r="AU209" s="135"/>
    </row>
    <row r="210" spans="47:47" x14ac:dyDescent="0.55000000000000004">
      <c r="AU210" s="135"/>
    </row>
    <row r="211" spans="47:47" x14ac:dyDescent="0.55000000000000004">
      <c r="AU211" s="135"/>
    </row>
    <row r="212" spans="47:47" x14ac:dyDescent="0.55000000000000004">
      <c r="AU212" s="135"/>
    </row>
    <row r="213" spans="47:47" x14ac:dyDescent="0.55000000000000004">
      <c r="AU213" s="135"/>
    </row>
    <row r="214" spans="47:47" x14ac:dyDescent="0.55000000000000004">
      <c r="AU214" s="135"/>
    </row>
    <row r="215" spans="47:47" x14ac:dyDescent="0.55000000000000004">
      <c r="AU215" s="135"/>
    </row>
    <row r="216" spans="47:47" x14ac:dyDescent="0.55000000000000004">
      <c r="AU216" s="135"/>
    </row>
    <row r="217" spans="47:47" x14ac:dyDescent="0.55000000000000004">
      <c r="AU217" s="135"/>
    </row>
    <row r="218" spans="47:47" x14ac:dyDescent="0.55000000000000004">
      <c r="AU218" s="135"/>
    </row>
    <row r="219" spans="47:47" x14ac:dyDescent="0.55000000000000004">
      <c r="AU219" s="135"/>
    </row>
    <row r="220" spans="47:47" x14ac:dyDescent="0.55000000000000004">
      <c r="AU220" s="135"/>
    </row>
    <row r="221" spans="47:47" x14ac:dyDescent="0.55000000000000004">
      <c r="AU221" s="135"/>
    </row>
    <row r="222" spans="47:47" x14ac:dyDescent="0.55000000000000004">
      <c r="AU222" s="135"/>
    </row>
    <row r="223" spans="47:47" x14ac:dyDescent="0.55000000000000004">
      <c r="AU223" s="135"/>
    </row>
    <row r="224" spans="47:47" x14ac:dyDescent="0.55000000000000004">
      <c r="AU224" s="135"/>
    </row>
    <row r="225" spans="47:47" x14ac:dyDescent="0.55000000000000004">
      <c r="AU225" s="135"/>
    </row>
    <row r="226" spans="47:47" x14ac:dyDescent="0.55000000000000004">
      <c r="AU226" s="135"/>
    </row>
    <row r="227" spans="47:47" x14ac:dyDescent="0.55000000000000004">
      <c r="AU227" s="135"/>
    </row>
    <row r="228" spans="47:47" x14ac:dyDescent="0.55000000000000004">
      <c r="AU228" s="135"/>
    </row>
    <row r="229" spans="47:47" x14ac:dyDescent="0.55000000000000004">
      <c r="AU229" s="135"/>
    </row>
    <row r="230" spans="47:47" x14ac:dyDescent="0.55000000000000004">
      <c r="AU230" s="135"/>
    </row>
    <row r="231" spans="47:47" x14ac:dyDescent="0.55000000000000004">
      <c r="AU231" s="135"/>
    </row>
    <row r="232" spans="47:47" x14ac:dyDescent="0.55000000000000004">
      <c r="AU232" s="135"/>
    </row>
    <row r="233" spans="47:47" x14ac:dyDescent="0.55000000000000004">
      <c r="AU233" s="135"/>
    </row>
    <row r="234" spans="47:47" x14ac:dyDescent="0.55000000000000004">
      <c r="AU234" s="135"/>
    </row>
    <row r="235" spans="47:47" x14ac:dyDescent="0.55000000000000004">
      <c r="AU235" s="135"/>
    </row>
    <row r="236" spans="47:47" x14ac:dyDescent="0.55000000000000004">
      <c r="AU236" s="135"/>
    </row>
    <row r="237" spans="47:47" x14ac:dyDescent="0.55000000000000004">
      <c r="AU237" s="135"/>
    </row>
    <row r="238" spans="47:47" x14ac:dyDescent="0.55000000000000004">
      <c r="AU238" s="135"/>
    </row>
    <row r="239" spans="47:47" x14ac:dyDescent="0.55000000000000004">
      <c r="AU239" s="135"/>
    </row>
    <row r="240" spans="47:47" x14ac:dyDescent="0.55000000000000004">
      <c r="AU240" s="135"/>
    </row>
    <row r="241" spans="47:47" x14ac:dyDescent="0.55000000000000004">
      <c r="AU241" s="135"/>
    </row>
    <row r="242" spans="47:47" x14ac:dyDescent="0.55000000000000004">
      <c r="AU242" s="135"/>
    </row>
    <row r="243" spans="47:47" x14ac:dyDescent="0.55000000000000004">
      <c r="AU243" s="135"/>
    </row>
    <row r="244" spans="47:47" x14ac:dyDescent="0.55000000000000004">
      <c r="AU244" s="135"/>
    </row>
    <row r="245" spans="47:47" x14ac:dyDescent="0.55000000000000004">
      <c r="AU245" s="135"/>
    </row>
    <row r="246" spans="47:47" x14ac:dyDescent="0.55000000000000004">
      <c r="AU246" s="135"/>
    </row>
    <row r="247" spans="47:47" x14ac:dyDescent="0.55000000000000004">
      <c r="AU247" s="135"/>
    </row>
    <row r="248" spans="47:47" x14ac:dyDescent="0.55000000000000004">
      <c r="AU248" s="135"/>
    </row>
    <row r="249" spans="47:47" x14ac:dyDescent="0.55000000000000004">
      <c r="AU249" s="135"/>
    </row>
    <row r="250" spans="47:47" x14ac:dyDescent="0.55000000000000004">
      <c r="AU250" s="135"/>
    </row>
    <row r="251" spans="47:47" x14ac:dyDescent="0.55000000000000004">
      <c r="AU251" s="135"/>
    </row>
    <row r="252" spans="47:47" x14ac:dyDescent="0.55000000000000004">
      <c r="AU252" s="135"/>
    </row>
    <row r="253" spans="47:47" x14ac:dyDescent="0.55000000000000004">
      <c r="AU253" s="135"/>
    </row>
    <row r="254" spans="47:47" x14ac:dyDescent="0.55000000000000004">
      <c r="AU254" s="135"/>
    </row>
    <row r="255" spans="47:47" x14ac:dyDescent="0.55000000000000004">
      <c r="AU255" s="135"/>
    </row>
    <row r="256" spans="47:47" x14ac:dyDescent="0.55000000000000004">
      <c r="AU256" s="135"/>
    </row>
    <row r="257" spans="47:47" x14ac:dyDescent="0.55000000000000004">
      <c r="AU257" s="135"/>
    </row>
    <row r="258" spans="47:47" x14ac:dyDescent="0.55000000000000004">
      <c r="AU258" s="135"/>
    </row>
    <row r="259" spans="47:47" x14ac:dyDescent="0.55000000000000004">
      <c r="AU259" s="135"/>
    </row>
    <row r="260" spans="47:47" x14ac:dyDescent="0.55000000000000004">
      <c r="AU260" s="135"/>
    </row>
    <row r="261" spans="47:47" x14ac:dyDescent="0.55000000000000004">
      <c r="AU261" s="135"/>
    </row>
    <row r="262" spans="47:47" x14ac:dyDescent="0.55000000000000004">
      <c r="AU262" s="135"/>
    </row>
    <row r="263" spans="47:47" x14ac:dyDescent="0.55000000000000004">
      <c r="AU263" s="135"/>
    </row>
    <row r="264" spans="47:47" x14ac:dyDescent="0.55000000000000004">
      <c r="AU264" s="135"/>
    </row>
    <row r="265" spans="47:47" x14ac:dyDescent="0.55000000000000004">
      <c r="AU265" s="135"/>
    </row>
    <row r="266" spans="47:47" x14ac:dyDescent="0.55000000000000004">
      <c r="AU266" s="135"/>
    </row>
    <row r="267" spans="47:47" x14ac:dyDescent="0.55000000000000004">
      <c r="AU267" s="135"/>
    </row>
    <row r="268" spans="47:47" x14ac:dyDescent="0.55000000000000004">
      <c r="AU268" s="135"/>
    </row>
    <row r="269" spans="47:47" x14ac:dyDescent="0.55000000000000004">
      <c r="AU269" s="135"/>
    </row>
    <row r="270" spans="47:47" x14ac:dyDescent="0.55000000000000004">
      <c r="AU270" s="135"/>
    </row>
    <row r="271" spans="47:47" x14ac:dyDescent="0.55000000000000004">
      <c r="AU271" s="135"/>
    </row>
    <row r="272" spans="47:47" x14ac:dyDescent="0.55000000000000004">
      <c r="AU272" s="135"/>
    </row>
    <row r="273" spans="47:47" x14ac:dyDescent="0.55000000000000004">
      <c r="AU273" s="135"/>
    </row>
    <row r="274" spans="47:47" x14ac:dyDescent="0.55000000000000004">
      <c r="AU274" s="135"/>
    </row>
    <row r="275" spans="47:47" x14ac:dyDescent="0.55000000000000004">
      <c r="AU275" s="135"/>
    </row>
    <row r="276" spans="47:47" x14ac:dyDescent="0.55000000000000004">
      <c r="AU276" s="135"/>
    </row>
    <row r="277" spans="47:47" x14ac:dyDescent="0.55000000000000004">
      <c r="AU277" s="135"/>
    </row>
    <row r="278" spans="47:47" x14ac:dyDescent="0.55000000000000004">
      <c r="AU278" s="135"/>
    </row>
    <row r="279" spans="47:47" x14ac:dyDescent="0.55000000000000004">
      <c r="AU279" s="135"/>
    </row>
    <row r="280" spans="47:47" x14ac:dyDescent="0.55000000000000004">
      <c r="AU280" s="135"/>
    </row>
    <row r="281" spans="47:47" x14ac:dyDescent="0.55000000000000004">
      <c r="AU281" s="135"/>
    </row>
    <row r="282" spans="47:47" x14ac:dyDescent="0.55000000000000004">
      <c r="AU282" s="135"/>
    </row>
    <row r="283" spans="47:47" x14ac:dyDescent="0.55000000000000004">
      <c r="AU283" s="135"/>
    </row>
    <row r="284" spans="47:47" x14ac:dyDescent="0.55000000000000004">
      <c r="AU284" s="135"/>
    </row>
    <row r="285" spans="47:47" x14ac:dyDescent="0.55000000000000004">
      <c r="AU285" s="135"/>
    </row>
    <row r="286" spans="47:47" x14ac:dyDescent="0.55000000000000004">
      <c r="AU286" s="135"/>
    </row>
    <row r="287" spans="47:47" x14ac:dyDescent="0.55000000000000004">
      <c r="AU287" s="135"/>
    </row>
    <row r="288" spans="47:47" x14ac:dyDescent="0.55000000000000004">
      <c r="AU288" s="135"/>
    </row>
    <row r="289" spans="47:47" x14ac:dyDescent="0.55000000000000004">
      <c r="AU289" s="135"/>
    </row>
    <row r="290" spans="47:47" x14ac:dyDescent="0.55000000000000004">
      <c r="AU290" s="135"/>
    </row>
    <row r="291" spans="47:47" x14ac:dyDescent="0.55000000000000004">
      <c r="AU291" s="135"/>
    </row>
    <row r="292" spans="47:47" x14ac:dyDescent="0.55000000000000004">
      <c r="AU292" s="135"/>
    </row>
  </sheetData>
  <sheetProtection algorithmName="SHA-512" hashValue="Dkci9Ajn2MQf1Wyd2nWnXNPNf5/F0vnzCImYBJPgzTc9ycgSfS+m5U1tVtxtWOOSUFT7y0sFQoMKNaBFvAG1jQ==" saltValue="MFCFVks9V/sA0BBXBIVXzA==" spinCount="100000" sheet="1" objects="1" scenarios="1"/>
  <protectedRanges>
    <protectedRange sqref="S1:Z3 AC27:AC30" name="Range1"/>
  </protectedRanges>
  <mergeCells count="37">
    <mergeCell ref="AB26:AC26"/>
    <mergeCell ref="A44:H44"/>
    <mergeCell ref="J44:Q44"/>
    <mergeCell ref="S44:Z44"/>
    <mergeCell ref="AL13:AL17"/>
    <mergeCell ref="A14:H14"/>
    <mergeCell ref="AL18:AL22"/>
    <mergeCell ref="A20:B20"/>
    <mergeCell ref="S20:T20"/>
    <mergeCell ref="A21:B21"/>
    <mergeCell ref="S21:T21"/>
    <mergeCell ref="A23:H23"/>
    <mergeCell ref="J23:Q23"/>
    <mergeCell ref="S23:Z23"/>
    <mergeCell ref="AB25:AI25"/>
    <mergeCell ref="AL3:AL7"/>
    <mergeCell ref="A4:B4"/>
    <mergeCell ref="A6:H7"/>
    <mergeCell ref="AB6:AI6"/>
    <mergeCell ref="AC7:AC10"/>
    <mergeCell ref="A8:H8"/>
    <mergeCell ref="AL8:AL12"/>
    <mergeCell ref="A3:B3"/>
    <mergeCell ref="E3:G3"/>
    <mergeCell ref="AC3:AC5"/>
    <mergeCell ref="A1:B1"/>
    <mergeCell ref="E1:G1"/>
    <mergeCell ref="J1:L1"/>
    <mergeCell ref="AB1:AI1"/>
    <mergeCell ref="AK1:AR1"/>
    <mergeCell ref="A2:B2"/>
    <mergeCell ref="E2:G2"/>
    <mergeCell ref="J2:L2"/>
    <mergeCell ref="AB2:AC2"/>
    <mergeCell ref="AK2:AL2"/>
    <mergeCell ref="Y1:Z3"/>
    <mergeCell ref="S1:X3"/>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18F990B-4933-402E-B3B3-C8B402C982D5}">
          <x14:formula1>
            <xm:f>'Material Database'!$BI$3:$BI$10</xm:f>
          </x14:formula1>
          <xm:sqref>Y1</xm:sqref>
        </x14:dataValidation>
        <x14:dataValidation type="list" allowBlank="1" showInputMessage="1" showErrorMessage="1" xr:uid="{171E7F59-BB74-4D1E-AB02-584D30E9DEE6}">
          <x14:formula1>
            <xm:f>'Material Database'!$A3:$A999</xm:f>
          </x14:formula1>
          <xm:sqref>S1:X3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B2D72-E805-4F17-97F3-D604517C9D5F}">
  <sheetPr>
    <tabColor theme="0" tint="-4.9989318521683403E-2"/>
  </sheetPr>
  <dimension ref="A1:BJ313"/>
  <sheetViews>
    <sheetView zoomScale="81" workbookViewId="0">
      <selection activeCell="A3" sqref="A3"/>
    </sheetView>
  </sheetViews>
  <sheetFormatPr defaultRowHeight="14.4" x14ac:dyDescent="0.55000000000000004"/>
  <cols>
    <col min="1" max="1" width="34.734375" style="1" bestFit="1" customWidth="1"/>
    <col min="2" max="2" width="14.5234375" style="1" customWidth="1"/>
    <col min="3" max="3" width="14.41796875" style="1" bestFit="1" customWidth="1"/>
    <col min="4" max="4" width="13.3671875" style="1" bestFit="1" customWidth="1"/>
    <col min="5" max="5" width="12.15625" style="1" bestFit="1" customWidth="1"/>
    <col min="6" max="6" width="8.83984375" style="123"/>
    <col min="7" max="7" width="16" style="1" bestFit="1" customWidth="1"/>
    <col min="8" max="8" width="16.68359375" style="1" customWidth="1"/>
    <col min="9" max="9" width="12.41796875" style="1" bestFit="1" customWidth="1"/>
    <col min="10" max="10" width="12.9453125" style="1" bestFit="1" customWidth="1"/>
    <col min="11" max="11" width="11.5234375" style="1" bestFit="1" customWidth="1"/>
    <col min="12" max="12" width="10.578125" style="1" bestFit="1" customWidth="1"/>
    <col min="13" max="13" width="11.89453125" style="1" bestFit="1" customWidth="1"/>
    <col min="14" max="14" width="11.89453125" style="1" customWidth="1"/>
    <col min="15" max="18" width="11.89453125" style="1" bestFit="1" customWidth="1"/>
    <col min="19" max="21" width="9" style="1" bestFit="1" customWidth="1"/>
    <col min="22" max="24" width="9.26171875" style="1" bestFit="1" customWidth="1"/>
    <col min="25" max="60" width="8.83984375" style="1"/>
    <col min="61" max="61" width="25.47265625" style="1" bestFit="1" customWidth="1"/>
    <col min="62" max="62" width="11.68359375" style="1" bestFit="1" customWidth="1"/>
    <col min="63" max="16384" width="8.83984375" style="1"/>
  </cols>
  <sheetData>
    <row r="1" spans="1:62" s="48" customFormat="1" ht="14.7" thickBot="1" x14ac:dyDescent="0.6">
      <c r="B1" s="119" t="s">
        <v>131</v>
      </c>
      <c r="C1" s="120"/>
      <c r="D1" s="120"/>
      <c r="E1" s="120"/>
      <c r="F1" s="121"/>
      <c r="G1" s="50" t="s">
        <v>132</v>
      </c>
      <c r="H1" s="116" t="s">
        <v>134</v>
      </c>
      <c r="I1" s="117"/>
      <c r="J1" s="117"/>
      <c r="K1" s="118"/>
      <c r="L1" s="116" t="s">
        <v>135</v>
      </c>
      <c r="M1" s="117"/>
      <c r="N1" s="117"/>
      <c r="O1" s="117"/>
      <c r="P1" s="117"/>
      <c r="Q1" s="118"/>
      <c r="R1" s="116" t="s">
        <v>136</v>
      </c>
      <c r="S1" s="117"/>
      <c r="T1" s="118"/>
      <c r="U1" s="116" t="s">
        <v>137</v>
      </c>
      <c r="V1" s="117"/>
      <c r="W1" s="118"/>
      <c r="X1" s="116" t="s">
        <v>138</v>
      </c>
      <c r="Y1" s="117"/>
      <c r="Z1" s="117"/>
      <c r="AA1" s="117"/>
      <c r="AB1" s="117"/>
      <c r="AC1" s="118"/>
      <c r="AD1" s="116" t="s">
        <v>139</v>
      </c>
      <c r="AE1" s="117"/>
      <c r="AF1" s="117"/>
      <c r="AG1" s="117"/>
      <c r="AH1" s="117"/>
      <c r="AI1" s="118"/>
      <c r="AJ1" s="116" t="s">
        <v>140</v>
      </c>
      <c r="AK1" s="117"/>
      <c r="AL1" s="117"/>
      <c r="AM1" s="117"/>
      <c r="AN1" s="117"/>
      <c r="AO1" s="118"/>
      <c r="AP1" s="116" t="s">
        <v>143</v>
      </c>
      <c r="AQ1" s="117"/>
      <c r="AR1" s="117"/>
      <c r="AS1" s="117"/>
      <c r="AT1" s="117"/>
      <c r="AU1" s="118"/>
      <c r="AV1" s="116" t="s">
        <v>142</v>
      </c>
      <c r="AW1" s="117"/>
      <c r="AX1" s="117"/>
      <c r="AY1" s="117"/>
      <c r="AZ1" s="117"/>
      <c r="BA1" s="118"/>
      <c r="BB1" s="116" t="s">
        <v>141</v>
      </c>
      <c r="BC1" s="117"/>
      <c r="BD1" s="117"/>
      <c r="BE1" s="117"/>
      <c r="BF1" s="117"/>
      <c r="BG1" s="118"/>
      <c r="BJ1" s="88" t="s">
        <v>153</v>
      </c>
    </row>
    <row r="2" spans="1:62" s="48" customFormat="1" ht="14.4" customHeight="1" thickBot="1" x14ac:dyDescent="0.6">
      <c r="A2" s="48" t="s">
        <v>70</v>
      </c>
      <c r="B2" s="51" t="s">
        <v>127</v>
      </c>
      <c r="C2" s="52" t="s">
        <v>128</v>
      </c>
      <c r="D2" s="53" t="s">
        <v>129</v>
      </c>
      <c r="E2" s="53" t="s">
        <v>130</v>
      </c>
      <c r="F2" s="47" t="s">
        <v>133</v>
      </c>
      <c r="G2" s="47" t="s">
        <v>88</v>
      </c>
      <c r="H2" s="49" t="s">
        <v>90</v>
      </c>
      <c r="I2" s="49" t="s">
        <v>89</v>
      </c>
      <c r="J2" s="49" t="s">
        <v>71</v>
      </c>
      <c r="K2" s="49" t="s">
        <v>72</v>
      </c>
      <c r="L2" s="47" t="s">
        <v>73</v>
      </c>
      <c r="M2" s="47" t="s">
        <v>74</v>
      </c>
      <c r="N2" s="47" t="s">
        <v>75</v>
      </c>
      <c r="O2" s="47" t="s">
        <v>76</v>
      </c>
      <c r="P2" s="47" t="s">
        <v>77</v>
      </c>
      <c r="Q2" s="47" t="s">
        <v>78</v>
      </c>
      <c r="R2" s="48" t="s">
        <v>79</v>
      </c>
      <c r="S2" s="48" t="s">
        <v>80</v>
      </c>
      <c r="T2" s="48" t="s">
        <v>81</v>
      </c>
      <c r="U2" s="48" t="s">
        <v>82</v>
      </c>
      <c r="V2" s="48" t="s">
        <v>83</v>
      </c>
      <c r="W2" s="48" t="s">
        <v>84</v>
      </c>
      <c r="X2" s="48" t="s">
        <v>91</v>
      </c>
      <c r="Y2" s="48" t="s">
        <v>92</v>
      </c>
      <c r="Z2" s="48" t="s">
        <v>93</v>
      </c>
      <c r="AA2" s="48" t="s">
        <v>94</v>
      </c>
      <c r="AB2" s="48" t="s">
        <v>95</v>
      </c>
      <c r="AC2" s="48" t="s">
        <v>96</v>
      </c>
      <c r="AD2" s="48" t="s">
        <v>97</v>
      </c>
      <c r="AE2" s="48" t="s">
        <v>98</v>
      </c>
      <c r="AF2" s="48" t="s">
        <v>99</v>
      </c>
      <c r="AG2" s="48" t="s">
        <v>100</v>
      </c>
      <c r="AH2" s="48" t="s">
        <v>101</v>
      </c>
      <c r="AI2" s="48" t="s">
        <v>102</v>
      </c>
      <c r="AJ2" s="48" t="s">
        <v>103</v>
      </c>
      <c r="AK2" s="48" t="s">
        <v>104</v>
      </c>
      <c r="AL2" s="48" t="s">
        <v>105</v>
      </c>
      <c r="AM2" s="48" t="s">
        <v>106</v>
      </c>
      <c r="AN2" s="48" t="s">
        <v>108</v>
      </c>
      <c r="AO2" s="48" t="s">
        <v>107</v>
      </c>
      <c r="AP2" s="48" t="s">
        <v>111</v>
      </c>
      <c r="AQ2" s="48" t="s">
        <v>109</v>
      </c>
      <c r="AR2" s="48" t="s">
        <v>110</v>
      </c>
      <c r="AS2" s="48" t="s">
        <v>112</v>
      </c>
      <c r="AT2" s="48" t="s">
        <v>113</v>
      </c>
      <c r="AU2" s="48" t="s">
        <v>114</v>
      </c>
      <c r="AV2" s="48" t="s">
        <v>115</v>
      </c>
      <c r="AW2" s="48" t="s">
        <v>116</v>
      </c>
      <c r="AX2" s="48" t="s">
        <v>117</v>
      </c>
      <c r="AY2" s="48" t="s">
        <v>118</v>
      </c>
      <c r="AZ2" s="48" t="s">
        <v>119</v>
      </c>
      <c r="BA2" s="48" t="s">
        <v>120</v>
      </c>
      <c r="BB2" s="48" t="s">
        <v>121</v>
      </c>
      <c r="BC2" s="48" t="s">
        <v>122</v>
      </c>
      <c r="BD2" s="48" t="s">
        <v>123</v>
      </c>
      <c r="BE2" s="48" t="s">
        <v>124</v>
      </c>
      <c r="BF2" s="48" t="s">
        <v>125</v>
      </c>
      <c r="BG2" s="48" t="s">
        <v>126</v>
      </c>
      <c r="BI2" s="48" t="s">
        <v>149</v>
      </c>
      <c r="BJ2" s="47" t="s">
        <v>133</v>
      </c>
    </row>
    <row r="3" spans="1:62" s="2" customFormat="1" ht="14.7" thickBot="1" x14ac:dyDescent="0.6">
      <c r="A3" s="56" t="s">
        <v>158</v>
      </c>
      <c r="B3" s="57">
        <f>((4.38-4.202)/4.272)/(100-(-40))</f>
        <v>2.9761904761904748E-4</v>
      </c>
      <c r="C3" s="67">
        <f>((0.01643-0.008879)/0.01168)/(100-(-40))</f>
        <v>4.6177837573385524E-3</v>
      </c>
      <c r="D3" s="58">
        <v>4.0400000000000002E-3</v>
      </c>
      <c r="E3" s="58">
        <v>59600000</v>
      </c>
      <c r="F3" s="124" t="s">
        <v>157</v>
      </c>
      <c r="G3" s="59">
        <v>20</v>
      </c>
      <c r="H3" s="59">
        <v>155</v>
      </c>
      <c r="I3" s="59">
        <v>17</v>
      </c>
      <c r="J3" s="59">
        <v>115</v>
      </c>
      <c r="K3" s="59">
        <v>150</v>
      </c>
      <c r="L3" s="60">
        <v>1</v>
      </c>
      <c r="M3" s="59">
        <v>2</v>
      </c>
      <c r="N3" s="59">
        <v>5</v>
      </c>
      <c r="O3" s="60">
        <v>10</v>
      </c>
      <c r="P3" s="60">
        <v>16</v>
      </c>
      <c r="Q3" s="59">
        <v>20</v>
      </c>
      <c r="R3" s="61">
        <v>155</v>
      </c>
      <c r="S3" s="61">
        <v>154</v>
      </c>
      <c r="T3" s="61">
        <v>153</v>
      </c>
      <c r="U3" s="62">
        <v>0.5</v>
      </c>
      <c r="V3" s="62">
        <v>0.501</v>
      </c>
      <c r="W3" s="62">
        <v>0.502</v>
      </c>
      <c r="X3" s="63">
        <v>4.2720000000000002</v>
      </c>
      <c r="Y3" s="63">
        <v>4.2489999999999997</v>
      </c>
      <c r="Z3" s="63">
        <v>4.218</v>
      </c>
      <c r="AA3" s="63">
        <v>4.1920000000000002</v>
      </c>
      <c r="AB3" s="63">
        <v>4.1749999999999998</v>
      </c>
      <c r="AC3" s="63">
        <v>4.165</v>
      </c>
      <c r="AD3" s="63">
        <f>Table1[[#This Row],[DK11]]</f>
        <v>4.2720000000000002</v>
      </c>
      <c r="AE3" s="63">
        <f>Table1[[#This Row],[DK12]]</f>
        <v>4.2489999999999997</v>
      </c>
      <c r="AF3" s="63">
        <f>Table1[[#This Row],[DK13]]</f>
        <v>4.218</v>
      </c>
      <c r="AG3" s="63">
        <f>Table1[[#This Row],[DK14]]</f>
        <v>4.1920000000000002</v>
      </c>
      <c r="AH3" s="63">
        <f>Table1[[#This Row],[DK15]]</f>
        <v>4.1749999999999998</v>
      </c>
      <c r="AI3" s="63">
        <f>Table1[[#This Row],[DK16]]</f>
        <v>4.165</v>
      </c>
      <c r="AJ3" s="63">
        <f>Table1[[#This Row],[DK11]]</f>
        <v>4.2720000000000002</v>
      </c>
      <c r="AK3" s="63">
        <f>Table1[[#This Row],[DK12]]</f>
        <v>4.2489999999999997</v>
      </c>
      <c r="AL3" s="63">
        <f>Table1[[#This Row],[DK13]]</f>
        <v>4.218</v>
      </c>
      <c r="AM3" s="63">
        <f>Table1[[#This Row],[DK14]]</f>
        <v>4.1920000000000002</v>
      </c>
      <c r="AN3" s="63">
        <f>Table1[[#This Row],[DK15]]</f>
        <v>4.1749999999999998</v>
      </c>
      <c r="AO3" s="63">
        <f>Table1[[#This Row],[DK16]]</f>
        <v>4.165</v>
      </c>
      <c r="AP3" s="64">
        <v>9.6799999999999994E-3</v>
      </c>
      <c r="AQ3" s="64">
        <v>1.0319999999999999E-2</v>
      </c>
      <c r="AR3" s="64">
        <v>1.1169999999999999E-2</v>
      </c>
      <c r="AS3" s="64">
        <v>1.1809999999999999E-2</v>
      </c>
      <c r="AT3" s="64">
        <v>1.223E-2</v>
      </c>
      <c r="AU3" s="64">
        <v>1.2500000000000001E-2</v>
      </c>
      <c r="AV3" s="64">
        <f>Table1[[#This Row],[DF11]]</f>
        <v>9.6799999999999994E-3</v>
      </c>
      <c r="AW3" s="64">
        <f>Table1[[#This Row],[DF12]]</f>
        <v>1.0319999999999999E-2</v>
      </c>
      <c r="AX3" s="64">
        <f>Table1[[#This Row],[DF13]]</f>
        <v>1.1169999999999999E-2</v>
      </c>
      <c r="AY3" s="64">
        <f>Table1[[#This Row],[DF14]]</f>
        <v>1.1809999999999999E-2</v>
      </c>
      <c r="AZ3" s="64">
        <f>Table1[[#This Row],[DF15]]</f>
        <v>1.223E-2</v>
      </c>
      <c r="BA3" s="64">
        <f>Table1[[#This Row],[DF16]]</f>
        <v>1.2500000000000001E-2</v>
      </c>
      <c r="BB3" s="64">
        <f>Table1[[#This Row],[DF11]]</f>
        <v>9.6799999999999994E-3</v>
      </c>
      <c r="BC3" s="64">
        <f>Table1[[#This Row],[DF12]]</f>
        <v>1.0319999999999999E-2</v>
      </c>
      <c r="BD3" s="64">
        <f>Table1[[#This Row],[DF13]]</f>
        <v>1.1169999999999999E-2</v>
      </c>
      <c r="BE3" s="64">
        <f>Table1[[#This Row],[DF14]]</f>
        <v>1.1809999999999999E-2</v>
      </c>
      <c r="BF3" s="64">
        <f>Table1[[#This Row],[DF15]]</f>
        <v>1.223E-2</v>
      </c>
      <c r="BG3" s="64">
        <f>Table1[[#This Row],[DF16]]</f>
        <v>1.2500000000000001E-2</v>
      </c>
      <c r="BI3" s="66" t="s">
        <v>154</v>
      </c>
      <c r="BJ3" s="69">
        <f>6*1.1/7.6</f>
        <v>0.86842105263157909</v>
      </c>
    </row>
    <row r="4" spans="1:62" s="2" customFormat="1" x14ac:dyDescent="0.55000000000000004">
      <c r="A4" s="56" t="s">
        <v>85</v>
      </c>
      <c r="B4" s="57">
        <f>((3.733-3.8613)/3.74758)/(60-(-40))</f>
        <v>-3.4235426595296127E-4</v>
      </c>
      <c r="C4" s="57">
        <f>((0.02559-0.011038)/0.020222)/(60-(-40))</f>
        <v>7.1961230343190593E-3</v>
      </c>
      <c r="D4" s="58">
        <v>4.0400000000000002E-3</v>
      </c>
      <c r="E4" s="58">
        <v>59600000</v>
      </c>
      <c r="F4" s="124" t="s">
        <v>157</v>
      </c>
      <c r="G4" s="59">
        <v>25</v>
      </c>
      <c r="H4" s="59">
        <v>120</v>
      </c>
      <c r="I4" s="59">
        <v>17</v>
      </c>
      <c r="J4" s="59">
        <v>100</v>
      </c>
      <c r="K4" s="59">
        <v>120</v>
      </c>
      <c r="L4" s="60">
        <v>1</v>
      </c>
      <c r="M4" s="59">
        <v>3</v>
      </c>
      <c r="N4" s="59">
        <v>5</v>
      </c>
      <c r="O4" s="60">
        <v>10</v>
      </c>
      <c r="P4" s="60">
        <v>15</v>
      </c>
      <c r="Q4" s="59">
        <v>20</v>
      </c>
      <c r="R4" s="61">
        <v>122</v>
      </c>
      <c r="S4" s="61">
        <v>127</v>
      </c>
      <c r="T4" s="61">
        <v>140</v>
      </c>
      <c r="U4" s="62">
        <v>0.53</v>
      </c>
      <c r="V4" s="62">
        <v>0.55000000000000004</v>
      </c>
      <c r="W4" s="62">
        <v>0.57999999999999996</v>
      </c>
      <c r="X4" s="63">
        <v>4.05</v>
      </c>
      <c r="Y4" s="63">
        <v>4.04</v>
      </c>
      <c r="Z4" s="63">
        <v>4.01</v>
      </c>
      <c r="AA4" s="63">
        <v>3.96</v>
      </c>
      <c r="AB4" s="63">
        <v>3.93</v>
      </c>
      <c r="AC4" s="63">
        <v>3.9</v>
      </c>
      <c r="AD4" s="63">
        <v>3.98</v>
      </c>
      <c r="AE4" s="63">
        <v>3.97</v>
      </c>
      <c r="AF4" s="63">
        <v>3.94</v>
      </c>
      <c r="AG4" s="63">
        <v>3.9</v>
      </c>
      <c r="AH4" s="63">
        <v>3.87</v>
      </c>
      <c r="AI4" s="63">
        <v>3.84</v>
      </c>
      <c r="AJ4" s="63">
        <v>3.89</v>
      </c>
      <c r="AK4" s="63">
        <v>3.88</v>
      </c>
      <c r="AL4" s="63">
        <v>3.85</v>
      </c>
      <c r="AM4" s="63">
        <v>3.81</v>
      </c>
      <c r="AN4" s="63">
        <v>3.78</v>
      </c>
      <c r="AO4" s="63">
        <v>3.75</v>
      </c>
      <c r="AP4" s="64">
        <v>5.4000000000000003E-3</v>
      </c>
      <c r="AQ4" s="64">
        <v>5.5999999999999999E-3</v>
      </c>
      <c r="AR4" s="64">
        <v>6.1000000000000004E-3</v>
      </c>
      <c r="AS4" s="64">
        <v>6.8999999999999999E-3</v>
      </c>
      <c r="AT4" s="64">
        <v>7.4999999999999997E-3</v>
      </c>
      <c r="AU4" s="64">
        <v>8.0999999999999996E-3</v>
      </c>
      <c r="AV4" s="64">
        <v>5.4000000000000003E-3</v>
      </c>
      <c r="AW4" s="64">
        <v>5.5999999999999999E-3</v>
      </c>
      <c r="AX4" s="64">
        <v>6.1000000000000004E-3</v>
      </c>
      <c r="AY4" s="64">
        <v>6.8999999999999999E-3</v>
      </c>
      <c r="AZ4" s="64">
        <v>7.4999999999999997E-3</v>
      </c>
      <c r="BA4" s="64">
        <v>8.0999999999999996E-3</v>
      </c>
      <c r="BB4" s="64">
        <v>5.4000000000000003E-3</v>
      </c>
      <c r="BC4" s="64">
        <v>5.5999999999999999E-3</v>
      </c>
      <c r="BD4" s="64">
        <v>6.1000000000000004E-3</v>
      </c>
      <c r="BE4" s="64">
        <v>7.0000000000000001E-3</v>
      </c>
      <c r="BF4" s="64">
        <v>7.6E-3</v>
      </c>
      <c r="BG4" s="65">
        <v>8.0999999999999996E-3</v>
      </c>
      <c r="BI4" s="66" t="s">
        <v>151</v>
      </c>
      <c r="BJ4" s="69">
        <f>4*1.1/7.6</f>
        <v>0.57894736842105265</v>
      </c>
    </row>
    <row r="5" spans="1:62" s="2" customFormat="1" x14ac:dyDescent="0.55000000000000004">
      <c r="A5" s="66" t="s">
        <v>86</v>
      </c>
      <c r="B5" s="67">
        <f>((3.29-3.26)/3.276)/(80-(-40))</f>
        <v>7.6312576312576949E-5</v>
      </c>
      <c r="C5" s="67">
        <f>((0.004-0.0024)/0.0035)/(80-(-40))</f>
        <v>3.8095238095238104E-3</v>
      </c>
      <c r="D5" s="68">
        <v>4.0400000000000002E-3</v>
      </c>
      <c r="E5" s="68">
        <v>59600000</v>
      </c>
      <c r="F5" s="125" t="s">
        <v>157</v>
      </c>
      <c r="G5" s="69">
        <v>25</v>
      </c>
      <c r="H5" s="69">
        <v>152</v>
      </c>
      <c r="I5" s="69">
        <v>17</v>
      </c>
      <c r="J5" s="69">
        <v>120</v>
      </c>
      <c r="K5" s="69">
        <v>100</v>
      </c>
      <c r="L5" s="70">
        <v>1</v>
      </c>
      <c r="M5" s="71">
        <v>2</v>
      </c>
      <c r="N5" s="70">
        <v>5</v>
      </c>
      <c r="O5" s="70">
        <v>10</v>
      </c>
      <c r="P5" s="70">
        <v>15</v>
      </c>
      <c r="Q5" s="70">
        <v>20</v>
      </c>
      <c r="R5" s="72">
        <v>127</v>
      </c>
      <c r="S5" s="72">
        <v>139.69999999999999</v>
      </c>
      <c r="T5" s="72">
        <v>177.8</v>
      </c>
      <c r="U5" s="73">
        <v>0.6</v>
      </c>
      <c r="V5" s="73">
        <v>0.63</v>
      </c>
      <c r="W5" s="73">
        <v>0.70499999999999996</v>
      </c>
      <c r="X5" s="74">
        <v>3.19</v>
      </c>
      <c r="Y5" s="74">
        <v>3.19</v>
      </c>
      <c r="Z5" s="74">
        <v>3.19</v>
      </c>
      <c r="AA5" s="74">
        <v>3.19</v>
      </c>
      <c r="AB5" s="74">
        <v>3.19</v>
      </c>
      <c r="AC5" s="74">
        <v>3.19</v>
      </c>
      <c r="AD5" s="74">
        <v>3.15</v>
      </c>
      <c r="AE5" s="74">
        <v>3.15</v>
      </c>
      <c r="AF5" s="74">
        <v>3.15</v>
      </c>
      <c r="AG5" s="74">
        <v>3.15</v>
      </c>
      <c r="AH5" s="74">
        <v>3.15</v>
      </c>
      <c r="AI5" s="74">
        <v>3.15</v>
      </c>
      <c r="AJ5" s="74">
        <v>3.02</v>
      </c>
      <c r="AK5" s="74">
        <v>3.02</v>
      </c>
      <c r="AL5" s="74">
        <v>3.02</v>
      </c>
      <c r="AM5" s="74">
        <v>3.02</v>
      </c>
      <c r="AN5" s="74">
        <v>3.02</v>
      </c>
      <c r="AO5" s="74">
        <v>3.01</v>
      </c>
      <c r="AP5" s="75">
        <v>2.0999999999999999E-3</v>
      </c>
      <c r="AQ5" s="75">
        <v>2.0999999999999999E-3</v>
      </c>
      <c r="AR5" s="75">
        <v>2.0999999999999999E-3</v>
      </c>
      <c r="AS5" s="75">
        <v>2.0999999999999999E-3</v>
      </c>
      <c r="AT5" s="75">
        <v>2.0999999999999999E-3</v>
      </c>
      <c r="AU5" s="75">
        <v>2.0999999999999999E-3</v>
      </c>
      <c r="AV5" s="75">
        <v>1.9E-3</v>
      </c>
      <c r="AW5" s="75">
        <v>1.9E-3</v>
      </c>
      <c r="AX5" s="75">
        <v>1.9E-3</v>
      </c>
      <c r="AY5" s="75">
        <v>1.9E-3</v>
      </c>
      <c r="AZ5" s="75">
        <v>1.9E-3</v>
      </c>
      <c r="BA5" s="75">
        <v>1.9E-3</v>
      </c>
      <c r="BB5" s="75">
        <v>1.5E-3</v>
      </c>
      <c r="BC5" s="75">
        <v>1.5E-3</v>
      </c>
      <c r="BD5" s="75">
        <v>1.5E-3</v>
      </c>
      <c r="BE5" s="75">
        <v>1.5E-3</v>
      </c>
      <c r="BF5" s="75">
        <v>1.5E-3</v>
      </c>
      <c r="BG5" s="76">
        <v>1.5E-3</v>
      </c>
      <c r="BI5" s="66" t="s">
        <v>152</v>
      </c>
      <c r="BJ5" s="69">
        <f>2.5*1.1/7.6</f>
        <v>0.36184210526315791</v>
      </c>
    </row>
    <row r="6" spans="1:62" ht="14.7" thickBot="1" x14ac:dyDescent="0.6">
      <c r="A6" s="77" t="s">
        <v>87</v>
      </c>
      <c r="B6" s="78">
        <v>0</v>
      </c>
      <c r="C6" s="78">
        <v>0</v>
      </c>
      <c r="D6" s="79">
        <v>4.0400000000000002E-3</v>
      </c>
      <c r="E6" s="79">
        <v>59600000</v>
      </c>
      <c r="F6" s="126" t="s">
        <v>157</v>
      </c>
      <c r="G6" s="80">
        <v>25</v>
      </c>
      <c r="H6" s="80">
        <v>64</v>
      </c>
      <c r="I6" s="80">
        <v>17</v>
      </c>
      <c r="J6" s="80">
        <v>55</v>
      </c>
      <c r="K6" s="80">
        <v>110</v>
      </c>
      <c r="L6" s="81">
        <v>1</v>
      </c>
      <c r="M6" s="82">
        <v>3</v>
      </c>
      <c r="N6" s="81">
        <v>5</v>
      </c>
      <c r="O6" s="81">
        <v>10</v>
      </c>
      <c r="P6" s="81">
        <v>15</v>
      </c>
      <c r="Q6" s="81">
        <v>20</v>
      </c>
      <c r="R6" s="83">
        <v>51</v>
      </c>
      <c r="S6" s="83">
        <v>64</v>
      </c>
      <c r="T6" s="83">
        <v>76</v>
      </c>
      <c r="U6" s="84">
        <v>0.67</v>
      </c>
      <c r="V6" s="84">
        <v>0.72</v>
      </c>
      <c r="W6" s="84">
        <v>0.76</v>
      </c>
      <c r="X6" s="85">
        <v>3.14</v>
      </c>
      <c r="Y6" s="85">
        <v>3.14</v>
      </c>
      <c r="Z6" s="85">
        <v>3.13</v>
      </c>
      <c r="AA6" s="85">
        <v>3.12</v>
      </c>
      <c r="AB6" s="85">
        <v>3.11</v>
      </c>
      <c r="AC6" s="85">
        <v>3.1</v>
      </c>
      <c r="AD6" s="85">
        <v>3.07</v>
      </c>
      <c r="AE6" s="85">
        <v>3.07</v>
      </c>
      <c r="AF6" s="85">
        <v>3.06</v>
      </c>
      <c r="AG6" s="85">
        <v>3.05</v>
      </c>
      <c r="AH6" s="85">
        <v>3.04</v>
      </c>
      <c r="AI6" s="85">
        <v>3.03</v>
      </c>
      <c r="AJ6" s="85">
        <v>3.02</v>
      </c>
      <c r="AK6" s="85">
        <v>3.01</v>
      </c>
      <c r="AL6" s="85">
        <v>3.01</v>
      </c>
      <c r="AM6" s="85">
        <v>3</v>
      </c>
      <c r="AN6" s="85">
        <v>2.99</v>
      </c>
      <c r="AO6" s="85">
        <v>2.99</v>
      </c>
      <c r="AP6" s="86">
        <v>1.2999999999999999E-3</v>
      </c>
      <c r="AQ6" s="86">
        <v>1.6000000000000001E-3</v>
      </c>
      <c r="AR6" s="86">
        <v>1.9E-3</v>
      </c>
      <c r="AS6" s="86">
        <v>2E-3</v>
      </c>
      <c r="AT6" s="86">
        <v>2.2000000000000001E-3</v>
      </c>
      <c r="AU6" s="86">
        <v>2.3E-3</v>
      </c>
      <c r="AV6" s="86">
        <v>1.1999999999999999E-3</v>
      </c>
      <c r="AW6" s="86">
        <v>1.5E-3</v>
      </c>
      <c r="AX6" s="86">
        <v>1.8E-3</v>
      </c>
      <c r="AY6" s="86">
        <v>2E-3</v>
      </c>
      <c r="AZ6" s="86">
        <v>2.2000000000000001E-3</v>
      </c>
      <c r="BA6" s="86">
        <v>2.3E-3</v>
      </c>
      <c r="BB6" s="86">
        <v>1.1000000000000001E-3</v>
      </c>
      <c r="BC6" s="86">
        <v>1.4E-3</v>
      </c>
      <c r="BD6" s="86">
        <v>1.6999999999999999E-3</v>
      </c>
      <c r="BE6" s="86">
        <v>1.9E-3</v>
      </c>
      <c r="BF6" s="86">
        <v>2.0999999999999999E-3</v>
      </c>
      <c r="BG6" s="87">
        <v>2.2000000000000001E-3</v>
      </c>
      <c r="BH6" s="54"/>
      <c r="BI6" s="66" t="s">
        <v>155</v>
      </c>
      <c r="BJ6" s="69">
        <f>1.5*1.1/7.6</f>
        <v>0.21710526315789477</v>
      </c>
    </row>
    <row r="7" spans="1:62" x14ac:dyDescent="0.55000000000000004">
      <c r="A7" s="54"/>
      <c r="B7" s="54"/>
      <c r="C7" s="54"/>
      <c r="D7" s="54"/>
      <c r="E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66" t="s">
        <v>156</v>
      </c>
      <c r="BJ7" s="122">
        <f>0.6*1.1/7.6</f>
        <v>8.6842105263157901E-2</v>
      </c>
    </row>
    <row r="8" spans="1:62" x14ac:dyDescent="0.55000000000000004">
      <c r="A8" s="54"/>
      <c r="B8" s="54"/>
      <c r="C8" s="54"/>
      <c r="D8" s="54"/>
      <c r="E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row>
    <row r="9" spans="1:62" x14ac:dyDescent="0.55000000000000004">
      <c r="A9" s="54"/>
      <c r="B9" s="54"/>
      <c r="C9" s="54"/>
      <c r="D9" s="54"/>
      <c r="E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row>
    <row r="10" spans="1:62" x14ac:dyDescent="0.55000000000000004">
      <c r="A10" s="54"/>
      <c r="B10" s="54"/>
      <c r="C10" s="54"/>
      <c r="D10" s="54"/>
      <c r="E10" s="54"/>
      <c r="G10" s="54"/>
      <c r="H10" s="54"/>
      <c r="I10" s="54"/>
      <c r="J10" s="55"/>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row>
    <row r="11" spans="1:62" x14ac:dyDescent="0.55000000000000004">
      <c r="A11" s="54"/>
      <c r="B11" s="54"/>
      <c r="C11" s="54"/>
      <c r="D11" s="54"/>
      <c r="E11" s="54"/>
      <c r="G11" s="54"/>
      <c r="H11" s="54"/>
      <c r="I11" s="54"/>
      <c r="J11" s="55"/>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row>
    <row r="12" spans="1:62" x14ac:dyDescent="0.55000000000000004">
      <c r="A12" s="54"/>
      <c r="B12" s="54"/>
      <c r="C12" s="54"/>
      <c r="D12" s="54"/>
      <c r="E12" s="54"/>
      <c r="G12" s="54"/>
      <c r="H12" s="54"/>
      <c r="I12" s="54"/>
      <c r="J12" s="55"/>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row>
    <row r="13" spans="1:62" x14ac:dyDescent="0.55000000000000004">
      <c r="A13" s="54"/>
      <c r="B13" s="54"/>
      <c r="C13" s="54"/>
      <c r="D13" s="54"/>
      <c r="E13" s="54"/>
      <c r="G13" s="54"/>
      <c r="H13" s="54"/>
      <c r="I13" s="54"/>
      <c r="J13" s="55"/>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H13" s="54"/>
    </row>
    <row r="14" spans="1:62" x14ac:dyDescent="0.55000000000000004">
      <c r="A14" s="54"/>
      <c r="B14" s="54"/>
      <c r="C14" s="54"/>
      <c r="D14" s="54"/>
      <c r="E14" s="54"/>
      <c r="G14" s="54"/>
      <c r="H14" s="54"/>
      <c r="I14" s="54"/>
      <c r="J14" s="55"/>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row>
    <row r="15" spans="1:62" x14ac:dyDescent="0.55000000000000004">
      <c r="A15" s="54"/>
      <c r="B15" s="54"/>
      <c r="C15" s="54"/>
      <c r="D15" s="54"/>
      <c r="E15" s="54"/>
      <c r="G15" s="54"/>
      <c r="H15" s="54"/>
      <c r="I15" s="54"/>
      <c r="J15" s="55"/>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row>
    <row r="16" spans="1:62" x14ac:dyDescent="0.55000000000000004">
      <c r="A16" s="54"/>
      <c r="B16" s="54"/>
      <c r="C16" s="54"/>
      <c r="D16" s="54"/>
      <c r="E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row>
    <row r="17" spans="1:60" x14ac:dyDescent="0.55000000000000004">
      <c r="A17" s="54"/>
      <c r="B17" s="54"/>
      <c r="C17" s="54"/>
      <c r="D17" s="54"/>
      <c r="E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row>
    <row r="18" spans="1:60" x14ac:dyDescent="0.55000000000000004">
      <c r="A18" s="54"/>
      <c r="B18" s="54"/>
      <c r="C18" s="54"/>
      <c r="D18" s="54"/>
      <c r="E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row>
    <row r="19" spans="1:60" x14ac:dyDescent="0.55000000000000004">
      <c r="A19" s="54"/>
      <c r="B19" s="54"/>
      <c r="C19" s="54"/>
      <c r="D19" s="54"/>
      <c r="E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row>
    <row r="20" spans="1:60" x14ac:dyDescent="0.55000000000000004">
      <c r="A20" s="54"/>
      <c r="B20" s="54"/>
      <c r="C20" s="54"/>
      <c r="D20" s="54"/>
      <c r="E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row>
    <row r="21" spans="1:60" x14ac:dyDescent="0.55000000000000004">
      <c r="A21" s="54"/>
      <c r="B21" s="54"/>
      <c r="C21" s="54"/>
      <c r="D21" s="54"/>
      <c r="E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row>
    <row r="22" spans="1:60" x14ac:dyDescent="0.55000000000000004">
      <c r="A22" s="54"/>
      <c r="B22" s="54"/>
      <c r="C22" s="54"/>
      <c r="D22" s="54"/>
      <c r="E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row>
    <row r="23" spans="1:60" x14ac:dyDescent="0.55000000000000004">
      <c r="A23" s="54"/>
      <c r="B23" s="54"/>
      <c r="C23" s="54"/>
      <c r="D23" s="54"/>
      <c r="E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row>
    <row r="24" spans="1:60" x14ac:dyDescent="0.55000000000000004">
      <c r="A24" s="54"/>
      <c r="B24" s="54"/>
      <c r="C24" s="54"/>
      <c r="D24" s="54"/>
      <c r="E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row>
    <row r="25" spans="1:60" x14ac:dyDescent="0.55000000000000004">
      <c r="A25" s="54"/>
      <c r="B25" s="54"/>
      <c r="C25" s="54"/>
      <c r="D25" s="54"/>
      <c r="E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row>
    <row r="26" spans="1:60" x14ac:dyDescent="0.55000000000000004">
      <c r="A26" s="54"/>
      <c r="B26" s="54"/>
      <c r="C26" s="54"/>
      <c r="D26" s="54"/>
      <c r="E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row>
    <row r="27" spans="1:60" x14ac:dyDescent="0.55000000000000004">
      <c r="A27" s="54"/>
      <c r="B27" s="54"/>
      <c r="C27" s="54"/>
      <c r="D27" s="54"/>
      <c r="E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row>
    <row r="28" spans="1:60" x14ac:dyDescent="0.55000000000000004">
      <c r="A28" s="54"/>
      <c r="B28" s="54"/>
      <c r="C28" s="54"/>
      <c r="D28" s="54"/>
      <c r="E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row>
    <row r="29" spans="1:60" x14ac:dyDescent="0.55000000000000004">
      <c r="A29" s="54"/>
      <c r="B29" s="54"/>
      <c r="C29" s="54"/>
      <c r="D29" s="54"/>
      <c r="E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row>
    <row r="30" spans="1:60" x14ac:dyDescent="0.55000000000000004">
      <c r="A30" s="54"/>
      <c r="B30" s="54"/>
      <c r="C30" s="54"/>
      <c r="D30" s="54"/>
      <c r="E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row>
    <row r="31" spans="1:60" x14ac:dyDescent="0.55000000000000004">
      <c r="A31" s="54"/>
      <c r="B31" s="54"/>
      <c r="C31" s="54"/>
      <c r="D31" s="54"/>
      <c r="E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row>
    <row r="32" spans="1:60" x14ac:dyDescent="0.55000000000000004">
      <c r="A32" s="54"/>
      <c r="B32" s="54"/>
      <c r="C32" s="54"/>
      <c r="D32" s="54"/>
      <c r="E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row>
    <row r="33" spans="1:60" x14ac:dyDescent="0.55000000000000004">
      <c r="A33" s="54"/>
      <c r="B33" s="54"/>
      <c r="C33" s="54"/>
      <c r="D33" s="54"/>
      <c r="E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row>
    <row r="34" spans="1:60" x14ac:dyDescent="0.55000000000000004">
      <c r="A34" s="54"/>
      <c r="B34" s="54"/>
      <c r="C34" s="54"/>
      <c r="D34" s="54"/>
      <c r="E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row>
    <row r="35" spans="1:60" x14ac:dyDescent="0.55000000000000004">
      <c r="A35" s="54"/>
      <c r="B35" s="54"/>
      <c r="C35" s="54"/>
      <c r="D35" s="54"/>
      <c r="E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row>
    <row r="36" spans="1:60" x14ac:dyDescent="0.55000000000000004">
      <c r="A36" s="54"/>
      <c r="B36" s="54"/>
      <c r="C36" s="54"/>
      <c r="D36" s="54"/>
      <c r="E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row>
    <row r="37" spans="1:60" x14ac:dyDescent="0.55000000000000004">
      <c r="A37" s="54"/>
      <c r="B37" s="54"/>
      <c r="C37" s="54"/>
      <c r="D37" s="54"/>
      <c r="E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row>
    <row r="38" spans="1:60" x14ac:dyDescent="0.55000000000000004">
      <c r="A38" s="54"/>
      <c r="B38" s="54"/>
      <c r="C38" s="54"/>
      <c r="D38" s="54"/>
      <c r="E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row>
    <row r="39" spans="1:60" x14ac:dyDescent="0.55000000000000004">
      <c r="A39" s="54"/>
      <c r="B39" s="54"/>
      <c r="C39" s="54"/>
      <c r="D39" s="54"/>
      <c r="E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row>
    <row r="40" spans="1:60" x14ac:dyDescent="0.55000000000000004">
      <c r="A40" s="54"/>
      <c r="B40" s="54"/>
      <c r="C40" s="54"/>
      <c r="D40" s="54"/>
      <c r="E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row>
    <row r="41" spans="1:60" x14ac:dyDescent="0.55000000000000004">
      <c r="A41" s="54"/>
      <c r="B41" s="54"/>
      <c r="C41" s="54"/>
      <c r="D41" s="54"/>
      <c r="E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row>
    <row r="42" spans="1:60" x14ac:dyDescent="0.55000000000000004">
      <c r="A42" s="54"/>
      <c r="B42" s="54"/>
      <c r="C42" s="54"/>
      <c r="D42" s="54"/>
      <c r="E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row>
    <row r="43" spans="1:60" x14ac:dyDescent="0.55000000000000004">
      <c r="A43" s="54"/>
      <c r="B43" s="54"/>
      <c r="C43" s="54"/>
      <c r="D43" s="54"/>
      <c r="E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row>
    <row r="44" spans="1:60" x14ac:dyDescent="0.55000000000000004">
      <c r="A44" s="54"/>
      <c r="B44" s="54"/>
      <c r="C44" s="54"/>
      <c r="D44" s="54"/>
      <c r="E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row>
    <row r="45" spans="1:60" x14ac:dyDescent="0.55000000000000004">
      <c r="A45" s="54"/>
      <c r="B45" s="54"/>
      <c r="C45" s="54"/>
      <c r="D45" s="54"/>
      <c r="E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row>
    <row r="46" spans="1:60" x14ac:dyDescent="0.55000000000000004">
      <c r="A46" s="54"/>
      <c r="B46" s="54"/>
      <c r="C46" s="54"/>
      <c r="D46" s="54"/>
      <c r="E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row>
    <row r="47" spans="1:60" x14ac:dyDescent="0.55000000000000004">
      <c r="A47" s="54"/>
      <c r="B47" s="54"/>
      <c r="C47" s="54"/>
      <c r="D47" s="54"/>
      <c r="E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row>
    <row r="48" spans="1:60" x14ac:dyDescent="0.55000000000000004">
      <c r="A48" s="54"/>
      <c r="B48" s="54"/>
      <c r="C48" s="54"/>
      <c r="D48" s="54"/>
      <c r="E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row>
    <row r="49" spans="1:60" x14ac:dyDescent="0.55000000000000004">
      <c r="A49" s="54"/>
      <c r="B49" s="54"/>
      <c r="C49" s="54"/>
      <c r="D49" s="54"/>
      <c r="E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row>
    <row r="50" spans="1:60" x14ac:dyDescent="0.55000000000000004">
      <c r="A50" s="54"/>
      <c r="B50" s="54"/>
      <c r="C50" s="54"/>
      <c r="D50" s="54"/>
      <c r="E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row>
    <row r="51" spans="1:60" x14ac:dyDescent="0.55000000000000004">
      <c r="A51" s="54"/>
      <c r="B51" s="54"/>
      <c r="C51" s="54"/>
      <c r="D51" s="54"/>
      <c r="E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row>
    <row r="52" spans="1:60" x14ac:dyDescent="0.55000000000000004">
      <c r="A52" s="54"/>
      <c r="B52" s="54"/>
      <c r="C52" s="54"/>
      <c r="D52" s="54"/>
      <c r="E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row>
    <row r="53" spans="1:60" x14ac:dyDescent="0.55000000000000004">
      <c r="A53" s="54"/>
      <c r="B53" s="54"/>
      <c r="C53" s="54"/>
      <c r="D53" s="54"/>
      <c r="E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row>
    <row r="54" spans="1:60" x14ac:dyDescent="0.55000000000000004">
      <c r="A54" s="54"/>
      <c r="B54" s="54"/>
      <c r="C54" s="54"/>
      <c r="D54" s="54"/>
      <c r="E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row>
    <row r="55" spans="1:60" x14ac:dyDescent="0.55000000000000004">
      <c r="A55" s="54"/>
      <c r="B55" s="54"/>
      <c r="C55" s="54"/>
      <c r="D55" s="54"/>
      <c r="E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row>
    <row r="56" spans="1:60" x14ac:dyDescent="0.55000000000000004">
      <c r="A56" s="54"/>
      <c r="B56" s="54"/>
      <c r="C56" s="54"/>
      <c r="D56" s="54"/>
      <c r="E56" s="54"/>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row>
    <row r="57" spans="1:60" x14ac:dyDescent="0.55000000000000004">
      <c r="A57" s="54"/>
      <c r="B57" s="54"/>
      <c r="C57" s="54"/>
      <c r="D57" s="54"/>
      <c r="E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54"/>
      <c r="BG57" s="54"/>
      <c r="BH57" s="54"/>
    </row>
    <row r="58" spans="1:60" x14ac:dyDescent="0.55000000000000004">
      <c r="A58" s="54"/>
      <c r="B58" s="54"/>
      <c r="C58" s="54"/>
      <c r="D58" s="54"/>
      <c r="E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54"/>
      <c r="BG58" s="54"/>
      <c r="BH58" s="54"/>
    </row>
    <row r="59" spans="1:60" x14ac:dyDescent="0.55000000000000004">
      <c r="A59" s="54"/>
      <c r="B59" s="54"/>
      <c r="C59" s="54"/>
      <c r="D59" s="54"/>
      <c r="E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row>
    <row r="60" spans="1:60" x14ac:dyDescent="0.55000000000000004">
      <c r="A60" s="54"/>
      <c r="B60" s="54"/>
      <c r="C60" s="54"/>
      <c r="D60" s="54"/>
      <c r="E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54"/>
      <c r="BG60" s="54"/>
      <c r="BH60" s="54"/>
    </row>
    <row r="61" spans="1:60" x14ac:dyDescent="0.55000000000000004">
      <c r="A61" s="54"/>
      <c r="B61" s="54"/>
      <c r="C61" s="54"/>
      <c r="D61" s="54"/>
      <c r="E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54"/>
      <c r="BG61" s="54"/>
      <c r="BH61" s="54"/>
    </row>
    <row r="62" spans="1:60" x14ac:dyDescent="0.55000000000000004">
      <c r="A62" s="54"/>
      <c r="B62" s="54"/>
      <c r="C62" s="54"/>
      <c r="D62" s="54"/>
      <c r="E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54"/>
      <c r="BG62" s="54"/>
      <c r="BH62" s="54"/>
    </row>
    <row r="63" spans="1:60" x14ac:dyDescent="0.55000000000000004">
      <c r="A63" s="54"/>
      <c r="B63" s="54"/>
      <c r="C63" s="54"/>
      <c r="D63" s="54"/>
      <c r="E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54"/>
      <c r="BG63" s="54"/>
      <c r="BH63" s="54"/>
    </row>
    <row r="64" spans="1:60" x14ac:dyDescent="0.55000000000000004">
      <c r="A64" s="54"/>
      <c r="B64" s="54"/>
      <c r="C64" s="54"/>
      <c r="D64" s="54"/>
      <c r="E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54"/>
      <c r="BG64" s="54"/>
      <c r="BH64" s="54"/>
    </row>
    <row r="65" spans="1:60" x14ac:dyDescent="0.55000000000000004">
      <c r="A65" s="54"/>
      <c r="B65" s="54"/>
      <c r="C65" s="54"/>
      <c r="D65" s="54"/>
      <c r="E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row>
    <row r="66" spans="1:60" x14ac:dyDescent="0.55000000000000004">
      <c r="A66" s="54"/>
      <c r="B66" s="54"/>
      <c r="C66" s="54"/>
      <c r="D66" s="54"/>
      <c r="E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54"/>
      <c r="BG66" s="54"/>
      <c r="BH66" s="54"/>
    </row>
    <row r="67" spans="1:60" x14ac:dyDescent="0.55000000000000004">
      <c r="A67" s="54"/>
      <c r="B67" s="54"/>
      <c r="C67" s="54"/>
      <c r="D67" s="54"/>
      <c r="E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c r="BA67" s="54"/>
      <c r="BB67" s="54"/>
      <c r="BC67" s="54"/>
      <c r="BD67" s="54"/>
      <c r="BE67" s="54"/>
      <c r="BF67" s="54"/>
      <c r="BG67" s="54"/>
      <c r="BH67" s="54"/>
    </row>
    <row r="68" spans="1:60" x14ac:dyDescent="0.55000000000000004">
      <c r="A68" s="54"/>
      <c r="B68" s="54"/>
      <c r="C68" s="54"/>
      <c r="D68" s="54"/>
      <c r="E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54"/>
      <c r="BA68" s="54"/>
      <c r="BB68" s="54"/>
      <c r="BC68" s="54"/>
      <c r="BD68" s="54"/>
      <c r="BE68" s="54"/>
      <c r="BF68" s="54"/>
      <c r="BG68" s="54"/>
      <c r="BH68" s="54"/>
    </row>
    <row r="69" spans="1:60" x14ac:dyDescent="0.55000000000000004">
      <c r="A69" s="54"/>
      <c r="B69" s="54"/>
      <c r="C69" s="54"/>
      <c r="D69" s="54"/>
      <c r="E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54"/>
      <c r="BG69" s="54"/>
      <c r="BH69" s="54"/>
    </row>
    <row r="70" spans="1:60" x14ac:dyDescent="0.55000000000000004">
      <c r="A70" s="54"/>
      <c r="B70" s="54"/>
      <c r="C70" s="54"/>
      <c r="D70" s="54"/>
      <c r="E70" s="54"/>
      <c r="G70" s="54"/>
      <c r="H70" s="54"/>
      <c r="I70" s="54"/>
      <c r="J70" s="54"/>
      <c r="K70" s="54"/>
      <c r="L70" s="54"/>
      <c r="M70" s="54"/>
      <c r="N70" s="54"/>
      <c r="O70" s="54"/>
      <c r="P70" s="54"/>
      <c r="Q70" s="54"/>
      <c r="R70" s="54"/>
      <c r="S70" s="54"/>
      <c r="T70" s="54"/>
      <c r="U70" s="54"/>
      <c r="V70" s="54"/>
      <c r="W70" s="54"/>
      <c r="X70" s="54"/>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54"/>
      <c r="BG70" s="54"/>
      <c r="BH70" s="54"/>
    </row>
    <row r="71" spans="1:60" x14ac:dyDescent="0.55000000000000004">
      <c r="A71" s="54"/>
      <c r="B71" s="54"/>
      <c r="C71" s="54"/>
      <c r="D71" s="54"/>
      <c r="E71" s="54"/>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54"/>
      <c r="BG71" s="54"/>
      <c r="BH71" s="54"/>
    </row>
    <row r="72" spans="1:60" x14ac:dyDescent="0.55000000000000004">
      <c r="A72" s="54"/>
      <c r="B72" s="54"/>
      <c r="C72" s="54"/>
      <c r="D72" s="54"/>
      <c r="E72" s="54"/>
      <c r="G72" s="54"/>
      <c r="H72" s="54"/>
      <c r="I72" s="54"/>
      <c r="J72" s="54"/>
      <c r="K72" s="54"/>
      <c r="L72" s="54"/>
      <c r="M72" s="54"/>
      <c r="N72" s="54"/>
      <c r="O72" s="54"/>
      <c r="P72" s="54"/>
      <c r="Q72" s="54"/>
      <c r="R72" s="54"/>
      <c r="S72" s="54"/>
      <c r="T72" s="54"/>
      <c r="U72" s="54"/>
      <c r="V72" s="54"/>
      <c r="W72" s="54"/>
      <c r="X72" s="54"/>
      <c r="Y72" s="54"/>
      <c r="Z72" s="54"/>
      <c r="AA72" s="54"/>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4"/>
      <c r="BA72" s="54"/>
      <c r="BB72" s="54"/>
      <c r="BC72" s="54"/>
      <c r="BD72" s="54"/>
      <c r="BE72" s="54"/>
      <c r="BF72" s="54"/>
      <c r="BG72" s="54"/>
      <c r="BH72" s="54"/>
    </row>
    <row r="73" spans="1:60" x14ac:dyDescent="0.55000000000000004">
      <c r="A73" s="54"/>
      <c r="B73" s="54"/>
      <c r="C73" s="54"/>
      <c r="D73" s="54"/>
      <c r="E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54"/>
      <c r="BG73" s="54"/>
      <c r="BH73" s="54"/>
    </row>
    <row r="74" spans="1:60" x14ac:dyDescent="0.55000000000000004">
      <c r="A74" s="54"/>
      <c r="B74" s="54"/>
      <c r="C74" s="54"/>
      <c r="D74" s="54"/>
      <c r="E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row>
    <row r="75" spans="1:60" x14ac:dyDescent="0.55000000000000004">
      <c r="A75" s="54"/>
      <c r="B75" s="54"/>
      <c r="C75" s="54"/>
      <c r="D75" s="54"/>
      <c r="E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54"/>
      <c r="BG75" s="54"/>
      <c r="BH75" s="54"/>
    </row>
    <row r="76" spans="1:60" x14ac:dyDescent="0.55000000000000004">
      <c r="A76" s="54"/>
      <c r="B76" s="54"/>
      <c r="C76" s="54"/>
      <c r="D76" s="54"/>
      <c r="E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54"/>
      <c r="BE76" s="54"/>
      <c r="BF76" s="54"/>
      <c r="BG76" s="54"/>
      <c r="BH76" s="54"/>
    </row>
    <row r="77" spans="1:60" x14ac:dyDescent="0.55000000000000004">
      <c r="A77" s="54"/>
      <c r="B77" s="54"/>
      <c r="C77" s="54"/>
      <c r="D77" s="54"/>
      <c r="E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54"/>
      <c r="BD77" s="54"/>
      <c r="BE77" s="54"/>
      <c r="BF77" s="54"/>
      <c r="BG77" s="54"/>
      <c r="BH77" s="54"/>
    </row>
    <row r="78" spans="1:60" x14ac:dyDescent="0.55000000000000004">
      <c r="A78" s="54"/>
      <c r="B78" s="54"/>
      <c r="C78" s="54"/>
      <c r="D78" s="54"/>
      <c r="E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54"/>
      <c r="BD78" s="54"/>
      <c r="BE78" s="54"/>
      <c r="BF78" s="54"/>
      <c r="BG78" s="54"/>
      <c r="BH78" s="54"/>
    </row>
    <row r="79" spans="1:60" x14ac:dyDescent="0.55000000000000004">
      <c r="A79" s="54"/>
      <c r="B79" s="54"/>
      <c r="C79" s="54"/>
      <c r="D79" s="54"/>
      <c r="E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54"/>
      <c r="BD79" s="54"/>
      <c r="BE79" s="54"/>
      <c r="BF79" s="54"/>
      <c r="BG79" s="54"/>
      <c r="BH79" s="54"/>
    </row>
    <row r="80" spans="1:60" x14ac:dyDescent="0.55000000000000004">
      <c r="A80" s="54"/>
      <c r="B80" s="54"/>
      <c r="C80" s="54"/>
      <c r="D80" s="54"/>
      <c r="E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54"/>
      <c r="BD80" s="54"/>
      <c r="BE80" s="54"/>
      <c r="BF80" s="54"/>
      <c r="BG80" s="54"/>
      <c r="BH80" s="54"/>
    </row>
    <row r="81" spans="1:60" x14ac:dyDescent="0.55000000000000004">
      <c r="A81" s="54"/>
      <c r="B81" s="54"/>
      <c r="C81" s="54"/>
      <c r="D81" s="54"/>
      <c r="E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54"/>
      <c r="BD81" s="54"/>
      <c r="BE81" s="54"/>
      <c r="BF81" s="54"/>
      <c r="BG81" s="54"/>
      <c r="BH81" s="54"/>
    </row>
    <row r="82" spans="1:60" x14ac:dyDescent="0.55000000000000004">
      <c r="A82" s="54"/>
      <c r="B82" s="54"/>
      <c r="C82" s="54"/>
      <c r="D82" s="54"/>
      <c r="E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54"/>
    </row>
    <row r="83" spans="1:60" x14ac:dyDescent="0.55000000000000004">
      <c r="A83" s="54"/>
      <c r="B83" s="54"/>
      <c r="C83" s="54"/>
      <c r="D83" s="54"/>
      <c r="E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c r="BH83" s="54"/>
    </row>
    <row r="84" spans="1:60" x14ac:dyDescent="0.55000000000000004">
      <c r="A84" s="54"/>
      <c r="B84" s="54"/>
      <c r="C84" s="54"/>
      <c r="D84" s="54"/>
      <c r="E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4"/>
      <c r="AF84" s="54"/>
      <c r="AG84" s="54"/>
      <c r="AH84" s="54"/>
      <c r="AI84" s="54"/>
      <c r="AJ84" s="54"/>
      <c r="AK84" s="54"/>
      <c r="AL84" s="54"/>
      <c r="AM84" s="54"/>
      <c r="AN84" s="54"/>
      <c r="AO84" s="54"/>
      <c r="AP84" s="54"/>
      <c r="AQ84" s="54"/>
      <c r="AR84" s="54"/>
      <c r="AS84" s="54"/>
      <c r="AT84" s="54"/>
      <c r="AU84" s="54"/>
      <c r="AV84" s="54"/>
      <c r="AW84" s="54"/>
      <c r="AX84" s="54"/>
      <c r="AY84" s="54"/>
      <c r="AZ84" s="54"/>
      <c r="BA84" s="54"/>
      <c r="BB84" s="54"/>
      <c r="BC84" s="54"/>
      <c r="BD84" s="54"/>
      <c r="BE84" s="54"/>
      <c r="BF84" s="54"/>
      <c r="BG84" s="54"/>
      <c r="BH84" s="54"/>
    </row>
    <row r="85" spans="1:60" x14ac:dyDescent="0.55000000000000004">
      <c r="A85" s="54"/>
      <c r="B85" s="54"/>
      <c r="C85" s="54"/>
      <c r="D85" s="54"/>
      <c r="E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54"/>
      <c r="AI85" s="54"/>
      <c r="AJ85" s="54"/>
      <c r="AK85" s="54"/>
      <c r="AL85" s="54"/>
      <c r="AM85" s="54"/>
      <c r="AN85" s="54"/>
      <c r="AO85" s="54"/>
      <c r="AP85" s="54"/>
      <c r="AQ85" s="54"/>
      <c r="AR85" s="54"/>
      <c r="AS85" s="54"/>
      <c r="AT85" s="54"/>
      <c r="AU85" s="54"/>
      <c r="AV85" s="54"/>
      <c r="AW85" s="54"/>
      <c r="AX85" s="54"/>
      <c r="AY85" s="54"/>
      <c r="AZ85" s="54"/>
      <c r="BA85" s="54"/>
      <c r="BB85" s="54"/>
      <c r="BC85" s="54"/>
      <c r="BD85" s="54"/>
      <c r="BE85" s="54"/>
      <c r="BF85" s="54"/>
      <c r="BG85" s="54"/>
      <c r="BH85" s="54"/>
    </row>
    <row r="86" spans="1:60" x14ac:dyDescent="0.55000000000000004">
      <c r="A86" s="54"/>
      <c r="B86" s="54"/>
      <c r="C86" s="54"/>
      <c r="D86" s="54"/>
      <c r="E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c r="AH86" s="54"/>
      <c r="AI86" s="54"/>
      <c r="AJ86" s="54"/>
      <c r="AK86" s="54"/>
      <c r="AL86" s="54"/>
      <c r="AM86" s="54"/>
      <c r="AN86" s="54"/>
      <c r="AO86" s="54"/>
      <c r="AP86" s="54"/>
      <c r="AQ86" s="54"/>
      <c r="AR86" s="54"/>
      <c r="AS86" s="54"/>
      <c r="AT86" s="54"/>
      <c r="AU86" s="54"/>
      <c r="AV86" s="54"/>
      <c r="AW86" s="54"/>
      <c r="AX86" s="54"/>
      <c r="AY86" s="54"/>
      <c r="AZ86" s="54"/>
      <c r="BA86" s="54"/>
      <c r="BB86" s="54"/>
      <c r="BC86" s="54"/>
      <c r="BD86" s="54"/>
      <c r="BE86" s="54"/>
      <c r="BF86" s="54"/>
      <c r="BG86" s="54"/>
      <c r="BH86" s="54"/>
    </row>
    <row r="87" spans="1:60" x14ac:dyDescent="0.55000000000000004">
      <c r="A87" s="54"/>
      <c r="B87" s="54"/>
      <c r="C87" s="54"/>
      <c r="D87" s="54"/>
      <c r="E87" s="54"/>
      <c r="G87" s="54"/>
      <c r="H87" s="54"/>
      <c r="I87" s="54"/>
      <c r="J87" s="54"/>
      <c r="K87" s="54"/>
      <c r="L87" s="54"/>
      <c r="M87" s="54"/>
      <c r="N87" s="54"/>
      <c r="O87" s="54"/>
      <c r="P87" s="54"/>
      <c r="Q87" s="54"/>
      <c r="R87" s="54"/>
      <c r="S87" s="54"/>
      <c r="T87" s="54"/>
      <c r="U87" s="54"/>
      <c r="V87" s="54"/>
      <c r="W87" s="54"/>
      <c r="X87" s="54"/>
      <c r="Y87" s="54"/>
      <c r="Z87" s="54"/>
      <c r="AA87" s="54"/>
      <c r="AB87" s="54"/>
      <c r="AC87" s="54"/>
      <c r="AD87" s="54"/>
      <c r="AE87" s="54"/>
      <c r="AF87" s="54"/>
      <c r="AG87" s="54"/>
      <c r="AH87" s="54"/>
      <c r="AI87" s="54"/>
      <c r="AJ87" s="54"/>
      <c r="AK87" s="54"/>
      <c r="AL87" s="54"/>
      <c r="AM87" s="54"/>
      <c r="AN87" s="54"/>
      <c r="AO87" s="54"/>
      <c r="AP87" s="54"/>
      <c r="AQ87" s="54"/>
      <c r="AR87" s="54"/>
      <c r="AS87" s="54"/>
      <c r="AT87" s="54"/>
      <c r="AU87" s="54"/>
      <c r="AV87" s="54"/>
      <c r="AW87" s="54"/>
      <c r="AX87" s="54"/>
      <c r="AY87" s="54"/>
      <c r="AZ87" s="54"/>
      <c r="BA87" s="54"/>
      <c r="BB87" s="54"/>
      <c r="BC87" s="54"/>
      <c r="BD87" s="54"/>
      <c r="BE87" s="54"/>
      <c r="BF87" s="54"/>
      <c r="BG87" s="54"/>
      <c r="BH87" s="54"/>
    </row>
    <row r="88" spans="1:60" x14ac:dyDescent="0.55000000000000004">
      <c r="A88" s="54"/>
      <c r="B88" s="54"/>
      <c r="C88" s="54"/>
      <c r="D88" s="54"/>
      <c r="E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4"/>
      <c r="AJ88" s="54"/>
      <c r="AK88" s="54"/>
      <c r="AL88" s="54"/>
      <c r="AM88" s="54"/>
      <c r="AN88" s="54"/>
      <c r="AO88" s="54"/>
      <c r="AP88" s="54"/>
      <c r="AQ88" s="54"/>
      <c r="AR88" s="54"/>
      <c r="AS88" s="54"/>
      <c r="AT88" s="54"/>
      <c r="AU88" s="54"/>
      <c r="AV88" s="54"/>
      <c r="AW88" s="54"/>
      <c r="AX88" s="54"/>
      <c r="AY88" s="54"/>
      <c r="AZ88" s="54"/>
      <c r="BA88" s="54"/>
      <c r="BB88" s="54"/>
      <c r="BC88" s="54"/>
      <c r="BD88" s="54"/>
      <c r="BE88" s="54"/>
      <c r="BF88" s="54"/>
      <c r="BG88" s="54"/>
      <c r="BH88" s="54"/>
    </row>
    <row r="89" spans="1:60" x14ac:dyDescent="0.55000000000000004">
      <c r="A89" s="54"/>
      <c r="B89" s="54"/>
      <c r="C89" s="54"/>
      <c r="D89" s="54"/>
      <c r="E89" s="54"/>
      <c r="G89" s="54"/>
      <c r="H89" s="54"/>
      <c r="I89" s="54"/>
      <c r="J89" s="54"/>
      <c r="K89" s="54"/>
      <c r="L89" s="54"/>
      <c r="M89" s="54"/>
      <c r="N89" s="54"/>
      <c r="O89" s="54"/>
      <c r="P89" s="54"/>
      <c r="Q89" s="54"/>
      <c r="R89" s="54"/>
      <c r="S89" s="54"/>
      <c r="T89" s="54"/>
      <c r="U89" s="54"/>
      <c r="V89" s="54"/>
      <c r="W89" s="54"/>
      <c r="X89" s="54"/>
      <c r="Y89" s="54"/>
      <c r="Z89" s="54"/>
      <c r="AA89" s="54"/>
      <c r="AB89" s="54"/>
      <c r="AC89" s="54"/>
      <c r="AD89" s="54"/>
      <c r="AE89" s="54"/>
      <c r="AF89" s="54"/>
      <c r="AG89" s="54"/>
      <c r="AH89" s="54"/>
      <c r="AI89" s="54"/>
      <c r="AJ89" s="54"/>
      <c r="AK89" s="54"/>
      <c r="AL89" s="54"/>
      <c r="AM89" s="54"/>
      <c r="AN89" s="54"/>
      <c r="AO89" s="54"/>
      <c r="AP89" s="54"/>
      <c r="AQ89" s="54"/>
      <c r="AR89" s="54"/>
      <c r="AS89" s="54"/>
      <c r="AT89" s="54"/>
      <c r="AU89" s="54"/>
      <c r="AV89" s="54"/>
      <c r="AW89" s="54"/>
      <c r="AX89" s="54"/>
      <c r="AY89" s="54"/>
      <c r="AZ89" s="54"/>
      <c r="BA89" s="54"/>
      <c r="BB89" s="54"/>
      <c r="BC89" s="54"/>
      <c r="BD89" s="54"/>
      <c r="BE89" s="54"/>
      <c r="BF89" s="54"/>
      <c r="BG89" s="54"/>
      <c r="BH89" s="54"/>
    </row>
    <row r="90" spans="1:60" x14ac:dyDescent="0.55000000000000004">
      <c r="A90" s="54"/>
      <c r="B90" s="54"/>
      <c r="C90" s="54"/>
      <c r="D90" s="54"/>
      <c r="E90" s="54"/>
      <c r="G90" s="54"/>
      <c r="H90" s="54"/>
      <c r="I90" s="54"/>
      <c r="J90" s="54"/>
      <c r="K90" s="54"/>
      <c r="L90" s="54"/>
      <c r="M90" s="54"/>
      <c r="N90" s="54"/>
      <c r="O90" s="54"/>
      <c r="P90" s="54"/>
      <c r="Q90" s="54"/>
      <c r="R90" s="54"/>
      <c r="S90" s="54"/>
      <c r="T90" s="54"/>
      <c r="U90" s="54"/>
      <c r="V90" s="54"/>
      <c r="W90" s="54"/>
      <c r="X90" s="54"/>
      <c r="Y90" s="54"/>
      <c r="Z90" s="54"/>
      <c r="AA90" s="54"/>
      <c r="AB90" s="54"/>
      <c r="AC90" s="54"/>
      <c r="AD90" s="54"/>
      <c r="AE90" s="54"/>
      <c r="AF90" s="54"/>
      <c r="AG90" s="54"/>
      <c r="AH90" s="54"/>
      <c r="AI90" s="54"/>
      <c r="AJ90" s="54"/>
      <c r="AK90" s="54"/>
      <c r="AL90" s="54"/>
      <c r="AM90" s="54"/>
      <c r="AN90" s="54"/>
      <c r="AO90" s="54"/>
      <c r="AP90" s="54"/>
      <c r="AQ90" s="54"/>
      <c r="AR90" s="54"/>
      <c r="AS90" s="54"/>
      <c r="AT90" s="54"/>
      <c r="AU90" s="54"/>
      <c r="AV90" s="54"/>
      <c r="AW90" s="54"/>
      <c r="AX90" s="54"/>
      <c r="AY90" s="54"/>
      <c r="AZ90" s="54"/>
      <c r="BA90" s="54"/>
      <c r="BB90" s="54"/>
      <c r="BC90" s="54"/>
      <c r="BD90" s="54"/>
      <c r="BE90" s="54"/>
      <c r="BF90" s="54"/>
      <c r="BG90" s="54"/>
      <c r="BH90" s="54"/>
    </row>
    <row r="91" spans="1:60" x14ac:dyDescent="0.55000000000000004">
      <c r="A91" s="54"/>
      <c r="B91" s="54"/>
      <c r="C91" s="54"/>
      <c r="D91" s="54"/>
      <c r="E91" s="54"/>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c r="AS91" s="54"/>
      <c r="AT91" s="54"/>
      <c r="AU91" s="54"/>
      <c r="AV91" s="54"/>
      <c r="AW91" s="54"/>
      <c r="AX91" s="54"/>
      <c r="AY91" s="54"/>
      <c r="AZ91" s="54"/>
      <c r="BA91" s="54"/>
      <c r="BB91" s="54"/>
      <c r="BC91" s="54"/>
      <c r="BD91" s="54"/>
      <c r="BE91" s="54"/>
      <c r="BF91" s="54"/>
      <c r="BG91" s="54"/>
      <c r="BH91" s="54"/>
    </row>
    <row r="92" spans="1:60" x14ac:dyDescent="0.55000000000000004">
      <c r="A92" s="54"/>
      <c r="B92" s="54"/>
      <c r="C92" s="54"/>
      <c r="D92" s="54"/>
      <c r="E92" s="54"/>
      <c r="G92" s="54"/>
      <c r="H92" s="54"/>
      <c r="I92" s="54"/>
      <c r="J92" s="54"/>
      <c r="K92" s="54"/>
      <c r="L92" s="54"/>
      <c r="M92" s="54"/>
      <c r="N92" s="54"/>
      <c r="O92" s="54"/>
      <c r="P92" s="54"/>
      <c r="Q92" s="54"/>
      <c r="R92" s="54"/>
      <c r="S92" s="54"/>
      <c r="T92" s="54"/>
      <c r="U92" s="54"/>
      <c r="V92" s="54"/>
      <c r="W92" s="54"/>
      <c r="X92" s="54"/>
      <c r="Y92" s="54"/>
      <c r="Z92" s="54"/>
      <c r="AA92" s="54"/>
      <c r="AB92" s="54"/>
      <c r="AC92" s="54"/>
      <c r="AD92" s="54"/>
      <c r="AE92" s="54"/>
      <c r="AF92" s="54"/>
      <c r="AG92" s="54"/>
      <c r="AH92" s="54"/>
      <c r="AI92" s="54"/>
      <c r="AJ92" s="54"/>
      <c r="AK92" s="54"/>
      <c r="AL92" s="54"/>
      <c r="AM92" s="54"/>
      <c r="AN92" s="54"/>
      <c r="AO92" s="54"/>
      <c r="AP92" s="54"/>
      <c r="AQ92" s="54"/>
      <c r="AR92" s="54"/>
      <c r="AS92" s="54"/>
      <c r="AT92" s="54"/>
      <c r="AU92" s="54"/>
      <c r="AV92" s="54"/>
      <c r="AW92" s="54"/>
      <c r="AX92" s="54"/>
      <c r="AY92" s="54"/>
      <c r="AZ92" s="54"/>
      <c r="BA92" s="54"/>
      <c r="BB92" s="54"/>
      <c r="BC92" s="54"/>
      <c r="BD92" s="54"/>
      <c r="BE92" s="54"/>
      <c r="BF92" s="54"/>
      <c r="BG92" s="54"/>
      <c r="BH92" s="54"/>
    </row>
    <row r="93" spans="1:60" x14ac:dyDescent="0.55000000000000004">
      <c r="A93" s="54"/>
      <c r="B93" s="54"/>
      <c r="C93" s="54"/>
      <c r="D93" s="54"/>
      <c r="E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row>
    <row r="94" spans="1:60" x14ac:dyDescent="0.55000000000000004">
      <c r="A94" s="54"/>
      <c r="B94" s="54"/>
      <c r="C94" s="54"/>
      <c r="D94" s="54"/>
      <c r="E94" s="54"/>
      <c r="G94" s="54"/>
      <c r="H94" s="54"/>
      <c r="I94" s="54"/>
      <c r="J94" s="54"/>
      <c r="K94" s="54"/>
      <c r="L94" s="54"/>
      <c r="M94" s="54"/>
      <c r="N94" s="54"/>
      <c r="O94" s="54"/>
      <c r="P94" s="54"/>
      <c r="Q94" s="54"/>
      <c r="R94" s="54"/>
      <c r="S94" s="54"/>
      <c r="T94" s="54"/>
      <c r="U94" s="54"/>
      <c r="V94" s="54"/>
      <c r="W94" s="54"/>
      <c r="X94" s="54"/>
      <c r="Y94" s="54"/>
      <c r="Z94" s="54"/>
      <c r="AA94" s="54"/>
      <c r="AB94" s="54"/>
      <c r="AC94" s="54"/>
      <c r="AD94" s="54"/>
      <c r="AE94" s="54"/>
      <c r="AF94" s="54"/>
      <c r="AG94" s="54"/>
      <c r="AH94" s="54"/>
      <c r="AI94" s="54"/>
      <c r="AJ94" s="54"/>
      <c r="AK94" s="54"/>
      <c r="AL94" s="54"/>
      <c r="AM94" s="54"/>
      <c r="AN94" s="54"/>
      <c r="AO94" s="54"/>
      <c r="AP94" s="54"/>
      <c r="AQ94" s="54"/>
      <c r="AR94" s="54"/>
      <c r="AS94" s="54"/>
      <c r="AT94" s="54"/>
      <c r="AU94" s="54"/>
      <c r="AV94" s="54"/>
      <c r="AW94" s="54"/>
      <c r="AX94" s="54"/>
      <c r="AY94" s="54"/>
      <c r="AZ94" s="54"/>
      <c r="BA94" s="54"/>
      <c r="BB94" s="54"/>
      <c r="BC94" s="54"/>
      <c r="BD94" s="54"/>
      <c r="BE94" s="54"/>
      <c r="BF94" s="54"/>
      <c r="BG94" s="54"/>
      <c r="BH94" s="54"/>
    </row>
    <row r="95" spans="1:60" x14ac:dyDescent="0.55000000000000004">
      <c r="A95" s="54"/>
      <c r="B95" s="54"/>
      <c r="C95" s="54"/>
      <c r="D95" s="54"/>
      <c r="E95" s="54"/>
      <c r="G95" s="54"/>
      <c r="H95" s="54"/>
      <c r="I95" s="54"/>
      <c r="J95" s="54"/>
      <c r="K95" s="54"/>
      <c r="L95" s="54"/>
      <c r="M95" s="54"/>
      <c r="N95" s="54"/>
      <c r="O95" s="54"/>
      <c r="P95" s="54"/>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c r="AZ95" s="54"/>
      <c r="BA95" s="54"/>
      <c r="BB95" s="54"/>
      <c r="BC95" s="54"/>
      <c r="BD95" s="54"/>
      <c r="BE95" s="54"/>
      <c r="BF95" s="54"/>
      <c r="BG95" s="54"/>
      <c r="BH95" s="54"/>
    </row>
    <row r="96" spans="1:60" x14ac:dyDescent="0.55000000000000004">
      <c r="A96" s="54"/>
      <c r="B96" s="54"/>
      <c r="C96" s="54"/>
      <c r="D96" s="54"/>
      <c r="E96" s="54"/>
      <c r="G96" s="54"/>
      <c r="H96" s="54"/>
      <c r="I96" s="54"/>
      <c r="J96" s="54"/>
      <c r="K96" s="54"/>
      <c r="L96" s="54"/>
      <c r="M96" s="54"/>
      <c r="N96" s="54"/>
      <c r="O96" s="54"/>
      <c r="P96" s="54"/>
      <c r="Q96" s="54"/>
      <c r="R96" s="54"/>
      <c r="S96" s="54"/>
      <c r="T96" s="54"/>
      <c r="U96" s="54"/>
      <c r="V96" s="54"/>
      <c r="W96" s="54"/>
      <c r="X96" s="54"/>
      <c r="Y96" s="54"/>
      <c r="Z96" s="54"/>
      <c r="AA96" s="54"/>
      <c r="AB96" s="54"/>
      <c r="AC96" s="54"/>
      <c r="AD96" s="54"/>
      <c r="AE96" s="54"/>
      <c r="AF96" s="54"/>
      <c r="AG96" s="54"/>
      <c r="AH96" s="54"/>
      <c r="AI96" s="54"/>
      <c r="AJ96" s="54"/>
      <c r="AK96" s="54"/>
      <c r="AL96" s="54"/>
      <c r="AM96" s="54"/>
      <c r="AN96" s="54"/>
      <c r="AO96" s="54"/>
      <c r="AP96" s="54"/>
      <c r="AQ96" s="54"/>
      <c r="AR96" s="54"/>
      <c r="AS96" s="54"/>
      <c r="AT96" s="54"/>
      <c r="AU96" s="54"/>
      <c r="AV96" s="54"/>
      <c r="AW96" s="54"/>
      <c r="AX96" s="54"/>
      <c r="AY96" s="54"/>
      <c r="AZ96" s="54"/>
      <c r="BA96" s="54"/>
      <c r="BB96" s="54"/>
      <c r="BC96" s="54"/>
      <c r="BD96" s="54"/>
      <c r="BE96" s="54"/>
      <c r="BF96" s="54"/>
      <c r="BG96" s="54"/>
      <c r="BH96" s="54"/>
    </row>
    <row r="97" spans="1:60" x14ac:dyDescent="0.55000000000000004">
      <c r="A97" s="54"/>
      <c r="B97" s="54"/>
      <c r="C97" s="54"/>
      <c r="D97" s="54"/>
      <c r="E97" s="54"/>
      <c r="G97" s="54"/>
      <c r="H97" s="54"/>
      <c r="I97" s="54"/>
      <c r="J97" s="54"/>
      <c r="K97" s="54"/>
      <c r="L97" s="54"/>
      <c r="M97" s="54"/>
      <c r="N97" s="54"/>
      <c r="O97" s="54"/>
      <c r="P97" s="54"/>
      <c r="Q97" s="54"/>
      <c r="R97" s="54"/>
      <c r="S97" s="54"/>
      <c r="T97" s="54"/>
      <c r="U97" s="54"/>
      <c r="V97" s="54"/>
      <c r="W97" s="54"/>
      <c r="X97" s="54"/>
      <c r="Y97" s="54"/>
      <c r="Z97" s="54"/>
      <c r="AA97" s="54"/>
      <c r="AB97" s="54"/>
      <c r="AC97" s="54"/>
      <c r="AD97" s="54"/>
      <c r="AE97" s="54"/>
      <c r="AF97" s="54"/>
      <c r="AG97" s="54"/>
      <c r="AH97" s="54"/>
      <c r="AI97" s="54"/>
      <c r="AJ97" s="54"/>
      <c r="AK97" s="54"/>
      <c r="AL97" s="54"/>
      <c r="AM97" s="54"/>
      <c r="AN97" s="54"/>
      <c r="AO97" s="54"/>
      <c r="AP97" s="54"/>
      <c r="AQ97" s="54"/>
      <c r="AR97" s="54"/>
      <c r="AS97" s="54"/>
      <c r="AT97" s="54"/>
      <c r="AU97" s="54"/>
      <c r="AV97" s="54"/>
      <c r="AW97" s="54"/>
      <c r="AX97" s="54"/>
      <c r="AY97" s="54"/>
      <c r="AZ97" s="54"/>
      <c r="BA97" s="54"/>
      <c r="BB97" s="54"/>
      <c r="BC97" s="54"/>
      <c r="BD97" s="54"/>
      <c r="BE97" s="54"/>
      <c r="BF97" s="54"/>
      <c r="BG97" s="54"/>
      <c r="BH97" s="54"/>
    </row>
    <row r="98" spans="1:60" x14ac:dyDescent="0.55000000000000004">
      <c r="A98" s="54"/>
      <c r="B98" s="54"/>
      <c r="C98" s="54"/>
      <c r="D98" s="54"/>
      <c r="E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4"/>
      <c r="AN98" s="54"/>
      <c r="AO98" s="54"/>
      <c r="AP98" s="54"/>
      <c r="AQ98" s="54"/>
      <c r="AR98" s="54"/>
      <c r="AS98" s="54"/>
      <c r="AT98" s="54"/>
      <c r="AU98" s="54"/>
      <c r="AV98" s="54"/>
      <c r="AW98" s="54"/>
      <c r="AX98" s="54"/>
      <c r="AY98" s="54"/>
      <c r="AZ98" s="54"/>
      <c r="BA98" s="54"/>
      <c r="BB98" s="54"/>
      <c r="BC98" s="54"/>
      <c r="BD98" s="54"/>
      <c r="BE98" s="54"/>
      <c r="BF98" s="54"/>
      <c r="BG98" s="54"/>
      <c r="BH98" s="54"/>
    </row>
    <row r="99" spans="1:60" x14ac:dyDescent="0.55000000000000004">
      <c r="A99" s="54"/>
      <c r="B99" s="54"/>
      <c r="C99" s="54"/>
      <c r="D99" s="54"/>
      <c r="E99" s="54"/>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c r="AH99" s="54"/>
      <c r="AI99" s="54"/>
      <c r="AJ99" s="54"/>
      <c r="AK99" s="54"/>
      <c r="AL99" s="54"/>
      <c r="AM99" s="54"/>
      <c r="AN99" s="54"/>
      <c r="AO99" s="54"/>
      <c r="AP99" s="54"/>
      <c r="AQ99" s="54"/>
      <c r="AR99" s="54"/>
      <c r="AS99" s="54"/>
      <c r="AT99" s="54"/>
      <c r="AU99" s="54"/>
      <c r="AV99" s="54"/>
      <c r="AW99" s="54"/>
      <c r="AX99" s="54"/>
      <c r="AY99" s="54"/>
      <c r="AZ99" s="54"/>
      <c r="BA99" s="54"/>
      <c r="BB99" s="54"/>
      <c r="BC99" s="54"/>
      <c r="BD99" s="54"/>
      <c r="BE99" s="54"/>
      <c r="BF99" s="54"/>
      <c r="BG99" s="54"/>
      <c r="BH99" s="54"/>
    </row>
    <row r="100" spans="1:60" x14ac:dyDescent="0.55000000000000004">
      <c r="A100" s="54"/>
      <c r="B100" s="54"/>
      <c r="C100" s="54"/>
      <c r="D100" s="54"/>
      <c r="E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4"/>
      <c r="BA100" s="54"/>
      <c r="BB100" s="54"/>
      <c r="BC100" s="54"/>
      <c r="BD100" s="54"/>
      <c r="BE100" s="54"/>
      <c r="BF100" s="54"/>
      <c r="BG100" s="54"/>
      <c r="BH100" s="54"/>
    </row>
    <row r="101" spans="1:60" x14ac:dyDescent="0.55000000000000004">
      <c r="A101" s="54"/>
      <c r="B101" s="54"/>
      <c r="C101" s="54"/>
      <c r="D101" s="54"/>
      <c r="E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4"/>
      <c r="AZ101" s="54"/>
      <c r="BA101" s="54"/>
      <c r="BB101" s="54"/>
      <c r="BC101" s="54"/>
      <c r="BD101" s="54"/>
      <c r="BE101" s="54"/>
      <c r="BF101" s="54"/>
      <c r="BG101" s="54"/>
      <c r="BH101" s="54"/>
    </row>
    <row r="102" spans="1:60" x14ac:dyDescent="0.55000000000000004">
      <c r="A102" s="54"/>
      <c r="B102" s="54"/>
      <c r="C102" s="54"/>
      <c r="D102" s="54"/>
      <c r="E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row>
    <row r="103" spans="1:60" x14ac:dyDescent="0.55000000000000004">
      <c r="A103" s="54"/>
      <c r="B103" s="54"/>
      <c r="C103" s="54"/>
      <c r="D103" s="54"/>
      <c r="E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4"/>
      <c r="BA103" s="54"/>
      <c r="BB103" s="54"/>
      <c r="BC103" s="54"/>
      <c r="BD103" s="54"/>
      <c r="BE103" s="54"/>
      <c r="BF103" s="54"/>
      <c r="BG103" s="54"/>
      <c r="BH103" s="54"/>
    </row>
    <row r="104" spans="1:60" x14ac:dyDescent="0.55000000000000004">
      <c r="A104" s="54"/>
      <c r="B104" s="54"/>
      <c r="C104" s="54"/>
      <c r="D104" s="54"/>
      <c r="E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row>
    <row r="105" spans="1:60" x14ac:dyDescent="0.55000000000000004">
      <c r="A105" s="54"/>
      <c r="B105" s="54"/>
      <c r="C105" s="54"/>
      <c r="D105" s="54"/>
      <c r="E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c r="AE105" s="54"/>
      <c r="AF105" s="54"/>
      <c r="AG105" s="54"/>
      <c r="AH105" s="54"/>
      <c r="AI105" s="54"/>
      <c r="AJ105" s="54"/>
      <c r="AK105" s="54"/>
      <c r="AL105" s="54"/>
      <c r="AM105" s="54"/>
      <c r="AN105" s="54"/>
      <c r="AO105" s="54"/>
      <c r="AP105" s="54"/>
      <c r="AQ105" s="54"/>
      <c r="AR105" s="54"/>
      <c r="AS105" s="54"/>
      <c r="AT105" s="54"/>
      <c r="AU105" s="54"/>
      <c r="AV105" s="54"/>
      <c r="AW105" s="54"/>
      <c r="AX105" s="54"/>
      <c r="AY105" s="54"/>
      <c r="AZ105" s="54"/>
      <c r="BA105" s="54"/>
      <c r="BB105" s="54"/>
      <c r="BC105" s="54"/>
      <c r="BD105" s="54"/>
      <c r="BE105" s="54"/>
      <c r="BF105" s="54"/>
      <c r="BG105" s="54"/>
      <c r="BH105" s="54"/>
    </row>
    <row r="106" spans="1:60" x14ac:dyDescent="0.55000000000000004">
      <c r="A106" s="54"/>
      <c r="B106" s="54"/>
      <c r="C106" s="54"/>
      <c r="D106" s="54"/>
      <c r="E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c r="AQ106" s="54"/>
      <c r="AR106" s="54"/>
      <c r="AS106" s="54"/>
      <c r="AT106" s="54"/>
      <c r="AU106" s="54"/>
      <c r="AV106" s="54"/>
      <c r="AW106" s="54"/>
      <c r="AX106" s="54"/>
      <c r="AY106" s="54"/>
      <c r="AZ106" s="54"/>
      <c r="BA106" s="54"/>
      <c r="BB106" s="54"/>
      <c r="BC106" s="54"/>
      <c r="BD106" s="54"/>
      <c r="BE106" s="54"/>
      <c r="BF106" s="54"/>
      <c r="BG106" s="54"/>
      <c r="BH106" s="54"/>
    </row>
    <row r="107" spans="1:60" x14ac:dyDescent="0.55000000000000004">
      <c r="A107" s="54"/>
      <c r="B107" s="54"/>
      <c r="C107" s="54"/>
      <c r="D107" s="54"/>
      <c r="E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c r="AN107" s="54"/>
      <c r="AO107" s="54"/>
      <c r="AP107" s="54"/>
      <c r="AQ107" s="54"/>
      <c r="AR107" s="54"/>
      <c r="AS107" s="54"/>
      <c r="AT107" s="54"/>
      <c r="AU107" s="54"/>
      <c r="AV107" s="54"/>
      <c r="AW107" s="54"/>
      <c r="AX107" s="54"/>
      <c r="AY107" s="54"/>
      <c r="AZ107" s="54"/>
      <c r="BA107" s="54"/>
      <c r="BB107" s="54"/>
      <c r="BC107" s="54"/>
      <c r="BD107" s="54"/>
      <c r="BE107" s="54"/>
      <c r="BF107" s="54"/>
      <c r="BG107" s="54"/>
      <c r="BH107" s="54"/>
    </row>
    <row r="108" spans="1:60" x14ac:dyDescent="0.55000000000000004">
      <c r="A108" s="54"/>
      <c r="B108" s="54"/>
      <c r="C108" s="54"/>
      <c r="D108" s="54"/>
      <c r="E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54"/>
      <c r="AT108" s="54"/>
      <c r="AU108" s="54"/>
      <c r="AV108" s="54"/>
      <c r="AW108" s="54"/>
      <c r="AX108" s="54"/>
      <c r="AY108" s="54"/>
      <c r="AZ108" s="54"/>
      <c r="BA108" s="54"/>
      <c r="BB108" s="54"/>
      <c r="BC108" s="54"/>
      <c r="BD108" s="54"/>
      <c r="BE108" s="54"/>
      <c r="BF108" s="54"/>
      <c r="BG108" s="54"/>
      <c r="BH108" s="54"/>
    </row>
    <row r="109" spans="1:60" x14ac:dyDescent="0.55000000000000004">
      <c r="A109" s="54"/>
      <c r="B109" s="54"/>
      <c r="C109" s="54"/>
      <c r="D109" s="54"/>
      <c r="E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c r="BA109" s="54"/>
      <c r="BB109" s="54"/>
      <c r="BC109" s="54"/>
      <c r="BD109" s="54"/>
      <c r="BE109" s="54"/>
      <c r="BF109" s="54"/>
      <c r="BG109" s="54"/>
      <c r="BH109" s="54"/>
    </row>
    <row r="110" spans="1:60" x14ac:dyDescent="0.55000000000000004">
      <c r="A110" s="54"/>
      <c r="B110" s="54"/>
      <c r="C110" s="54"/>
      <c r="D110" s="54"/>
      <c r="E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c r="AN110" s="54"/>
      <c r="AO110" s="54"/>
      <c r="AP110" s="54"/>
      <c r="AQ110" s="54"/>
      <c r="AR110" s="54"/>
      <c r="AS110" s="54"/>
      <c r="AT110" s="54"/>
      <c r="AU110" s="54"/>
      <c r="AV110" s="54"/>
      <c r="AW110" s="54"/>
      <c r="AX110" s="54"/>
      <c r="AY110" s="54"/>
      <c r="AZ110" s="54"/>
      <c r="BA110" s="54"/>
      <c r="BB110" s="54"/>
      <c r="BC110" s="54"/>
      <c r="BD110" s="54"/>
      <c r="BE110" s="54"/>
      <c r="BF110" s="54"/>
      <c r="BG110" s="54"/>
      <c r="BH110" s="54"/>
    </row>
    <row r="111" spans="1:60" x14ac:dyDescent="0.55000000000000004">
      <c r="A111" s="54"/>
      <c r="B111" s="54"/>
      <c r="C111" s="54"/>
      <c r="D111" s="54"/>
      <c r="E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4"/>
      <c r="AY111" s="54"/>
      <c r="AZ111" s="54"/>
      <c r="BA111" s="54"/>
      <c r="BB111" s="54"/>
      <c r="BC111" s="54"/>
      <c r="BD111" s="54"/>
      <c r="BE111" s="54"/>
      <c r="BF111" s="54"/>
      <c r="BG111" s="54"/>
      <c r="BH111" s="54"/>
    </row>
    <row r="112" spans="1:60" x14ac:dyDescent="0.55000000000000004">
      <c r="A112" s="54"/>
      <c r="B112" s="54"/>
      <c r="C112" s="54"/>
      <c r="D112" s="54"/>
      <c r="E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c r="BA112" s="54"/>
      <c r="BB112" s="54"/>
      <c r="BC112" s="54"/>
      <c r="BD112" s="54"/>
      <c r="BE112" s="54"/>
      <c r="BF112" s="54"/>
      <c r="BG112" s="54"/>
      <c r="BH112" s="54"/>
    </row>
    <row r="113" spans="1:60" x14ac:dyDescent="0.55000000000000004">
      <c r="A113" s="54"/>
      <c r="B113" s="54"/>
      <c r="C113" s="54"/>
      <c r="D113" s="54"/>
      <c r="E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row>
    <row r="114" spans="1:60" x14ac:dyDescent="0.55000000000000004">
      <c r="A114" s="54"/>
      <c r="B114" s="54"/>
      <c r="C114" s="54"/>
      <c r="D114" s="54"/>
      <c r="E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54"/>
      <c r="AI114" s="54"/>
      <c r="AJ114" s="54"/>
      <c r="AK114" s="54"/>
      <c r="AL114" s="54"/>
      <c r="AM114" s="54"/>
      <c r="AN114" s="54"/>
      <c r="AO114" s="54"/>
      <c r="AP114" s="54"/>
      <c r="AQ114" s="54"/>
      <c r="AR114" s="54"/>
      <c r="AS114" s="54"/>
      <c r="AT114" s="54"/>
      <c r="AU114" s="54"/>
      <c r="AV114" s="54"/>
      <c r="AW114" s="54"/>
      <c r="AX114" s="54"/>
      <c r="AY114" s="54"/>
      <c r="AZ114" s="54"/>
      <c r="BA114" s="54"/>
      <c r="BB114" s="54"/>
      <c r="BC114" s="54"/>
      <c r="BD114" s="54"/>
      <c r="BE114" s="54"/>
      <c r="BF114" s="54"/>
      <c r="BG114" s="54"/>
      <c r="BH114" s="54"/>
    </row>
    <row r="115" spans="1:60" x14ac:dyDescent="0.55000000000000004">
      <c r="A115" s="54"/>
      <c r="B115" s="54"/>
      <c r="C115" s="54"/>
      <c r="D115" s="54"/>
      <c r="E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4"/>
      <c r="AN115" s="54"/>
      <c r="AO115" s="54"/>
      <c r="AP115" s="54"/>
      <c r="AQ115" s="54"/>
      <c r="AR115" s="54"/>
      <c r="AS115" s="54"/>
      <c r="AT115" s="54"/>
      <c r="AU115" s="54"/>
      <c r="AV115" s="54"/>
      <c r="AW115" s="54"/>
      <c r="AX115" s="54"/>
      <c r="AY115" s="54"/>
      <c r="AZ115" s="54"/>
      <c r="BA115" s="54"/>
      <c r="BB115" s="54"/>
      <c r="BC115" s="54"/>
      <c r="BD115" s="54"/>
      <c r="BE115" s="54"/>
      <c r="BF115" s="54"/>
      <c r="BG115" s="54"/>
      <c r="BH115" s="54"/>
    </row>
    <row r="116" spans="1:60" x14ac:dyDescent="0.55000000000000004">
      <c r="A116" s="54"/>
      <c r="B116" s="54"/>
      <c r="C116" s="54"/>
      <c r="D116" s="54"/>
      <c r="E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54"/>
      <c r="AI116" s="54"/>
      <c r="AJ116" s="54"/>
      <c r="AK116" s="54"/>
      <c r="AL116" s="54"/>
      <c r="AM116" s="54"/>
      <c r="AN116" s="54"/>
      <c r="AO116" s="54"/>
      <c r="AP116" s="54"/>
      <c r="AQ116" s="54"/>
      <c r="AR116" s="54"/>
      <c r="AS116" s="54"/>
      <c r="AT116" s="54"/>
      <c r="AU116" s="54"/>
      <c r="AV116" s="54"/>
      <c r="AW116" s="54"/>
      <c r="AX116" s="54"/>
      <c r="AY116" s="54"/>
      <c r="AZ116" s="54"/>
      <c r="BA116" s="54"/>
      <c r="BB116" s="54"/>
      <c r="BC116" s="54"/>
      <c r="BD116" s="54"/>
      <c r="BE116" s="54"/>
      <c r="BF116" s="54"/>
      <c r="BG116" s="54"/>
      <c r="BH116" s="54"/>
    </row>
    <row r="117" spans="1:60" x14ac:dyDescent="0.55000000000000004">
      <c r="A117" s="54"/>
      <c r="B117" s="54"/>
      <c r="C117" s="54"/>
      <c r="D117" s="54"/>
      <c r="E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c r="AE117" s="54"/>
      <c r="AF117" s="54"/>
      <c r="AG117" s="54"/>
      <c r="AH117" s="54"/>
      <c r="AI117" s="54"/>
      <c r="AJ117" s="54"/>
      <c r="AK117" s="54"/>
      <c r="AL117" s="54"/>
      <c r="AM117" s="54"/>
      <c r="AN117" s="54"/>
      <c r="AO117" s="54"/>
      <c r="AP117" s="54"/>
      <c r="AQ117" s="54"/>
      <c r="AR117" s="54"/>
      <c r="AS117" s="54"/>
      <c r="AT117" s="54"/>
      <c r="AU117" s="54"/>
      <c r="AV117" s="54"/>
      <c r="AW117" s="54"/>
      <c r="AX117" s="54"/>
      <c r="AY117" s="54"/>
      <c r="AZ117" s="54"/>
      <c r="BA117" s="54"/>
      <c r="BB117" s="54"/>
      <c r="BC117" s="54"/>
      <c r="BD117" s="54"/>
      <c r="BE117" s="54"/>
      <c r="BF117" s="54"/>
      <c r="BG117" s="54"/>
      <c r="BH117" s="54"/>
    </row>
    <row r="118" spans="1:60" x14ac:dyDescent="0.55000000000000004">
      <c r="A118" s="54"/>
      <c r="B118" s="54"/>
      <c r="C118" s="54"/>
      <c r="D118" s="54"/>
      <c r="E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4"/>
      <c r="AW118" s="54"/>
      <c r="AX118" s="54"/>
      <c r="AY118" s="54"/>
      <c r="AZ118" s="54"/>
      <c r="BA118" s="54"/>
      <c r="BB118" s="54"/>
      <c r="BC118" s="54"/>
      <c r="BD118" s="54"/>
      <c r="BE118" s="54"/>
      <c r="BF118" s="54"/>
      <c r="BG118" s="54"/>
      <c r="BH118" s="54"/>
    </row>
    <row r="119" spans="1:60" x14ac:dyDescent="0.55000000000000004">
      <c r="A119" s="54"/>
      <c r="B119" s="54"/>
      <c r="C119" s="54"/>
      <c r="D119" s="54"/>
      <c r="E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c r="AH119" s="54"/>
      <c r="AI119" s="54"/>
      <c r="AJ119" s="54"/>
      <c r="AK119" s="54"/>
      <c r="AL119" s="54"/>
      <c r="AM119" s="54"/>
      <c r="AN119" s="54"/>
      <c r="AO119" s="54"/>
      <c r="AP119" s="54"/>
      <c r="AQ119" s="54"/>
      <c r="AR119" s="54"/>
      <c r="AS119" s="54"/>
      <c r="AT119" s="54"/>
      <c r="AU119" s="54"/>
      <c r="AV119" s="54"/>
      <c r="AW119" s="54"/>
      <c r="AX119" s="54"/>
      <c r="AY119" s="54"/>
      <c r="AZ119" s="54"/>
      <c r="BA119" s="54"/>
      <c r="BB119" s="54"/>
      <c r="BC119" s="54"/>
      <c r="BD119" s="54"/>
      <c r="BE119" s="54"/>
      <c r="BF119" s="54"/>
      <c r="BG119" s="54"/>
      <c r="BH119" s="54"/>
    </row>
    <row r="120" spans="1:60" x14ac:dyDescent="0.55000000000000004">
      <c r="A120" s="54"/>
      <c r="B120" s="54"/>
      <c r="C120" s="54"/>
      <c r="D120" s="54"/>
      <c r="E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4"/>
      <c r="AT120" s="54"/>
      <c r="AU120" s="54"/>
      <c r="AV120" s="54"/>
      <c r="AW120" s="54"/>
      <c r="AX120" s="54"/>
      <c r="AY120" s="54"/>
      <c r="AZ120" s="54"/>
      <c r="BA120" s="54"/>
      <c r="BB120" s="54"/>
      <c r="BC120" s="54"/>
      <c r="BD120" s="54"/>
      <c r="BE120" s="54"/>
      <c r="BF120" s="54"/>
      <c r="BG120" s="54"/>
      <c r="BH120" s="54"/>
    </row>
    <row r="121" spans="1:60" x14ac:dyDescent="0.55000000000000004">
      <c r="A121" s="54"/>
      <c r="B121" s="54"/>
      <c r="C121" s="54"/>
      <c r="D121" s="54"/>
      <c r="E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c r="AH121" s="54"/>
      <c r="AI121" s="54"/>
      <c r="AJ121" s="54"/>
      <c r="AK121" s="54"/>
      <c r="AL121" s="54"/>
      <c r="AM121" s="54"/>
      <c r="AN121" s="54"/>
      <c r="AO121" s="54"/>
      <c r="AP121" s="54"/>
      <c r="AQ121" s="54"/>
      <c r="AR121" s="54"/>
      <c r="AS121" s="54"/>
      <c r="AT121" s="54"/>
      <c r="AU121" s="54"/>
      <c r="AV121" s="54"/>
      <c r="AW121" s="54"/>
      <c r="AX121" s="54"/>
      <c r="AY121" s="54"/>
      <c r="AZ121" s="54"/>
      <c r="BA121" s="54"/>
      <c r="BB121" s="54"/>
      <c r="BC121" s="54"/>
      <c r="BD121" s="54"/>
      <c r="BE121" s="54"/>
      <c r="BF121" s="54"/>
      <c r="BG121" s="54"/>
      <c r="BH121" s="54"/>
    </row>
    <row r="122" spans="1:60" x14ac:dyDescent="0.55000000000000004">
      <c r="A122" s="54"/>
      <c r="B122" s="54"/>
      <c r="C122" s="54"/>
      <c r="D122" s="54"/>
      <c r="E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c r="AE122" s="54"/>
      <c r="AF122" s="54"/>
      <c r="AG122" s="54"/>
      <c r="AH122" s="54"/>
      <c r="AI122" s="54"/>
      <c r="AJ122" s="54"/>
      <c r="AK122" s="54"/>
      <c r="AL122" s="54"/>
      <c r="AM122" s="54"/>
      <c r="AN122" s="54"/>
      <c r="AO122" s="54"/>
      <c r="AP122" s="54"/>
      <c r="AQ122" s="54"/>
      <c r="AR122" s="54"/>
      <c r="AS122" s="54"/>
      <c r="AT122" s="54"/>
      <c r="AU122" s="54"/>
      <c r="AV122" s="54"/>
      <c r="AW122" s="54"/>
      <c r="AX122" s="54"/>
      <c r="AY122" s="54"/>
      <c r="AZ122" s="54"/>
      <c r="BA122" s="54"/>
      <c r="BB122" s="54"/>
      <c r="BC122" s="54"/>
      <c r="BD122" s="54"/>
      <c r="BE122" s="54"/>
      <c r="BF122" s="54"/>
      <c r="BG122" s="54"/>
      <c r="BH122" s="54"/>
    </row>
    <row r="123" spans="1:60" x14ac:dyDescent="0.55000000000000004">
      <c r="A123" s="54"/>
      <c r="B123" s="54"/>
      <c r="C123" s="54"/>
      <c r="D123" s="54"/>
      <c r="E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c r="AH123" s="54"/>
      <c r="AI123" s="54"/>
      <c r="AJ123" s="54"/>
      <c r="AK123" s="54"/>
      <c r="AL123" s="54"/>
      <c r="AM123" s="54"/>
      <c r="AN123" s="54"/>
      <c r="AO123" s="54"/>
      <c r="AP123" s="54"/>
      <c r="AQ123" s="54"/>
      <c r="AR123" s="54"/>
      <c r="AS123" s="54"/>
      <c r="AT123" s="54"/>
      <c r="AU123" s="54"/>
      <c r="AV123" s="54"/>
      <c r="AW123" s="54"/>
      <c r="AX123" s="54"/>
      <c r="AY123" s="54"/>
      <c r="AZ123" s="54"/>
      <c r="BA123" s="54"/>
      <c r="BB123" s="54"/>
      <c r="BC123" s="54"/>
      <c r="BD123" s="54"/>
      <c r="BE123" s="54"/>
      <c r="BF123" s="54"/>
      <c r="BG123" s="54"/>
      <c r="BH123" s="54"/>
    </row>
    <row r="124" spans="1:60" x14ac:dyDescent="0.55000000000000004">
      <c r="A124" s="54"/>
      <c r="B124" s="54"/>
      <c r="C124" s="54"/>
      <c r="D124" s="54"/>
      <c r="E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c r="AH124" s="54"/>
      <c r="AI124" s="54"/>
      <c r="AJ124" s="54"/>
      <c r="AK124" s="54"/>
      <c r="AL124" s="54"/>
      <c r="AM124" s="54"/>
      <c r="AN124" s="54"/>
      <c r="AO124" s="54"/>
      <c r="AP124" s="54"/>
      <c r="AQ124" s="54"/>
      <c r="AR124" s="54"/>
      <c r="AS124" s="54"/>
      <c r="AT124" s="54"/>
      <c r="AU124" s="54"/>
      <c r="AV124" s="54"/>
      <c r="AW124" s="54"/>
      <c r="AX124" s="54"/>
      <c r="AY124" s="54"/>
      <c r="AZ124" s="54"/>
      <c r="BA124" s="54"/>
      <c r="BB124" s="54"/>
      <c r="BC124" s="54"/>
      <c r="BD124" s="54"/>
      <c r="BE124" s="54"/>
      <c r="BF124" s="54"/>
      <c r="BG124" s="54"/>
      <c r="BH124" s="54"/>
    </row>
    <row r="125" spans="1:60" x14ac:dyDescent="0.55000000000000004">
      <c r="A125" s="54"/>
      <c r="B125" s="54"/>
      <c r="C125" s="54"/>
      <c r="D125" s="54"/>
      <c r="E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54"/>
      <c r="AI125" s="54"/>
      <c r="AJ125" s="54"/>
      <c r="AK125" s="54"/>
      <c r="AL125" s="54"/>
      <c r="AM125" s="54"/>
      <c r="AN125" s="54"/>
      <c r="AO125" s="54"/>
      <c r="AP125" s="54"/>
      <c r="AQ125" s="54"/>
      <c r="AR125" s="54"/>
      <c r="AS125" s="54"/>
      <c r="AT125" s="54"/>
      <c r="AU125" s="54"/>
      <c r="AV125" s="54"/>
      <c r="AW125" s="54"/>
      <c r="AX125" s="54"/>
      <c r="AY125" s="54"/>
      <c r="AZ125" s="54"/>
      <c r="BA125" s="54"/>
      <c r="BB125" s="54"/>
      <c r="BC125" s="54"/>
      <c r="BD125" s="54"/>
      <c r="BE125" s="54"/>
      <c r="BF125" s="54"/>
      <c r="BG125" s="54"/>
      <c r="BH125" s="54"/>
    </row>
    <row r="126" spans="1:60" x14ac:dyDescent="0.55000000000000004">
      <c r="A126" s="54"/>
      <c r="B126" s="54"/>
      <c r="C126" s="54"/>
      <c r="D126" s="54"/>
      <c r="E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c r="AE126" s="54"/>
      <c r="AF126" s="54"/>
      <c r="AG126" s="54"/>
      <c r="AH126" s="54"/>
      <c r="AI126" s="54"/>
      <c r="AJ126" s="54"/>
      <c r="AK126" s="54"/>
      <c r="AL126" s="54"/>
      <c r="AM126" s="54"/>
      <c r="AN126" s="54"/>
      <c r="AO126" s="54"/>
      <c r="AP126" s="54"/>
      <c r="AQ126" s="54"/>
      <c r="AR126" s="54"/>
      <c r="AS126" s="54"/>
      <c r="AT126" s="54"/>
      <c r="AU126" s="54"/>
      <c r="AV126" s="54"/>
      <c r="AW126" s="54"/>
      <c r="AX126" s="54"/>
      <c r="AY126" s="54"/>
      <c r="AZ126" s="54"/>
      <c r="BA126" s="54"/>
      <c r="BB126" s="54"/>
      <c r="BC126" s="54"/>
      <c r="BD126" s="54"/>
      <c r="BE126" s="54"/>
      <c r="BF126" s="54"/>
      <c r="BG126" s="54"/>
      <c r="BH126" s="54"/>
    </row>
    <row r="127" spans="1:60" x14ac:dyDescent="0.55000000000000004">
      <c r="A127" s="54"/>
      <c r="B127" s="54"/>
      <c r="C127" s="54"/>
      <c r="D127" s="54"/>
      <c r="E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54"/>
      <c r="AI127" s="54"/>
      <c r="AJ127" s="54"/>
      <c r="AK127" s="54"/>
      <c r="AL127" s="54"/>
      <c r="AM127" s="54"/>
      <c r="AN127" s="54"/>
      <c r="AO127" s="54"/>
      <c r="AP127" s="54"/>
      <c r="AQ127" s="54"/>
      <c r="AR127" s="54"/>
      <c r="AS127" s="54"/>
      <c r="AT127" s="54"/>
      <c r="AU127" s="54"/>
      <c r="AV127" s="54"/>
      <c r="AW127" s="54"/>
      <c r="AX127" s="54"/>
      <c r="AY127" s="54"/>
      <c r="AZ127" s="54"/>
      <c r="BA127" s="54"/>
      <c r="BB127" s="54"/>
      <c r="BC127" s="54"/>
      <c r="BD127" s="54"/>
      <c r="BE127" s="54"/>
      <c r="BF127" s="54"/>
      <c r="BG127" s="54"/>
      <c r="BH127" s="54"/>
    </row>
    <row r="128" spans="1:60" x14ac:dyDescent="0.55000000000000004">
      <c r="A128" s="54"/>
      <c r="B128" s="54"/>
      <c r="C128" s="54"/>
      <c r="D128" s="54"/>
      <c r="E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4"/>
      <c r="AJ128" s="54"/>
      <c r="AK128" s="54"/>
      <c r="AL128" s="54"/>
      <c r="AM128" s="54"/>
      <c r="AN128" s="54"/>
      <c r="AO128" s="54"/>
      <c r="AP128" s="54"/>
      <c r="AQ128" s="54"/>
      <c r="AR128" s="54"/>
      <c r="AS128" s="54"/>
      <c r="AT128" s="54"/>
      <c r="AU128" s="54"/>
      <c r="AV128" s="54"/>
      <c r="AW128" s="54"/>
      <c r="AX128" s="54"/>
      <c r="AY128" s="54"/>
      <c r="AZ128" s="54"/>
      <c r="BA128" s="54"/>
      <c r="BB128" s="54"/>
      <c r="BC128" s="54"/>
      <c r="BD128" s="54"/>
      <c r="BE128" s="54"/>
      <c r="BF128" s="54"/>
      <c r="BG128" s="54"/>
      <c r="BH128" s="54"/>
    </row>
    <row r="129" spans="1:60" x14ac:dyDescent="0.55000000000000004">
      <c r="A129" s="54"/>
      <c r="B129" s="54"/>
      <c r="C129" s="54"/>
      <c r="D129" s="54"/>
      <c r="E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c r="AI129" s="54"/>
      <c r="AJ129" s="54"/>
      <c r="AK129" s="54"/>
      <c r="AL129" s="54"/>
      <c r="AM129" s="54"/>
      <c r="AN129" s="54"/>
      <c r="AO129" s="54"/>
      <c r="AP129" s="54"/>
      <c r="AQ129" s="54"/>
      <c r="AR129" s="54"/>
      <c r="AS129" s="54"/>
      <c r="AT129" s="54"/>
      <c r="AU129" s="54"/>
      <c r="AV129" s="54"/>
      <c r="AW129" s="54"/>
      <c r="AX129" s="54"/>
      <c r="AY129" s="54"/>
      <c r="AZ129" s="54"/>
      <c r="BA129" s="54"/>
      <c r="BB129" s="54"/>
      <c r="BC129" s="54"/>
      <c r="BD129" s="54"/>
      <c r="BE129" s="54"/>
      <c r="BF129" s="54"/>
      <c r="BG129" s="54"/>
      <c r="BH129" s="54"/>
    </row>
    <row r="130" spans="1:60" x14ac:dyDescent="0.55000000000000004">
      <c r="A130" s="54"/>
      <c r="B130" s="54"/>
      <c r="C130" s="54"/>
      <c r="D130" s="54"/>
      <c r="E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54"/>
      <c r="AI130" s="54"/>
      <c r="AJ130" s="54"/>
      <c r="AK130" s="54"/>
      <c r="AL130" s="54"/>
      <c r="AM130" s="54"/>
      <c r="AN130" s="54"/>
      <c r="AO130" s="54"/>
      <c r="AP130" s="54"/>
      <c r="AQ130" s="54"/>
      <c r="AR130" s="54"/>
      <c r="AS130" s="54"/>
      <c r="AT130" s="54"/>
      <c r="AU130" s="54"/>
      <c r="AV130" s="54"/>
      <c r="AW130" s="54"/>
      <c r="AX130" s="54"/>
      <c r="AY130" s="54"/>
      <c r="AZ130" s="54"/>
      <c r="BA130" s="54"/>
      <c r="BB130" s="54"/>
      <c r="BC130" s="54"/>
      <c r="BD130" s="54"/>
      <c r="BE130" s="54"/>
      <c r="BF130" s="54"/>
      <c r="BG130" s="54"/>
      <c r="BH130" s="54"/>
    </row>
    <row r="131" spans="1:60" x14ac:dyDescent="0.55000000000000004">
      <c r="A131" s="54"/>
      <c r="B131" s="54"/>
      <c r="C131" s="54"/>
      <c r="D131" s="54"/>
      <c r="E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54"/>
      <c r="AI131" s="54"/>
      <c r="AJ131" s="54"/>
      <c r="AK131" s="54"/>
      <c r="AL131" s="54"/>
      <c r="AM131" s="54"/>
      <c r="AN131" s="54"/>
      <c r="AO131" s="54"/>
      <c r="AP131" s="54"/>
      <c r="AQ131" s="54"/>
      <c r="AR131" s="54"/>
      <c r="AS131" s="54"/>
      <c r="AT131" s="54"/>
      <c r="AU131" s="54"/>
      <c r="AV131" s="54"/>
      <c r="AW131" s="54"/>
      <c r="AX131" s="54"/>
      <c r="AY131" s="54"/>
      <c r="AZ131" s="54"/>
      <c r="BA131" s="54"/>
      <c r="BB131" s="54"/>
      <c r="BC131" s="54"/>
      <c r="BD131" s="54"/>
      <c r="BE131" s="54"/>
      <c r="BF131" s="54"/>
      <c r="BG131" s="54"/>
      <c r="BH131" s="54"/>
    </row>
    <row r="132" spans="1:60" x14ac:dyDescent="0.55000000000000004">
      <c r="A132" s="54"/>
      <c r="B132" s="54"/>
      <c r="C132" s="54"/>
      <c r="D132" s="54"/>
      <c r="E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4"/>
      <c r="AJ132" s="54"/>
      <c r="AK132" s="54"/>
      <c r="AL132" s="54"/>
      <c r="AM132" s="54"/>
      <c r="AN132" s="54"/>
      <c r="AO132" s="54"/>
      <c r="AP132" s="54"/>
      <c r="AQ132" s="54"/>
      <c r="AR132" s="54"/>
      <c r="AS132" s="54"/>
      <c r="AT132" s="54"/>
      <c r="AU132" s="54"/>
      <c r="AV132" s="54"/>
      <c r="AW132" s="54"/>
      <c r="AX132" s="54"/>
      <c r="AY132" s="54"/>
      <c r="AZ132" s="54"/>
      <c r="BA132" s="54"/>
      <c r="BB132" s="54"/>
      <c r="BC132" s="54"/>
      <c r="BD132" s="54"/>
      <c r="BE132" s="54"/>
      <c r="BF132" s="54"/>
      <c r="BG132" s="54"/>
      <c r="BH132" s="54"/>
    </row>
    <row r="133" spans="1:60" x14ac:dyDescent="0.55000000000000004">
      <c r="A133" s="54"/>
      <c r="B133" s="54"/>
      <c r="C133" s="54"/>
      <c r="D133" s="54"/>
      <c r="E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4"/>
      <c r="AJ133" s="54"/>
      <c r="AK133" s="54"/>
      <c r="AL133" s="54"/>
      <c r="AM133" s="54"/>
      <c r="AN133" s="54"/>
      <c r="AO133" s="54"/>
      <c r="AP133" s="54"/>
      <c r="AQ133" s="54"/>
      <c r="AR133" s="54"/>
      <c r="AS133" s="54"/>
      <c r="AT133" s="54"/>
      <c r="AU133" s="54"/>
      <c r="AV133" s="54"/>
      <c r="AW133" s="54"/>
      <c r="AX133" s="54"/>
      <c r="AY133" s="54"/>
      <c r="AZ133" s="54"/>
      <c r="BA133" s="54"/>
      <c r="BB133" s="54"/>
      <c r="BC133" s="54"/>
      <c r="BD133" s="54"/>
      <c r="BE133" s="54"/>
      <c r="BF133" s="54"/>
      <c r="BG133" s="54"/>
      <c r="BH133" s="54"/>
    </row>
    <row r="134" spans="1:60" x14ac:dyDescent="0.55000000000000004">
      <c r="A134" s="54"/>
      <c r="B134" s="54"/>
      <c r="C134" s="54"/>
      <c r="D134" s="54"/>
      <c r="E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4"/>
      <c r="AJ134" s="54"/>
      <c r="AK134" s="54"/>
      <c r="AL134" s="54"/>
      <c r="AM134" s="54"/>
      <c r="AN134" s="54"/>
      <c r="AO134" s="54"/>
      <c r="AP134" s="54"/>
      <c r="AQ134" s="54"/>
      <c r="AR134" s="54"/>
      <c r="AS134" s="54"/>
      <c r="AT134" s="54"/>
      <c r="AU134" s="54"/>
      <c r="AV134" s="54"/>
      <c r="AW134" s="54"/>
      <c r="AX134" s="54"/>
      <c r="AY134" s="54"/>
      <c r="AZ134" s="54"/>
      <c r="BA134" s="54"/>
      <c r="BB134" s="54"/>
      <c r="BC134" s="54"/>
      <c r="BD134" s="54"/>
      <c r="BE134" s="54"/>
      <c r="BF134" s="54"/>
      <c r="BG134" s="54"/>
      <c r="BH134" s="54"/>
    </row>
    <row r="135" spans="1:60" x14ac:dyDescent="0.55000000000000004">
      <c r="A135" s="54"/>
      <c r="B135" s="54"/>
      <c r="C135" s="54"/>
      <c r="D135" s="54"/>
      <c r="E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c r="AE135" s="54"/>
      <c r="AF135" s="54"/>
      <c r="AG135" s="54"/>
      <c r="AH135" s="54"/>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row>
    <row r="136" spans="1:60" x14ac:dyDescent="0.55000000000000004">
      <c r="A136" s="54"/>
      <c r="B136" s="54"/>
      <c r="C136" s="54"/>
      <c r="D136" s="54"/>
      <c r="E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c r="AI136" s="54"/>
      <c r="AJ136" s="54"/>
      <c r="AK136" s="54"/>
      <c r="AL136" s="54"/>
      <c r="AM136" s="54"/>
      <c r="AN136" s="54"/>
      <c r="AO136" s="54"/>
      <c r="AP136" s="54"/>
      <c r="AQ136" s="54"/>
      <c r="AR136" s="54"/>
      <c r="AS136" s="54"/>
      <c r="AT136" s="54"/>
      <c r="AU136" s="54"/>
      <c r="AV136" s="54"/>
      <c r="AW136" s="54"/>
      <c r="AX136" s="54"/>
      <c r="AY136" s="54"/>
      <c r="AZ136" s="54"/>
      <c r="BA136" s="54"/>
      <c r="BB136" s="54"/>
      <c r="BC136" s="54"/>
      <c r="BD136" s="54"/>
      <c r="BE136" s="54"/>
      <c r="BF136" s="54"/>
      <c r="BG136" s="54"/>
      <c r="BH136" s="54"/>
    </row>
    <row r="137" spans="1:60" x14ac:dyDescent="0.55000000000000004">
      <c r="A137" s="54"/>
      <c r="B137" s="54"/>
      <c r="C137" s="54"/>
      <c r="D137" s="54"/>
      <c r="E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c r="AM137" s="54"/>
      <c r="AN137" s="54"/>
      <c r="AO137" s="54"/>
      <c r="AP137" s="54"/>
      <c r="AQ137" s="54"/>
      <c r="AR137" s="54"/>
      <c r="AS137" s="54"/>
      <c r="AT137" s="54"/>
      <c r="AU137" s="54"/>
      <c r="AV137" s="54"/>
      <c r="AW137" s="54"/>
      <c r="AX137" s="54"/>
      <c r="AY137" s="54"/>
      <c r="AZ137" s="54"/>
      <c r="BA137" s="54"/>
      <c r="BB137" s="54"/>
      <c r="BC137" s="54"/>
      <c r="BD137" s="54"/>
      <c r="BE137" s="54"/>
      <c r="BF137" s="54"/>
      <c r="BG137" s="54"/>
      <c r="BH137" s="54"/>
    </row>
    <row r="138" spans="1:60" x14ac:dyDescent="0.55000000000000004">
      <c r="A138" s="54"/>
      <c r="B138" s="54"/>
      <c r="C138" s="54"/>
      <c r="D138" s="54"/>
      <c r="E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c r="AM138" s="54"/>
      <c r="AN138" s="54"/>
      <c r="AO138" s="54"/>
      <c r="AP138" s="54"/>
      <c r="AQ138" s="54"/>
      <c r="AR138" s="54"/>
      <c r="AS138" s="54"/>
      <c r="AT138" s="54"/>
      <c r="AU138" s="54"/>
      <c r="AV138" s="54"/>
      <c r="AW138" s="54"/>
      <c r="AX138" s="54"/>
      <c r="AY138" s="54"/>
      <c r="AZ138" s="54"/>
      <c r="BA138" s="54"/>
      <c r="BB138" s="54"/>
      <c r="BC138" s="54"/>
      <c r="BD138" s="54"/>
      <c r="BE138" s="54"/>
      <c r="BF138" s="54"/>
      <c r="BG138" s="54"/>
      <c r="BH138" s="54"/>
    </row>
    <row r="139" spans="1:60" x14ac:dyDescent="0.55000000000000004">
      <c r="A139" s="54"/>
      <c r="B139" s="54"/>
      <c r="C139" s="54"/>
      <c r="D139" s="54"/>
      <c r="E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c r="AM139" s="54"/>
      <c r="AN139" s="54"/>
      <c r="AO139" s="54"/>
      <c r="AP139" s="54"/>
      <c r="AQ139" s="54"/>
      <c r="AR139" s="54"/>
      <c r="AS139" s="54"/>
      <c r="AT139" s="54"/>
      <c r="AU139" s="54"/>
      <c r="AV139" s="54"/>
      <c r="AW139" s="54"/>
      <c r="AX139" s="54"/>
      <c r="AY139" s="54"/>
      <c r="AZ139" s="54"/>
      <c r="BA139" s="54"/>
      <c r="BB139" s="54"/>
      <c r="BC139" s="54"/>
      <c r="BD139" s="54"/>
      <c r="BE139" s="54"/>
      <c r="BF139" s="54"/>
      <c r="BG139" s="54"/>
      <c r="BH139" s="54"/>
    </row>
    <row r="140" spans="1:60" x14ac:dyDescent="0.55000000000000004">
      <c r="A140" s="54"/>
      <c r="B140" s="54"/>
      <c r="C140" s="54"/>
      <c r="D140" s="54"/>
      <c r="E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c r="AM140" s="54"/>
      <c r="AN140" s="54"/>
      <c r="AO140" s="54"/>
      <c r="AP140" s="54"/>
      <c r="AQ140" s="54"/>
      <c r="AR140" s="54"/>
      <c r="AS140" s="54"/>
      <c r="AT140" s="54"/>
      <c r="AU140" s="54"/>
      <c r="AV140" s="54"/>
      <c r="AW140" s="54"/>
      <c r="AX140" s="54"/>
      <c r="AY140" s="54"/>
      <c r="AZ140" s="54"/>
      <c r="BA140" s="54"/>
      <c r="BB140" s="54"/>
      <c r="BC140" s="54"/>
      <c r="BD140" s="54"/>
      <c r="BE140" s="54"/>
      <c r="BF140" s="54"/>
      <c r="BG140" s="54"/>
      <c r="BH140" s="54"/>
    </row>
    <row r="141" spans="1:60" x14ac:dyDescent="0.55000000000000004">
      <c r="A141" s="54"/>
      <c r="B141" s="54"/>
      <c r="C141" s="54"/>
      <c r="D141" s="54"/>
      <c r="E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4"/>
      <c r="AJ141" s="54"/>
      <c r="AK141" s="54"/>
      <c r="AL141" s="54"/>
      <c r="AM141" s="54"/>
      <c r="AN141" s="54"/>
      <c r="AO141" s="54"/>
      <c r="AP141" s="54"/>
      <c r="AQ141" s="54"/>
      <c r="AR141" s="54"/>
      <c r="AS141" s="54"/>
      <c r="AT141" s="54"/>
      <c r="AU141" s="54"/>
      <c r="AV141" s="54"/>
      <c r="AW141" s="54"/>
      <c r="AX141" s="54"/>
      <c r="AY141" s="54"/>
      <c r="AZ141" s="54"/>
      <c r="BA141" s="54"/>
      <c r="BB141" s="54"/>
      <c r="BC141" s="54"/>
      <c r="BD141" s="54"/>
      <c r="BE141" s="54"/>
      <c r="BF141" s="54"/>
      <c r="BG141" s="54"/>
      <c r="BH141" s="54"/>
    </row>
    <row r="142" spans="1:60" x14ac:dyDescent="0.55000000000000004">
      <c r="A142" s="54"/>
      <c r="B142" s="54"/>
      <c r="C142" s="54"/>
      <c r="D142" s="54"/>
      <c r="E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c r="AE142" s="54"/>
      <c r="AF142" s="54"/>
      <c r="AG142" s="54"/>
      <c r="AH142" s="54"/>
      <c r="AI142" s="54"/>
      <c r="AJ142" s="54"/>
      <c r="AK142" s="54"/>
      <c r="AL142" s="54"/>
      <c r="AM142" s="54"/>
      <c r="AN142" s="54"/>
      <c r="AO142" s="54"/>
      <c r="AP142" s="54"/>
      <c r="AQ142" s="54"/>
      <c r="AR142" s="54"/>
      <c r="AS142" s="54"/>
      <c r="AT142" s="54"/>
      <c r="AU142" s="54"/>
      <c r="AV142" s="54"/>
      <c r="AW142" s="54"/>
      <c r="AX142" s="54"/>
      <c r="AY142" s="54"/>
      <c r="AZ142" s="54"/>
      <c r="BA142" s="54"/>
      <c r="BB142" s="54"/>
      <c r="BC142" s="54"/>
      <c r="BD142" s="54"/>
      <c r="BE142" s="54"/>
      <c r="BF142" s="54"/>
      <c r="BG142" s="54"/>
      <c r="BH142" s="54"/>
    </row>
    <row r="143" spans="1:60" x14ac:dyDescent="0.55000000000000004">
      <c r="A143" s="54"/>
      <c r="B143" s="54"/>
      <c r="C143" s="54"/>
      <c r="D143" s="54"/>
      <c r="E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c r="AE143" s="54"/>
      <c r="AF143" s="54"/>
      <c r="AG143" s="54"/>
      <c r="AH143" s="54"/>
      <c r="AI143" s="54"/>
      <c r="AJ143" s="54"/>
      <c r="AK143" s="54"/>
      <c r="AL143" s="54"/>
      <c r="AM143" s="54"/>
      <c r="AN143" s="54"/>
      <c r="AO143" s="54"/>
      <c r="AP143" s="54"/>
      <c r="AQ143" s="54"/>
      <c r="AR143" s="54"/>
      <c r="AS143" s="54"/>
      <c r="AT143" s="54"/>
      <c r="AU143" s="54"/>
      <c r="AV143" s="54"/>
      <c r="AW143" s="54"/>
      <c r="AX143" s="54"/>
      <c r="AY143" s="54"/>
      <c r="AZ143" s="54"/>
      <c r="BA143" s="54"/>
      <c r="BB143" s="54"/>
      <c r="BC143" s="54"/>
      <c r="BD143" s="54"/>
      <c r="BE143" s="54"/>
      <c r="BF143" s="54"/>
      <c r="BG143" s="54"/>
      <c r="BH143" s="54"/>
    </row>
    <row r="144" spans="1:60" x14ac:dyDescent="0.55000000000000004">
      <c r="A144" s="54"/>
      <c r="B144" s="54"/>
      <c r="C144" s="54"/>
      <c r="D144" s="54"/>
      <c r="E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c r="AF144" s="54"/>
      <c r="AG144" s="54"/>
      <c r="AH144" s="54"/>
      <c r="AI144" s="54"/>
      <c r="AJ144" s="54"/>
      <c r="AK144" s="54"/>
      <c r="AL144" s="54"/>
      <c r="AM144" s="54"/>
      <c r="AN144" s="54"/>
      <c r="AO144" s="54"/>
      <c r="AP144" s="54"/>
      <c r="AQ144" s="54"/>
      <c r="AR144" s="54"/>
      <c r="AS144" s="54"/>
      <c r="AT144" s="54"/>
      <c r="AU144" s="54"/>
      <c r="AV144" s="54"/>
      <c r="AW144" s="54"/>
      <c r="AX144" s="54"/>
      <c r="AY144" s="54"/>
      <c r="AZ144" s="54"/>
      <c r="BA144" s="54"/>
      <c r="BB144" s="54"/>
      <c r="BC144" s="54"/>
      <c r="BD144" s="54"/>
      <c r="BE144" s="54"/>
      <c r="BF144" s="54"/>
      <c r="BG144" s="54"/>
      <c r="BH144" s="54"/>
    </row>
    <row r="145" spans="1:60" x14ac:dyDescent="0.55000000000000004">
      <c r="A145" s="54"/>
      <c r="B145" s="54"/>
      <c r="C145" s="54"/>
      <c r="D145" s="54"/>
      <c r="E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c r="AD145" s="54"/>
      <c r="AE145" s="54"/>
      <c r="AF145" s="54"/>
      <c r="AG145" s="54"/>
      <c r="AH145" s="54"/>
      <c r="AI145" s="54"/>
      <c r="AJ145" s="54"/>
      <c r="AK145" s="54"/>
      <c r="AL145" s="54"/>
      <c r="AM145" s="54"/>
      <c r="AN145" s="54"/>
      <c r="AO145" s="54"/>
      <c r="AP145" s="54"/>
      <c r="AQ145" s="54"/>
      <c r="AR145" s="54"/>
      <c r="AS145" s="54"/>
      <c r="AT145" s="54"/>
      <c r="AU145" s="54"/>
      <c r="AV145" s="54"/>
      <c r="AW145" s="54"/>
      <c r="AX145" s="54"/>
      <c r="AY145" s="54"/>
      <c r="AZ145" s="54"/>
      <c r="BA145" s="54"/>
      <c r="BB145" s="54"/>
      <c r="BC145" s="54"/>
      <c r="BD145" s="54"/>
      <c r="BE145" s="54"/>
      <c r="BF145" s="54"/>
      <c r="BG145" s="54"/>
      <c r="BH145" s="54"/>
    </row>
    <row r="146" spans="1:60" x14ac:dyDescent="0.55000000000000004">
      <c r="A146" s="54"/>
      <c r="B146" s="54"/>
      <c r="C146" s="54"/>
      <c r="D146" s="54"/>
      <c r="E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c r="AE146" s="54"/>
      <c r="AF146" s="54"/>
      <c r="AG146" s="54"/>
      <c r="AH146" s="54"/>
      <c r="AI146" s="54"/>
      <c r="AJ146" s="54"/>
      <c r="AK146" s="54"/>
      <c r="AL146" s="54"/>
      <c r="AM146" s="54"/>
      <c r="AN146" s="54"/>
      <c r="AO146" s="54"/>
      <c r="AP146" s="54"/>
      <c r="AQ146" s="54"/>
      <c r="AR146" s="54"/>
      <c r="AS146" s="54"/>
      <c r="AT146" s="54"/>
      <c r="AU146" s="54"/>
      <c r="AV146" s="54"/>
      <c r="AW146" s="54"/>
      <c r="AX146" s="54"/>
      <c r="AY146" s="54"/>
      <c r="AZ146" s="54"/>
      <c r="BA146" s="54"/>
      <c r="BB146" s="54"/>
      <c r="BC146" s="54"/>
      <c r="BD146" s="54"/>
      <c r="BE146" s="54"/>
      <c r="BF146" s="54"/>
      <c r="BG146" s="54"/>
      <c r="BH146" s="54"/>
    </row>
    <row r="147" spans="1:60" x14ac:dyDescent="0.55000000000000004">
      <c r="A147" s="54"/>
      <c r="B147" s="54"/>
      <c r="C147" s="54"/>
      <c r="D147" s="54"/>
      <c r="E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c r="AD147" s="54"/>
      <c r="AE147" s="54"/>
      <c r="AF147" s="54"/>
      <c r="AG147" s="54"/>
      <c r="AH147" s="54"/>
      <c r="AI147" s="54"/>
      <c r="AJ147" s="54"/>
      <c r="AK147" s="54"/>
      <c r="AL147" s="54"/>
      <c r="AM147" s="54"/>
      <c r="AN147" s="54"/>
      <c r="AO147" s="54"/>
      <c r="AP147" s="54"/>
      <c r="AQ147" s="54"/>
      <c r="AR147" s="54"/>
      <c r="AS147" s="54"/>
      <c r="AT147" s="54"/>
      <c r="AU147" s="54"/>
      <c r="AV147" s="54"/>
      <c r="AW147" s="54"/>
      <c r="AX147" s="54"/>
      <c r="AY147" s="54"/>
      <c r="AZ147" s="54"/>
      <c r="BA147" s="54"/>
      <c r="BB147" s="54"/>
      <c r="BC147" s="54"/>
      <c r="BD147" s="54"/>
      <c r="BE147" s="54"/>
      <c r="BF147" s="54"/>
      <c r="BG147" s="54"/>
      <c r="BH147" s="54"/>
    </row>
    <row r="148" spans="1:60" x14ac:dyDescent="0.55000000000000004">
      <c r="A148" s="54"/>
      <c r="B148" s="54"/>
      <c r="C148" s="54"/>
      <c r="D148" s="54"/>
      <c r="E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c r="AM148" s="54"/>
      <c r="AN148" s="54"/>
      <c r="AO148" s="54"/>
      <c r="AP148" s="54"/>
      <c r="AQ148" s="54"/>
      <c r="AR148" s="54"/>
      <c r="AS148" s="54"/>
      <c r="AT148" s="54"/>
      <c r="AU148" s="54"/>
      <c r="AV148" s="54"/>
      <c r="AW148" s="54"/>
      <c r="AX148" s="54"/>
      <c r="AY148" s="54"/>
      <c r="AZ148" s="54"/>
      <c r="BA148" s="54"/>
      <c r="BB148" s="54"/>
      <c r="BC148" s="54"/>
      <c r="BD148" s="54"/>
      <c r="BE148" s="54"/>
      <c r="BF148" s="54"/>
      <c r="BG148" s="54"/>
      <c r="BH148" s="54"/>
    </row>
    <row r="149" spans="1:60" x14ac:dyDescent="0.55000000000000004">
      <c r="A149" s="54"/>
      <c r="B149" s="54"/>
      <c r="C149" s="54"/>
      <c r="D149" s="54"/>
      <c r="E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c r="AM149" s="54"/>
      <c r="AN149" s="54"/>
      <c r="AO149" s="54"/>
      <c r="AP149" s="54"/>
      <c r="AQ149" s="54"/>
      <c r="AR149" s="54"/>
      <c r="AS149" s="54"/>
      <c r="AT149" s="54"/>
      <c r="AU149" s="54"/>
      <c r="AV149" s="54"/>
      <c r="AW149" s="54"/>
      <c r="AX149" s="54"/>
      <c r="AY149" s="54"/>
      <c r="AZ149" s="54"/>
      <c r="BA149" s="54"/>
      <c r="BB149" s="54"/>
      <c r="BC149" s="54"/>
      <c r="BD149" s="54"/>
      <c r="BE149" s="54"/>
      <c r="BF149" s="54"/>
      <c r="BG149" s="54"/>
      <c r="BH149" s="54"/>
    </row>
    <row r="150" spans="1:60" x14ac:dyDescent="0.55000000000000004">
      <c r="A150" s="54"/>
      <c r="B150" s="54"/>
      <c r="C150" s="54"/>
      <c r="D150" s="54"/>
      <c r="E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c r="AE150" s="54"/>
      <c r="AF150" s="54"/>
      <c r="AG150" s="54"/>
      <c r="AH150" s="54"/>
      <c r="AI150" s="54"/>
      <c r="AJ150" s="54"/>
      <c r="AK150" s="54"/>
      <c r="AL150" s="54"/>
      <c r="AM150" s="54"/>
      <c r="AN150" s="54"/>
      <c r="AO150" s="54"/>
      <c r="AP150" s="54"/>
      <c r="AQ150" s="54"/>
      <c r="AR150" s="54"/>
      <c r="AS150" s="54"/>
      <c r="AT150" s="54"/>
      <c r="AU150" s="54"/>
      <c r="AV150" s="54"/>
      <c r="AW150" s="54"/>
      <c r="AX150" s="54"/>
      <c r="AY150" s="54"/>
      <c r="AZ150" s="54"/>
      <c r="BA150" s="54"/>
      <c r="BB150" s="54"/>
      <c r="BC150" s="54"/>
      <c r="BD150" s="54"/>
      <c r="BE150" s="54"/>
      <c r="BF150" s="54"/>
      <c r="BG150" s="54"/>
      <c r="BH150" s="54"/>
    </row>
    <row r="151" spans="1:60" x14ac:dyDescent="0.55000000000000004">
      <c r="A151" s="54"/>
      <c r="B151" s="54"/>
      <c r="C151" s="54"/>
      <c r="D151" s="54"/>
      <c r="E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c r="AE151" s="54"/>
      <c r="AF151" s="54"/>
      <c r="AG151" s="54"/>
      <c r="AH151" s="54"/>
      <c r="AI151" s="54"/>
      <c r="AJ151" s="54"/>
      <c r="AK151" s="54"/>
      <c r="AL151" s="54"/>
      <c r="AM151" s="54"/>
      <c r="AN151" s="54"/>
      <c r="AO151" s="54"/>
      <c r="AP151" s="54"/>
      <c r="AQ151" s="54"/>
      <c r="AR151" s="54"/>
      <c r="AS151" s="54"/>
      <c r="AT151" s="54"/>
      <c r="AU151" s="54"/>
      <c r="AV151" s="54"/>
      <c r="AW151" s="54"/>
      <c r="AX151" s="54"/>
      <c r="AY151" s="54"/>
      <c r="AZ151" s="54"/>
      <c r="BA151" s="54"/>
      <c r="BB151" s="54"/>
      <c r="BC151" s="54"/>
      <c r="BD151" s="54"/>
      <c r="BE151" s="54"/>
      <c r="BF151" s="54"/>
      <c r="BG151" s="54"/>
      <c r="BH151" s="54"/>
    </row>
    <row r="152" spans="1:60" x14ac:dyDescent="0.55000000000000004">
      <c r="A152" s="54"/>
      <c r="B152" s="54"/>
      <c r="C152" s="54"/>
      <c r="D152" s="54"/>
      <c r="E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c r="AE152" s="54"/>
      <c r="AF152" s="54"/>
      <c r="AG152" s="54"/>
      <c r="AH152" s="54"/>
      <c r="AI152" s="54"/>
      <c r="AJ152" s="54"/>
      <c r="AK152" s="54"/>
      <c r="AL152" s="54"/>
      <c r="AM152" s="54"/>
      <c r="AN152" s="54"/>
      <c r="AO152" s="54"/>
      <c r="AP152" s="54"/>
      <c r="AQ152" s="54"/>
      <c r="AR152" s="54"/>
      <c r="AS152" s="54"/>
      <c r="AT152" s="54"/>
      <c r="AU152" s="54"/>
      <c r="AV152" s="54"/>
      <c r="AW152" s="54"/>
      <c r="AX152" s="54"/>
      <c r="AY152" s="54"/>
      <c r="AZ152" s="54"/>
      <c r="BA152" s="54"/>
      <c r="BB152" s="54"/>
      <c r="BC152" s="54"/>
      <c r="BD152" s="54"/>
      <c r="BE152" s="54"/>
      <c r="BF152" s="54"/>
      <c r="BG152" s="54"/>
      <c r="BH152" s="54"/>
    </row>
    <row r="153" spans="1:60" x14ac:dyDescent="0.55000000000000004">
      <c r="A153" s="54"/>
      <c r="B153" s="54"/>
      <c r="C153" s="54"/>
      <c r="D153" s="54"/>
      <c r="E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c r="AE153" s="54"/>
      <c r="AF153" s="54"/>
      <c r="AG153" s="54"/>
      <c r="AH153" s="54"/>
      <c r="AI153" s="54"/>
      <c r="AJ153" s="54"/>
      <c r="AK153" s="54"/>
      <c r="AL153" s="54"/>
      <c r="AM153" s="54"/>
      <c r="AN153" s="54"/>
      <c r="AO153" s="54"/>
      <c r="AP153" s="54"/>
      <c r="AQ153" s="54"/>
      <c r="AR153" s="54"/>
      <c r="AS153" s="54"/>
      <c r="AT153" s="54"/>
      <c r="AU153" s="54"/>
      <c r="AV153" s="54"/>
      <c r="AW153" s="54"/>
      <c r="AX153" s="54"/>
      <c r="AY153" s="54"/>
      <c r="AZ153" s="54"/>
      <c r="BA153" s="54"/>
      <c r="BB153" s="54"/>
      <c r="BC153" s="54"/>
      <c r="BD153" s="54"/>
      <c r="BE153" s="54"/>
      <c r="BF153" s="54"/>
      <c r="BG153" s="54"/>
      <c r="BH153" s="54"/>
    </row>
    <row r="154" spans="1:60" x14ac:dyDescent="0.55000000000000004">
      <c r="A154" s="54"/>
      <c r="B154" s="54"/>
      <c r="C154" s="54"/>
      <c r="D154" s="54"/>
      <c r="E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c r="AE154" s="54"/>
      <c r="AF154" s="54"/>
      <c r="AG154" s="54"/>
      <c r="AH154" s="54"/>
      <c r="AI154" s="54"/>
      <c r="AJ154" s="54"/>
      <c r="AK154" s="54"/>
      <c r="AL154" s="54"/>
      <c r="AM154" s="54"/>
      <c r="AN154" s="54"/>
      <c r="AO154" s="54"/>
      <c r="AP154" s="54"/>
      <c r="AQ154" s="54"/>
      <c r="AR154" s="54"/>
      <c r="AS154" s="54"/>
      <c r="AT154" s="54"/>
      <c r="AU154" s="54"/>
      <c r="AV154" s="54"/>
      <c r="AW154" s="54"/>
      <c r="AX154" s="54"/>
      <c r="AY154" s="54"/>
      <c r="AZ154" s="54"/>
      <c r="BA154" s="54"/>
      <c r="BB154" s="54"/>
      <c r="BC154" s="54"/>
      <c r="BD154" s="54"/>
      <c r="BE154" s="54"/>
      <c r="BF154" s="54"/>
      <c r="BG154" s="54"/>
      <c r="BH154" s="54"/>
    </row>
    <row r="155" spans="1:60" x14ac:dyDescent="0.55000000000000004">
      <c r="A155" s="54"/>
      <c r="B155" s="54"/>
      <c r="C155" s="54"/>
      <c r="D155" s="54"/>
      <c r="E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c r="AE155" s="54"/>
      <c r="AF155" s="54"/>
      <c r="AG155" s="54"/>
      <c r="AH155" s="54"/>
      <c r="AI155" s="54"/>
      <c r="AJ155" s="54"/>
      <c r="AK155" s="54"/>
      <c r="AL155" s="54"/>
      <c r="AM155" s="54"/>
      <c r="AN155" s="54"/>
      <c r="AO155" s="54"/>
      <c r="AP155" s="54"/>
      <c r="AQ155" s="54"/>
      <c r="AR155" s="54"/>
      <c r="AS155" s="54"/>
      <c r="AT155" s="54"/>
      <c r="AU155" s="54"/>
      <c r="AV155" s="54"/>
      <c r="AW155" s="54"/>
      <c r="AX155" s="54"/>
      <c r="AY155" s="54"/>
      <c r="AZ155" s="54"/>
      <c r="BA155" s="54"/>
      <c r="BB155" s="54"/>
      <c r="BC155" s="54"/>
      <c r="BD155" s="54"/>
      <c r="BE155" s="54"/>
      <c r="BF155" s="54"/>
      <c r="BG155" s="54"/>
      <c r="BH155" s="54"/>
    </row>
    <row r="156" spans="1:60" x14ac:dyDescent="0.55000000000000004">
      <c r="A156" s="54"/>
      <c r="B156" s="54"/>
      <c r="C156" s="54"/>
      <c r="D156" s="54"/>
      <c r="E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c r="AO156" s="54"/>
      <c r="AP156" s="54"/>
      <c r="AQ156" s="54"/>
      <c r="AR156" s="54"/>
      <c r="AS156" s="54"/>
      <c r="AT156" s="54"/>
      <c r="AU156" s="54"/>
      <c r="AV156" s="54"/>
      <c r="AW156" s="54"/>
      <c r="AX156" s="54"/>
      <c r="AY156" s="54"/>
      <c r="AZ156" s="54"/>
      <c r="BA156" s="54"/>
      <c r="BB156" s="54"/>
      <c r="BC156" s="54"/>
      <c r="BD156" s="54"/>
      <c r="BE156" s="54"/>
      <c r="BF156" s="54"/>
      <c r="BG156" s="54"/>
      <c r="BH156" s="54"/>
    </row>
    <row r="157" spans="1:60" x14ac:dyDescent="0.55000000000000004">
      <c r="A157" s="54"/>
      <c r="B157" s="54"/>
      <c r="C157" s="54"/>
      <c r="D157" s="54"/>
      <c r="E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c r="AO157" s="54"/>
      <c r="AP157" s="54"/>
      <c r="AQ157" s="54"/>
      <c r="AR157" s="54"/>
      <c r="AS157" s="54"/>
      <c r="AT157" s="54"/>
      <c r="AU157" s="54"/>
      <c r="AV157" s="54"/>
      <c r="AW157" s="54"/>
      <c r="AX157" s="54"/>
      <c r="AY157" s="54"/>
      <c r="AZ157" s="54"/>
      <c r="BA157" s="54"/>
      <c r="BB157" s="54"/>
      <c r="BC157" s="54"/>
      <c r="BD157" s="54"/>
      <c r="BE157" s="54"/>
      <c r="BF157" s="54"/>
      <c r="BG157" s="54"/>
      <c r="BH157" s="54"/>
    </row>
    <row r="158" spans="1:60" x14ac:dyDescent="0.55000000000000004">
      <c r="A158" s="54"/>
      <c r="B158" s="54"/>
      <c r="C158" s="54"/>
      <c r="D158" s="54"/>
      <c r="E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c r="AD158" s="54"/>
      <c r="AE158" s="54"/>
      <c r="AF158" s="54"/>
      <c r="AG158" s="54"/>
      <c r="AH158" s="54"/>
      <c r="AI158" s="54"/>
      <c r="AJ158" s="54"/>
      <c r="AK158" s="54"/>
      <c r="AL158" s="54"/>
      <c r="AM158" s="54"/>
      <c r="AN158" s="54"/>
      <c r="AO158" s="54"/>
      <c r="AP158" s="54"/>
      <c r="AQ158" s="54"/>
      <c r="AR158" s="54"/>
      <c r="AS158" s="54"/>
      <c r="AT158" s="54"/>
      <c r="AU158" s="54"/>
      <c r="AV158" s="54"/>
      <c r="AW158" s="54"/>
      <c r="AX158" s="54"/>
      <c r="AY158" s="54"/>
      <c r="AZ158" s="54"/>
      <c r="BA158" s="54"/>
      <c r="BB158" s="54"/>
      <c r="BC158" s="54"/>
      <c r="BD158" s="54"/>
      <c r="BE158" s="54"/>
      <c r="BF158" s="54"/>
      <c r="BG158" s="54"/>
      <c r="BH158" s="54"/>
    </row>
    <row r="159" spans="1:60" x14ac:dyDescent="0.55000000000000004">
      <c r="A159" s="54"/>
      <c r="B159" s="54"/>
      <c r="C159" s="54"/>
      <c r="D159" s="54"/>
      <c r="E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c r="AD159" s="54"/>
      <c r="AE159" s="54"/>
      <c r="AF159" s="54"/>
      <c r="AG159" s="54"/>
      <c r="AH159" s="54"/>
      <c r="AI159" s="54"/>
      <c r="AJ159" s="54"/>
      <c r="AK159" s="54"/>
      <c r="AL159" s="54"/>
      <c r="AM159" s="54"/>
      <c r="AN159" s="54"/>
      <c r="AO159" s="54"/>
      <c r="AP159" s="54"/>
      <c r="AQ159" s="54"/>
      <c r="AR159" s="54"/>
      <c r="AS159" s="54"/>
      <c r="AT159" s="54"/>
      <c r="AU159" s="54"/>
      <c r="AV159" s="54"/>
      <c r="AW159" s="54"/>
      <c r="AX159" s="54"/>
      <c r="AY159" s="54"/>
      <c r="AZ159" s="54"/>
      <c r="BA159" s="54"/>
      <c r="BB159" s="54"/>
      <c r="BC159" s="54"/>
      <c r="BD159" s="54"/>
      <c r="BE159" s="54"/>
      <c r="BF159" s="54"/>
      <c r="BG159" s="54"/>
      <c r="BH159" s="54"/>
    </row>
    <row r="160" spans="1:60" x14ac:dyDescent="0.55000000000000004">
      <c r="A160" s="54"/>
      <c r="B160" s="54"/>
      <c r="C160" s="54"/>
      <c r="D160" s="54"/>
      <c r="E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c r="AD160" s="54"/>
      <c r="AE160" s="54"/>
      <c r="AF160" s="54"/>
      <c r="AG160" s="54"/>
      <c r="AH160" s="54"/>
      <c r="AI160" s="54"/>
      <c r="AJ160" s="54"/>
      <c r="AK160" s="54"/>
      <c r="AL160" s="54"/>
      <c r="AM160" s="54"/>
      <c r="AN160" s="54"/>
      <c r="AO160" s="54"/>
      <c r="AP160" s="54"/>
      <c r="AQ160" s="54"/>
      <c r="AR160" s="54"/>
      <c r="AS160" s="54"/>
      <c r="AT160" s="54"/>
      <c r="AU160" s="54"/>
      <c r="AV160" s="54"/>
      <c r="AW160" s="54"/>
      <c r="AX160" s="54"/>
      <c r="AY160" s="54"/>
      <c r="AZ160" s="54"/>
      <c r="BA160" s="54"/>
      <c r="BB160" s="54"/>
      <c r="BC160" s="54"/>
      <c r="BD160" s="54"/>
      <c r="BE160" s="54"/>
      <c r="BF160" s="54"/>
      <c r="BG160" s="54"/>
      <c r="BH160" s="54"/>
    </row>
    <row r="161" spans="1:60" x14ac:dyDescent="0.55000000000000004">
      <c r="A161" s="54"/>
      <c r="B161" s="54"/>
      <c r="C161" s="54"/>
      <c r="D161" s="54"/>
      <c r="E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c r="AE161" s="54"/>
      <c r="AF161" s="54"/>
      <c r="AG161" s="54"/>
      <c r="AH161" s="54"/>
      <c r="AI161" s="54"/>
      <c r="AJ161" s="54"/>
      <c r="AK161" s="54"/>
      <c r="AL161" s="54"/>
      <c r="AM161" s="54"/>
      <c r="AN161" s="54"/>
      <c r="AO161" s="54"/>
      <c r="AP161" s="54"/>
      <c r="AQ161" s="54"/>
      <c r="AR161" s="54"/>
      <c r="AS161" s="54"/>
      <c r="AT161" s="54"/>
      <c r="AU161" s="54"/>
      <c r="AV161" s="54"/>
      <c r="AW161" s="54"/>
      <c r="AX161" s="54"/>
      <c r="AY161" s="54"/>
      <c r="AZ161" s="54"/>
      <c r="BA161" s="54"/>
      <c r="BB161" s="54"/>
      <c r="BC161" s="54"/>
      <c r="BD161" s="54"/>
      <c r="BE161" s="54"/>
      <c r="BF161" s="54"/>
      <c r="BG161" s="54"/>
      <c r="BH161" s="54"/>
    </row>
    <row r="162" spans="1:60" x14ac:dyDescent="0.55000000000000004">
      <c r="A162" s="54"/>
      <c r="B162" s="54"/>
      <c r="C162" s="54"/>
      <c r="D162" s="54"/>
      <c r="E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54"/>
      <c r="AI162" s="54"/>
      <c r="AJ162" s="54"/>
      <c r="AK162" s="54"/>
      <c r="AL162" s="54"/>
      <c r="AM162" s="54"/>
      <c r="AN162" s="54"/>
      <c r="AO162" s="54"/>
      <c r="AP162" s="54"/>
      <c r="AQ162" s="54"/>
      <c r="AR162" s="54"/>
      <c r="AS162" s="54"/>
      <c r="AT162" s="54"/>
      <c r="AU162" s="54"/>
      <c r="AV162" s="54"/>
      <c r="AW162" s="54"/>
      <c r="AX162" s="54"/>
      <c r="AY162" s="54"/>
      <c r="AZ162" s="54"/>
      <c r="BA162" s="54"/>
      <c r="BB162" s="54"/>
      <c r="BC162" s="54"/>
      <c r="BD162" s="54"/>
      <c r="BE162" s="54"/>
      <c r="BF162" s="54"/>
      <c r="BG162" s="54"/>
      <c r="BH162" s="54"/>
    </row>
    <row r="163" spans="1:60" x14ac:dyDescent="0.55000000000000004">
      <c r="A163" s="54"/>
      <c r="B163" s="54"/>
      <c r="C163" s="54"/>
      <c r="D163" s="54"/>
      <c r="E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54"/>
      <c r="AI163" s="54"/>
      <c r="AJ163" s="54"/>
      <c r="AK163" s="54"/>
      <c r="AL163" s="54"/>
      <c r="AM163" s="54"/>
      <c r="AN163" s="54"/>
      <c r="AO163" s="54"/>
      <c r="AP163" s="54"/>
      <c r="AQ163" s="54"/>
      <c r="AR163" s="54"/>
      <c r="AS163" s="54"/>
      <c r="AT163" s="54"/>
      <c r="AU163" s="54"/>
      <c r="AV163" s="54"/>
      <c r="AW163" s="54"/>
      <c r="AX163" s="54"/>
      <c r="AY163" s="54"/>
      <c r="AZ163" s="54"/>
      <c r="BA163" s="54"/>
      <c r="BB163" s="54"/>
      <c r="BC163" s="54"/>
      <c r="BD163" s="54"/>
      <c r="BE163" s="54"/>
      <c r="BF163" s="54"/>
      <c r="BG163" s="54"/>
      <c r="BH163" s="54"/>
    </row>
    <row r="164" spans="1:60" x14ac:dyDescent="0.55000000000000004">
      <c r="A164" s="54"/>
      <c r="B164" s="54"/>
      <c r="C164" s="54"/>
      <c r="D164" s="54"/>
      <c r="E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54"/>
      <c r="AI164" s="54"/>
      <c r="AJ164" s="54"/>
      <c r="AK164" s="54"/>
      <c r="AL164" s="54"/>
      <c r="AM164" s="54"/>
      <c r="AN164" s="54"/>
      <c r="AO164" s="54"/>
      <c r="AP164" s="54"/>
      <c r="AQ164" s="54"/>
      <c r="AR164" s="54"/>
      <c r="AS164" s="54"/>
      <c r="AT164" s="54"/>
      <c r="AU164" s="54"/>
      <c r="AV164" s="54"/>
      <c r="AW164" s="54"/>
      <c r="AX164" s="54"/>
      <c r="AY164" s="54"/>
      <c r="AZ164" s="54"/>
      <c r="BA164" s="54"/>
      <c r="BB164" s="54"/>
      <c r="BC164" s="54"/>
      <c r="BD164" s="54"/>
      <c r="BE164" s="54"/>
      <c r="BF164" s="54"/>
      <c r="BG164" s="54"/>
      <c r="BH164" s="54"/>
    </row>
    <row r="165" spans="1:60" x14ac:dyDescent="0.55000000000000004">
      <c r="A165" s="54"/>
      <c r="B165" s="54"/>
      <c r="C165" s="54"/>
      <c r="D165" s="54"/>
      <c r="E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54"/>
      <c r="AL165" s="54"/>
      <c r="AM165" s="54"/>
      <c r="AN165" s="54"/>
      <c r="AO165" s="54"/>
      <c r="AP165" s="54"/>
      <c r="AQ165" s="54"/>
      <c r="AR165" s="54"/>
      <c r="AS165" s="54"/>
      <c r="AT165" s="54"/>
      <c r="AU165" s="54"/>
      <c r="AV165" s="54"/>
      <c r="AW165" s="54"/>
      <c r="AX165" s="54"/>
      <c r="AY165" s="54"/>
      <c r="AZ165" s="54"/>
      <c r="BA165" s="54"/>
      <c r="BB165" s="54"/>
      <c r="BC165" s="54"/>
      <c r="BD165" s="54"/>
      <c r="BE165" s="54"/>
      <c r="BF165" s="54"/>
      <c r="BG165" s="54"/>
      <c r="BH165" s="54"/>
    </row>
    <row r="166" spans="1:60" x14ac:dyDescent="0.55000000000000004">
      <c r="A166" s="54"/>
      <c r="B166" s="54"/>
      <c r="C166" s="54"/>
      <c r="D166" s="54"/>
      <c r="E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c r="AD166" s="54"/>
      <c r="AE166" s="54"/>
      <c r="AF166" s="54"/>
      <c r="AG166" s="54"/>
      <c r="AH166" s="54"/>
      <c r="AI166" s="54"/>
      <c r="AJ166" s="54"/>
      <c r="AK166" s="54"/>
      <c r="AL166" s="54"/>
      <c r="AM166" s="54"/>
      <c r="AN166" s="54"/>
      <c r="AO166" s="54"/>
      <c r="AP166" s="54"/>
      <c r="AQ166" s="54"/>
      <c r="AR166" s="54"/>
      <c r="AS166" s="54"/>
      <c r="AT166" s="54"/>
      <c r="AU166" s="54"/>
      <c r="AV166" s="54"/>
      <c r="AW166" s="54"/>
      <c r="AX166" s="54"/>
      <c r="AY166" s="54"/>
      <c r="AZ166" s="54"/>
      <c r="BA166" s="54"/>
      <c r="BB166" s="54"/>
      <c r="BC166" s="54"/>
      <c r="BD166" s="54"/>
      <c r="BE166" s="54"/>
      <c r="BF166" s="54"/>
      <c r="BG166" s="54"/>
      <c r="BH166" s="54"/>
    </row>
    <row r="167" spans="1:60" x14ac:dyDescent="0.55000000000000004">
      <c r="A167" s="54"/>
      <c r="B167" s="54"/>
      <c r="C167" s="54"/>
      <c r="D167" s="54"/>
      <c r="E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c r="AE167" s="54"/>
      <c r="AF167" s="54"/>
      <c r="AG167" s="54"/>
      <c r="AH167" s="54"/>
      <c r="AI167" s="54"/>
      <c r="AJ167" s="54"/>
      <c r="AK167" s="54"/>
      <c r="AL167" s="54"/>
      <c r="AM167" s="54"/>
      <c r="AN167" s="54"/>
      <c r="AO167" s="54"/>
      <c r="AP167" s="54"/>
      <c r="AQ167" s="54"/>
      <c r="AR167" s="54"/>
      <c r="AS167" s="54"/>
      <c r="AT167" s="54"/>
      <c r="AU167" s="54"/>
      <c r="AV167" s="54"/>
      <c r="AW167" s="54"/>
      <c r="AX167" s="54"/>
      <c r="AY167" s="54"/>
      <c r="AZ167" s="54"/>
      <c r="BA167" s="54"/>
      <c r="BB167" s="54"/>
      <c r="BC167" s="54"/>
      <c r="BD167" s="54"/>
      <c r="BE167" s="54"/>
      <c r="BF167" s="54"/>
      <c r="BG167" s="54"/>
      <c r="BH167" s="54"/>
    </row>
    <row r="168" spans="1:60" x14ac:dyDescent="0.55000000000000004">
      <c r="A168" s="54"/>
      <c r="B168" s="54"/>
      <c r="C168" s="54"/>
      <c r="D168" s="54"/>
      <c r="E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c r="AE168" s="54"/>
      <c r="AF168" s="54"/>
      <c r="AG168" s="54"/>
      <c r="AH168" s="54"/>
      <c r="AI168" s="54"/>
      <c r="AJ168" s="54"/>
      <c r="AK168" s="54"/>
      <c r="AL168" s="54"/>
      <c r="AM168" s="54"/>
      <c r="AN168" s="54"/>
      <c r="AO168" s="54"/>
      <c r="AP168" s="54"/>
      <c r="AQ168" s="54"/>
      <c r="AR168" s="54"/>
      <c r="AS168" s="54"/>
      <c r="AT168" s="54"/>
      <c r="AU168" s="54"/>
      <c r="AV168" s="54"/>
      <c r="AW168" s="54"/>
      <c r="AX168" s="54"/>
      <c r="AY168" s="54"/>
      <c r="AZ168" s="54"/>
      <c r="BA168" s="54"/>
      <c r="BB168" s="54"/>
      <c r="BC168" s="54"/>
      <c r="BD168" s="54"/>
      <c r="BE168" s="54"/>
      <c r="BF168" s="54"/>
      <c r="BG168" s="54"/>
      <c r="BH168" s="54"/>
    </row>
    <row r="169" spans="1:60" x14ac:dyDescent="0.55000000000000004">
      <c r="A169" s="54"/>
      <c r="B169" s="54"/>
      <c r="C169" s="54"/>
      <c r="D169" s="54"/>
      <c r="E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c r="AL169" s="54"/>
      <c r="AM169" s="54"/>
      <c r="AN169" s="54"/>
      <c r="AO169" s="54"/>
      <c r="AP169" s="54"/>
      <c r="AQ169" s="54"/>
      <c r="AR169" s="54"/>
      <c r="AS169" s="54"/>
      <c r="AT169" s="54"/>
      <c r="AU169" s="54"/>
      <c r="AV169" s="54"/>
      <c r="AW169" s="54"/>
      <c r="AX169" s="54"/>
      <c r="AY169" s="54"/>
      <c r="AZ169" s="54"/>
      <c r="BA169" s="54"/>
      <c r="BB169" s="54"/>
      <c r="BC169" s="54"/>
      <c r="BD169" s="54"/>
      <c r="BE169" s="54"/>
      <c r="BF169" s="54"/>
      <c r="BG169" s="54"/>
      <c r="BH169" s="54"/>
    </row>
    <row r="170" spans="1:60" x14ac:dyDescent="0.55000000000000004">
      <c r="A170" s="54"/>
      <c r="B170" s="54"/>
      <c r="C170" s="54"/>
      <c r="D170" s="54"/>
      <c r="E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c r="AE170" s="54"/>
      <c r="AF170" s="54"/>
      <c r="AG170" s="54"/>
      <c r="AH170" s="54"/>
      <c r="AI170" s="54"/>
      <c r="AJ170" s="54"/>
      <c r="AK170" s="54"/>
      <c r="AL170" s="54"/>
      <c r="AM170" s="54"/>
      <c r="AN170" s="54"/>
      <c r="AO170" s="54"/>
      <c r="AP170" s="54"/>
      <c r="AQ170" s="54"/>
      <c r="AR170" s="54"/>
      <c r="AS170" s="54"/>
      <c r="AT170" s="54"/>
      <c r="AU170" s="54"/>
      <c r="AV170" s="54"/>
      <c r="AW170" s="54"/>
      <c r="AX170" s="54"/>
      <c r="AY170" s="54"/>
      <c r="AZ170" s="54"/>
      <c r="BA170" s="54"/>
      <c r="BB170" s="54"/>
      <c r="BC170" s="54"/>
      <c r="BD170" s="54"/>
      <c r="BE170" s="54"/>
      <c r="BF170" s="54"/>
      <c r="BG170" s="54"/>
      <c r="BH170" s="54"/>
    </row>
    <row r="171" spans="1:60" x14ac:dyDescent="0.55000000000000004">
      <c r="A171" s="54"/>
      <c r="B171" s="54"/>
      <c r="C171" s="54"/>
      <c r="D171" s="54"/>
      <c r="E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c r="AE171" s="54"/>
      <c r="AF171" s="54"/>
      <c r="AG171" s="54"/>
      <c r="AH171" s="54"/>
      <c r="AI171" s="54"/>
      <c r="AJ171" s="54"/>
      <c r="AK171" s="54"/>
      <c r="AL171" s="54"/>
      <c r="AM171" s="54"/>
      <c r="AN171" s="54"/>
      <c r="AO171" s="54"/>
      <c r="AP171" s="54"/>
      <c r="AQ171" s="54"/>
      <c r="AR171" s="54"/>
      <c r="AS171" s="54"/>
      <c r="AT171" s="54"/>
      <c r="AU171" s="54"/>
      <c r="AV171" s="54"/>
      <c r="AW171" s="54"/>
      <c r="AX171" s="54"/>
      <c r="AY171" s="54"/>
      <c r="AZ171" s="54"/>
      <c r="BA171" s="54"/>
      <c r="BB171" s="54"/>
      <c r="BC171" s="54"/>
      <c r="BD171" s="54"/>
      <c r="BE171" s="54"/>
      <c r="BF171" s="54"/>
      <c r="BG171" s="54"/>
      <c r="BH171" s="54"/>
    </row>
    <row r="172" spans="1:60" x14ac:dyDescent="0.55000000000000004">
      <c r="A172" s="54"/>
      <c r="B172" s="54"/>
      <c r="C172" s="54"/>
      <c r="D172" s="54"/>
      <c r="E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c r="AD172" s="54"/>
      <c r="AE172" s="54"/>
      <c r="AF172" s="54"/>
      <c r="AG172" s="54"/>
      <c r="AH172" s="54"/>
      <c r="AI172" s="54"/>
      <c r="AJ172" s="54"/>
      <c r="AK172" s="54"/>
      <c r="AL172" s="54"/>
      <c r="AM172" s="54"/>
      <c r="AN172" s="54"/>
      <c r="AO172" s="54"/>
      <c r="AP172" s="54"/>
      <c r="AQ172" s="54"/>
      <c r="AR172" s="54"/>
      <c r="AS172" s="54"/>
      <c r="AT172" s="54"/>
      <c r="AU172" s="54"/>
      <c r="AV172" s="54"/>
      <c r="AW172" s="54"/>
      <c r="AX172" s="54"/>
      <c r="AY172" s="54"/>
      <c r="AZ172" s="54"/>
      <c r="BA172" s="54"/>
      <c r="BB172" s="54"/>
      <c r="BC172" s="54"/>
      <c r="BD172" s="54"/>
      <c r="BE172" s="54"/>
      <c r="BF172" s="54"/>
      <c r="BG172" s="54"/>
      <c r="BH172" s="54"/>
    </row>
    <row r="173" spans="1:60" x14ac:dyDescent="0.55000000000000004">
      <c r="A173" s="54"/>
      <c r="B173" s="54"/>
      <c r="C173" s="54"/>
      <c r="D173" s="54"/>
      <c r="E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c r="AD173" s="54"/>
      <c r="AE173" s="54"/>
      <c r="AF173" s="54"/>
      <c r="AG173" s="54"/>
      <c r="AH173" s="54"/>
      <c r="AI173" s="54"/>
      <c r="AJ173" s="54"/>
      <c r="AK173" s="54"/>
      <c r="AL173" s="54"/>
      <c r="AM173" s="54"/>
      <c r="AN173" s="54"/>
      <c r="AO173" s="54"/>
      <c r="AP173" s="54"/>
      <c r="AQ173" s="54"/>
      <c r="AR173" s="54"/>
      <c r="AS173" s="54"/>
      <c r="AT173" s="54"/>
      <c r="AU173" s="54"/>
      <c r="AV173" s="54"/>
      <c r="AW173" s="54"/>
      <c r="AX173" s="54"/>
      <c r="AY173" s="54"/>
      <c r="AZ173" s="54"/>
      <c r="BA173" s="54"/>
      <c r="BB173" s="54"/>
      <c r="BC173" s="54"/>
      <c r="BD173" s="54"/>
      <c r="BE173" s="54"/>
      <c r="BF173" s="54"/>
      <c r="BG173" s="54"/>
      <c r="BH173" s="54"/>
    </row>
    <row r="174" spans="1:60" x14ac:dyDescent="0.55000000000000004">
      <c r="A174" s="54"/>
      <c r="B174" s="54"/>
      <c r="C174" s="54"/>
      <c r="D174" s="54"/>
      <c r="E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c r="AH174" s="54"/>
      <c r="AI174" s="54"/>
      <c r="AJ174" s="54"/>
      <c r="AK174" s="54"/>
      <c r="AL174" s="54"/>
      <c r="AM174" s="54"/>
      <c r="AN174" s="54"/>
      <c r="AO174" s="54"/>
      <c r="AP174" s="54"/>
      <c r="AQ174" s="54"/>
      <c r="AR174" s="54"/>
      <c r="AS174" s="54"/>
      <c r="AT174" s="54"/>
      <c r="AU174" s="54"/>
      <c r="AV174" s="54"/>
      <c r="AW174" s="54"/>
      <c r="AX174" s="54"/>
      <c r="AY174" s="54"/>
      <c r="AZ174" s="54"/>
      <c r="BA174" s="54"/>
      <c r="BB174" s="54"/>
      <c r="BC174" s="54"/>
      <c r="BD174" s="54"/>
      <c r="BE174" s="54"/>
      <c r="BF174" s="54"/>
      <c r="BG174" s="54"/>
      <c r="BH174" s="54"/>
    </row>
    <row r="175" spans="1:60" x14ac:dyDescent="0.55000000000000004">
      <c r="A175" s="54"/>
      <c r="B175" s="54"/>
      <c r="C175" s="54"/>
      <c r="D175" s="54"/>
      <c r="E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54"/>
      <c r="AI175" s="54"/>
      <c r="AJ175" s="54"/>
      <c r="AK175" s="54"/>
      <c r="AL175" s="54"/>
      <c r="AM175" s="54"/>
      <c r="AN175" s="54"/>
      <c r="AO175" s="54"/>
      <c r="AP175" s="54"/>
      <c r="AQ175" s="54"/>
      <c r="AR175" s="54"/>
      <c r="AS175" s="54"/>
      <c r="AT175" s="54"/>
      <c r="AU175" s="54"/>
      <c r="AV175" s="54"/>
      <c r="AW175" s="54"/>
      <c r="AX175" s="54"/>
      <c r="AY175" s="54"/>
      <c r="AZ175" s="54"/>
      <c r="BA175" s="54"/>
      <c r="BB175" s="54"/>
      <c r="BC175" s="54"/>
      <c r="BD175" s="54"/>
      <c r="BE175" s="54"/>
      <c r="BF175" s="54"/>
      <c r="BG175" s="54"/>
      <c r="BH175" s="54"/>
    </row>
    <row r="176" spans="1:60" x14ac:dyDescent="0.55000000000000004">
      <c r="A176" s="54"/>
      <c r="B176" s="54"/>
      <c r="C176" s="54"/>
      <c r="D176" s="54"/>
      <c r="E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c r="AE176" s="54"/>
      <c r="AF176" s="54"/>
      <c r="AG176" s="54"/>
      <c r="AH176" s="54"/>
      <c r="AI176" s="54"/>
      <c r="AJ176" s="54"/>
      <c r="AK176" s="54"/>
      <c r="AL176" s="54"/>
      <c r="AM176" s="54"/>
      <c r="AN176" s="54"/>
      <c r="AO176" s="54"/>
      <c r="AP176" s="54"/>
      <c r="AQ176" s="54"/>
      <c r="AR176" s="54"/>
      <c r="AS176" s="54"/>
      <c r="AT176" s="54"/>
      <c r="AU176" s="54"/>
      <c r="AV176" s="54"/>
      <c r="AW176" s="54"/>
      <c r="AX176" s="54"/>
      <c r="AY176" s="54"/>
      <c r="AZ176" s="54"/>
      <c r="BA176" s="54"/>
      <c r="BB176" s="54"/>
      <c r="BC176" s="54"/>
      <c r="BD176" s="54"/>
      <c r="BE176" s="54"/>
      <c r="BF176" s="54"/>
      <c r="BG176" s="54"/>
      <c r="BH176" s="54"/>
    </row>
    <row r="177" spans="1:60" x14ac:dyDescent="0.55000000000000004">
      <c r="A177" s="54"/>
      <c r="B177" s="54"/>
      <c r="C177" s="54"/>
      <c r="D177" s="54"/>
      <c r="E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c r="AD177" s="54"/>
      <c r="AE177" s="54"/>
      <c r="AF177" s="54"/>
      <c r="AG177" s="54"/>
      <c r="AH177" s="54"/>
      <c r="AI177" s="54"/>
      <c r="AJ177" s="54"/>
      <c r="AK177" s="54"/>
      <c r="AL177" s="54"/>
      <c r="AM177" s="54"/>
      <c r="AN177" s="54"/>
      <c r="AO177" s="54"/>
      <c r="AP177" s="54"/>
      <c r="AQ177" s="54"/>
      <c r="AR177" s="54"/>
      <c r="AS177" s="54"/>
      <c r="AT177" s="54"/>
      <c r="AU177" s="54"/>
      <c r="AV177" s="54"/>
      <c r="AW177" s="54"/>
      <c r="AX177" s="54"/>
      <c r="AY177" s="54"/>
      <c r="AZ177" s="54"/>
      <c r="BA177" s="54"/>
      <c r="BB177" s="54"/>
      <c r="BC177" s="54"/>
      <c r="BD177" s="54"/>
      <c r="BE177" s="54"/>
      <c r="BF177" s="54"/>
      <c r="BG177" s="54"/>
      <c r="BH177" s="54"/>
    </row>
    <row r="178" spans="1:60" x14ac:dyDescent="0.55000000000000004">
      <c r="A178" s="54"/>
      <c r="B178" s="54"/>
      <c r="C178" s="54"/>
      <c r="D178" s="54"/>
      <c r="E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c r="AE178" s="54"/>
      <c r="AF178" s="54"/>
      <c r="AG178" s="54"/>
      <c r="AH178" s="54"/>
      <c r="AI178" s="54"/>
      <c r="AJ178" s="54"/>
      <c r="AK178" s="54"/>
      <c r="AL178" s="54"/>
      <c r="AM178" s="54"/>
      <c r="AN178" s="54"/>
      <c r="AO178" s="54"/>
      <c r="AP178" s="54"/>
      <c r="AQ178" s="54"/>
      <c r="AR178" s="54"/>
      <c r="AS178" s="54"/>
      <c r="AT178" s="54"/>
      <c r="AU178" s="54"/>
      <c r="AV178" s="54"/>
      <c r="AW178" s="54"/>
      <c r="AX178" s="54"/>
      <c r="AY178" s="54"/>
      <c r="AZ178" s="54"/>
      <c r="BA178" s="54"/>
      <c r="BB178" s="54"/>
      <c r="BC178" s="54"/>
      <c r="BD178" s="54"/>
      <c r="BE178" s="54"/>
      <c r="BF178" s="54"/>
      <c r="BG178" s="54"/>
      <c r="BH178" s="54"/>
    </row>
    <row r="179" spans="1:60" x14ac:dyDescent="0.55000000000000004">
      <c r="A179" s="54"/>
      <c r="B179" s="54"/>
      <c r="C179" s="54"/>
      <c r="D179" s="54"/>
      <c r="E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c r="AH179" s="54"/>
      <c r="AI179" s="54"/>
      <c r="AJ179" s="54"/>
      <c r="AK179" s="54"/>
      <c r="AL179" s="54"/>
      <c r="AM179" s="54"/>
      <c r="AN179" s="54"/>
      <c r="AO179" s="54"/>
      <c r="AP179" s="54"/>
      <c r="AQ179" s="54"/>
      <c r="AR179" s="54"/>
      <c r="AS179" s="54"/>
      <c r="AT179" s="54"/>
      <c r="AU179" s="54"/>
      <c r="AV179" s="54"/>
      <c r="AW179" s="54"/>
      <c r="AX179" s="54"/>
      <c r="AY179" s="54"/>
      <c r="AZ179" s="54"/>
      <c r="BA179" s="54"/>
      <c r="BB179" s="54"/>
      <c r="BC179" s="54"/>
      <c r="BD179" s="54"/>
      <c r="BE179" s="54"/>
      <c r="BF179" s="54"/>
      <c r="BG179" s="54"/>
      <c r="BH179" s="54"/>
    </row>
    <row r="180" spans="1:60" x14ac:dyDescent="0.55000000000000004">
      <c r="A180" s="54"/>
      <c r="B180" s="54"/>
      <c r="C180" s="54"/>
      <c r="D180" s="54"/>
      <c r="E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c r="AH180" s="54"/>
      <c r="AI180" s="54"/>
      <c r="AJ180" s="54"/>
      <c r="AK180" s="54"/>
      <c r="AL180" s="54"/>
      <c r="AM180" s="54"/>
      <c r="AN180" s="54"/>
      <c r="AO180" s="54"/>
      <c r="AP180" s="54"/>
      <c r="AQ180" s="54"/>
      <c r="AR180" s="54"/>
      <c r="AS180" s="54"/>
      <c r="AT180" s="54"/>
      <c r="AU180" s="54"/>
      <c r="AV180" s="54"/>
      <c r="AW180" s="54"/>
      <c r="AX180" s="54"/>
      <c r="AY180" s="54"/>
      <c r="AZ180" s="54"/>
      <c r="BA180" s="54"/>
      <c r="BB180" s="54"/>
      <c r="BC180" s="54"/>
      <c r="BD180" s="54"/>
      <c r="BE180" s="54"/>
      <c r="BF180" s="54"/>
      <c r="BG180" s="54"/>
      <c r="BH180" s="54"/>
    </row>
    <row r="181" spans="1:60" x14ac:dyDescent="0.55000000000000004">
      <c r="A181" s="54"/>
      <c r="B181" s="54"/>
      <c r="C181" s="54"/>
      <c r="D181" s="54"/>
      <c r="E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c r="AD181" s="54"/>
      <c r="AE181" s="54"/>
      <c r="AF181" s="54"/>
      <c r="AG181" s="54"/>
      <c r="AH181" s="54"/>
      <c r="AI181" s="54"/>
      <c r="AJ181" s="54"/>
      <c r="AK181" s="54"/>
      <c r="AL181" s="54"/>
      <c r="AM181" s="54"/>
      <c r="AN181" s="54"/>
      <c r="AO181" s="54"/>
      <c r="AP181" s="54"/>
      <c r="AQ181" s="54"/>
      <c r="AR181" s="54"/>
      <c r="AS181" s="54"/>
      <c r="AT181" s="54"/>
      <c r="AU181" s="54"/>
      <c r="AV181" s="54"/>
      <c r="AW181" s="54"/>
      <c r="AX181" s="54"/>
      <c r="AY181" s="54"/>
      <c r="AZ181" s="54"/>
      <c r="BA181" s="54"/>
      <c r="BB181" s="54"/>
      <c r="BC181" s="54"/>
      <c r="BD181" s="54"/>
      <c r="BE181" s="54"/>
      <c r="BF181" s="54"/>
      <c r="BG181" s="54"/>
      <c r="BH181" s="54"/>
    </row>
    <row r="182" spans="1:60" x14ac:dyDescent="0.55000000000000004">
      <c r="A182" s="54"/>
      <c r="B182" s="54"/>
      <c r="C182" s="54"/>
      <c r="D182" s="54"/>
      <c r="E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c r="AD182" s="54"/>
      <c r="AE182" s="54"/>
      <c r="AF182" s="54"/>
      <c r="AG182" s="54"/>
      <c r="AH182" s="54"/>
      <c r="AI182" s="54"/>
      <c r="AJ182" s="54"/>
      <c r="AK182" s="54"/>
      <c r="AL182" s="54"/>
      <c r="AM182" s="54"/>
      <c r="AN182" s="54"/>
      <c r="AO182" s="54"/>
      <c r="AP182" s="54"/>
      <c r="AQ182" s="54"/>
      <c r="AR182" s="54"/>
      <c r="AS182" s="54"/>
      <c r="AT182" s="54"/>
      <c r="AU182" s="54"/>
      <c r="AV182" s="54"/>
      <c r="AW182" s="54"/>
      <c r="AX182" s="54"/>
      <c r="AY182" s="54"/>
      <c r="AZ182" s="54"/>
      <c r="BA182" s="54"/>
      <c r="BB182" s="54"/>
      <c r="BC182" s="54"/>
      <c r="BD182" s="54"/>
      <c r="BE182" s="54"/>
      <c r="BF182" s="54"/>
      <c r="BG182" s="54"/>
      <c r="BH182" s="54"/>
    </row>
    <row r="183" spans="1:60" x14ac:dyDescent="0.55000000000000004">
      <c r="A183" s="54"/>
      <c r="B183" s="54"/>
      <c r="C183" s="54"/>
      <c r="D183" s="54"/>
      <c r="E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c r="AD183" s="54"/>
      <c r="AE183" s="54"/>
      <c r="AF183" s="54"/>
      <c r="AG183" s="54"/>
      <c r="AH183" s="54"/>
      <c r="AI183" s="54"/>
      <c r="AJ183" s="54"/>
      <c r="AK183" s="54"/>
      <c r="AL183" s="54"/>
      <c r="AM183" s="54"/>
      <c r="AN183" s="54"/>
      <c r="AO183" s="54"/>
      <c r="AP183" s="54"/>
      <c r="AQ183" s="54"/>
      <c r="AR183" s="54"/>
      <c r="AS183" s="54"/>
      <c r="AT183" s="54"/>
      <c r="AU183" s="54"/>
      <c r="AV183" s="54"/>
      <c r="AW183" s="54"/>
      <c r="AX183" s="54"/>
      <c r="AY183" s="54"/>
      <c r="AZ183" s="54"/>
      <c r="BA183" s="54"/>
      <c r="BB183" s="54"/>
      <c r="BC183" s="54"/>
      <c r="BD183" s="54"/>
      <c r="BE183" s="54"/>
      <c r="BF183" s="54"/>
      <c r="BG183" s="54"/>
      <c r="BH183" s="54"/>
    </row>
    <row r="184" spans="1:60" x14ac:dyDescent="0.55000000000000004">
      <c r="A184" s="54"/>
      <c r="B184" s="54"/>
      <c r="C184" s="54"/>
      <c r="D184" s="54"/>
      <c r="E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c r="AD184" s="54"/>
      <c r="AE184" s="54"/>
      <c r="AF184" s="54"/>
      <c r="AG184" s="54"/>
      <c r="AH184" s="54"/>
      <c r="AI184" s="54"/>
      <c r="AJ184" s="54"/>
      <c r="AK184" s="54"/>
      <c r="AL184" s="54"/>
      <c r="AM184" s="54"/>
      <c r="AN184" s="54"/>
      <c r="AO184" s="54"/>
      <c r="AP184" s="54"/>
      <c r="AQ184" s="54"/>
      <c r="AR184" s="54"/>
      <c r="AS184" s="54"/>
      <c r="AT184" s="54"/>
      <c r="AU184" s="54"/>
      <c r="AV184" s="54"/>
      <c r="AW184" s="54"/>
      <c r="AX184" s="54"/>
      <c r="AY184" s="54"/>
      <c r="AZ184" s="54"/>
      <c r="BA184" s="54"/>
      <c r="BB184" s="54"/>
      <c r="BC184" s="54"/>
      <c r="BD184" s="54"/>
      <c r="BE184" s="54"/>
      <c r="BF184" s="54"/>
      <c r="BG184" s="54"/>
      <c r="BH184" s="54"/>
    </row>
    <row r="185" spans="1:60" x14ac:dyDescent="0.55000000000000004">
      <c r="A185" s="54"/>
      <c r="B185" s="54"/>
      <c r="C185" s="54"/>
      <c r="D185" s="54"/>
      <c r="E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c r="AH185" s="54"/>
      <c r="AI185" s="54"/>
      <c r="AJ185" s="54"/>
      <c r="AK185" s="54"/>
      <c r="AL185" s="54"/>
      <c r="AM185" s="54"/>
      <c r="AN185" s="54"/>
      <c r="AO185" s="54"/>
      <c r="AP185" s="54"/>
      <c r="AQ185" s="54"/>
      <c r="AR185" s="54"/>
      <c r="AS185" s="54"/>
      <c r="AT185" s="54"/>
      <c r="AU185" s="54"/>
      <c r="AV185" s="54"/>
      <c r="AW185" s="54"/>
      <c r="AX185" s="54"/>
      <c r="AY185" s="54"/>
      <c r="AZ185" s="54"/>
      <c r="BA185" s="54"/>
      <c r="BB185" s="54"/>
      <c r="BC185" s="54"/>
      <c r="BD185" s="54"/>
      <c r="BE185" s="54"/>
      <c r="BF185" s="54"/>
      <c r="BG185" s="54"/>
      <c r="BH185" s="54"/>
    </row>
    <row r="186" spans="1:60" x14ac:dyDescent="0.55000000000000004">
      <c r="A186" s="54"/>
      <c r="B186" s="54"/>
      <c r="C186" s="54"/>
      <c r="D186" s="54"/>
      <c r="E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c r="AH186" s="54"/>
      <c r="AI186" s="54"/>
      <c r="AJ186" s="54"/>
      <c r="AK186" s="54"/>
      <c r="AL186" s="54"/>
      <c r="AM186" s="54"/>
      <c r="AN186" s="54"/>
      <c r="AO186" s="54"/>
      <c r="AP186" s="54"/>
      <c r="AQ186" s="54"/>
      <c r="AR186" s="54"/>
      <c r="AS186" s="54"/>
      <c r="AT186" s="54"/>
      <c r="AU186" s="54"/>
      <c r="AV186" s="54"/>
      <c r="AW186" s="54"/>
      <c r="AX186" s="54"/>
      <c r="AY186" s="54"/>
      <c r="AZ186" s="54"/>
      <c r="BA186" s="54"/>
      <c r="BB186" s="54"/>
      <c r="BC186" s="54"/>
      <c r="BD186" s="54"/>
      <c r="BE186" s="54"/>
      <c r="BF186" s="54"/>
      <c r="BG186" s="54"/>
      <c r="BH186" s="54"/>
    </row>
    <row r="187" spans="1:60" x14ac:dyDescent="0.55000000000000004">
      <c r="A187" s="54"/>
      <c r="B187" s="54"/>
      <c r="C187" s="54"/>
      <c r="D187" s="54"/>
      <c r="E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c r="AD187" s="54"/>
      <c r="AE187" s="54"/>
      <c r="AF187" s="54"/>
      <c r="AG187" s="54"/>
      <c r="AH187" s="54"/>
      <c r="AI187" s="54"/>
      <c r="AJ187" s="54"/>
      <c r="AK187" s="54"/>
      <c r="AL187" s="54"/>
      <c r="AM187" s="54"/>
      <c r="AN187" s="54"/>
      <c r="AO187" s="54"/>
      <c r="AP187" s="54"/>
      <c r="AQ187" s="54"/>
      <c r="AR187" s="54"/>
      <c r="AS187" s="54"/>
      <c r="AT187" s="54"/>
      <c r="AU187" s="54"/>
      <c r="AV187" s="54"/>
      <c r="AW187" s="54"/>
      <c r="AX187" s="54"/>
      <c r="AY187" s="54"/>
      <c r="AZ187" s="54"/>
      <c r="BA187" s="54"/>
      <c r="BB187" s="54"/>
      <c r="BC187" s="54"/>
      <c r="BD187" s="54"/>
      <c r="BE187" s="54"/>
      <c r="BF187" s="54"/>
      <c r="BG187" s="54"/>
      <c r="BH187" s="54"/>
    </row>
    <row r="188" spans="1:60" x14ac:dyDescent="0.55000000000000004">
      <c r="A188" s="54"/>
      <c r="B188" s="54"/>
      <c r="C188" s="54"/>
      <c r="D188" s="54"/>
      <c r="E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c r="AD188" s="54"/>
      <c r="AE188" s="54"/>
      <c r="AF188" s="54"/>
      <c r="AG188" s="54"/>
      <c r="AH188" s="54"/>
      <c r="AI188" s="54"/>
      <c r="AJ188" s="54"/>
      <c r="AK188" s="54"/>
      <c r="AL188" s="54"/>
      <c r="AM188" s="54"/>
      <c r="AN188" s="54"/>
      <c r="AO188" s="54"/>
      <c r="AP188" s="54"/>
      <c r="AQ188" s="54"/>
      <c r="AR188" s="54"/>
      <c r="AS188" s="54"/>
      <c r="AT188" s="54"/>
      <c r="AU188" s="54"/>
      <c r="AV188" s="54"/>
      <c r="AW188" s="54"/>
      <c r="AX188" s="54"/>
      <c r="AY188" s="54"/>
      <c r="AZ188" s="54"/>
      <c r="BA188" s="54"/>
      <c r="BB188" s="54"/>
      <c r="BC188" s="54"/>
      <c r="BD188" s="54"/>
      <c r="BE188" s="54"/>
      <c r="BF188" s="54"/>
      <c r="BG188" s="54"/>
      <c r="BH188" s="54"/>
    </row>
    <row r="189" spans="1:60" x14ac:dyDescent="0.55000000000000004">
      <c r="A189" s="54"/>
      <c r="B189" s="54"/>
      <c r="C189" s="54"/>
      <c r="D189" s="54"/>
      <c r="E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c r="AH189" s="54"/>
      <c r="AI189" s="54"/>
      <c r="AJ189" s="54"/>
      <c r="AK189" s="54"/>
      <c r="AL189" s="54"/>
      <c r="AM189" s="54"/>
      <c r="AN189" s="54"/>
      <c r="AO189" s="54"/>
      <c r="AP189" s="54"/>
      <c r="AQ189" s="54"/>
      <c r="AR189" s="54"/>
      <c r="AS189" s="54"/>
      <c r="AT189" s="54"/>
      <c r="AU189" s="54"/>
      <c r="AV189" s="54"/>
      <c r="AW189" s="54"/>
      <c r="AX189" s="54"/>
      <c r="AY189" s="54"/>
      <c r="AZ189" s="54"/>
      <c r="BA189" s="54"/>
      <c r="BB189" s="54"/>
      <c r="BC189" s="54"/>
      <c r="BD189" s="54"/>
      <c r="BE189" s="54"/>
      <c r="BF189" s="54"/>
      <c r="BG189" s="54"/>
      <c r="BH189" s="54"/>
    </row>
    <row r="190" spans="1:60" x14ac:dyDescent="0.55000000000000004">
      <c r="A190" s="54"/>
      <c r="B190" s="54"/>
      <c r="C190" s="54"/>
      <c r="D190" s="54"/>
      <c r="E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c r="AE190" s="54"/>
      <c r="AF190" s="54"/>
      <c r="AG190" s="54"/>
      <c r="AH190" s="54"/>
      <c r="AI190" s="54"/>
      <c r="AJ190" s="54"/>
      <c r="AK190" s="54"/>
      <c r="AL190" s="54"/>
      <c r="AM190" s="54"/>
      <c r="AN190" s="54"/>
      <c r="AO190" s="54"/>
      <c r="AP190" s="54"/>
      <c r="AQ190" s="54"/>
      <c r="AR190" s="54"/>
      <c r="AS190" s="54"/>
      <c r="AT190" s="54"/>
      <c r="AU190" s="54"/>
      <c r="AV190" s="54"/>
      <c r="AW190" s="54"/>
      <c r="AX190" s="54"/>
      <c r="AY190" s="54"/>
      <c r="AZ190" s="54"/>
      <c r="BA190" s="54"/>
      <c r="BB190" s="54"/>
      <c r="BC190" s="54"/>
      <c r="BD190" s="54"/>
      <c r="BE190" s="54"/>
      <c r="BF190" s="54"/>
      <c r="BG190" s="54"/>
      <c r="BH190" s="54"/>
    </row>
    <row r="191" spans="1:60" x14ac:dyDescent="0.55000000000000004">
      <c r="A191" s="54"/>
      <c r="B191" s="54"/>
      <c r="C191" s="54"/>
      <c r="D191" s="54"/>
      <c r="E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c r="AH191" s="54"/>
      <c r="AI191" s="54"/>
      <c r="AJ191" s="54"/>
      <c r="AK191" s="54"/>
      <c r="AL191" s="54"/>
      <c r="AM191" s="54"/>
      <c r="AN191" s="54"/>
      <c r="AO191" s="54"/>
      <c r="AP191" s="54"/>
      <c r="AQ191" s="54"/>
      <c r="AR191" s="54"/>
      <c r="AS191" s="54"/>
      <c r="AT191" s="54"/>
      <c r="AU191" s="54"/>
      <c r="AV191" s="54"/>
      <c r="AW191" s="54"/>
      <c r="AX191" s="54"/>
      <c r="AY191" s="54"/>
      <c r="AZ191" s="54"/>
      <c r="BA191" s="54"/>
      <c r="BB191" s="54"/>
      <c r="BC191" s="54"/>
      <c r="BD191" s="54"/>
      <c r="BE191" s="54"/>
      <c r="BF191" s="54"/>
      <c r="BG191" s="54"/>
      <c r="BH191" s="54"/>
    </row>
    <row r="192" spans="1:60" x14ac:dyDescent="0.55000000000000004">
      <c r="A192" s="54"/>
      <c r="B192" s="54"/>
      <c r="C192" s="54"/>
      <c r="D192" s="54"/>
      <c r="E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c r="AH192" s="54"/>
      <c r="AI192" s="54"/>
      <c r="AJ192" s="54"/>
      <c r="AK192" s="54"/>
      <c r="AL192" s="54"/>
      <c r="AM192" s="54"/>
      <c r="AN192" s="54"/>
      <c r="AO192" s="54"/>
      <c r="AP192" s="54"/>
      <c r="AQ192" s="54"/>
      <c r="AR192" s="54"/>
      <c r="AS192" s="54"/>
      <c r="AT192" s="54"/>
      <c r="AU192" s="54"/>
      <c r="AV192" s="54"/>
      <c r="AW192" s="54"/>
      <c r="AX192" s="54"/>
      <c r="AY192" s="54"/>
      <c r="AZ192" s="54"/>
      <c r="BA192" s="54"/>
      <c r="BB192" s="54"/>
      <c r="BC192" s="54"/>
      <c r="BD192" s="54"/>
      <c r="BE192" s="54"/>
      <c r="BF192" s="54"/>
      <c r="BG192" s="54"/>
      <c r="BH192" s="54"/>
    </row>
    <row r="193" spans="1:60" x14ac:dyDescent="0.55000000000000004">
      <c r="A193" s="54"/>
      <c r="B193" s="54"/>
      <c r="C193" s="54"/>
      <c r="D193" s="54"/>
      <c r="E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c r="AH193" s="54"/>
      <c r="AI193" s="54"/>
      <c r="AJ193" s="54"/>
      <c r="AK193" s="54"/>
      <c r="AL193" s="54"/>
      <c r="AM193" s="54"/>
      <c r="AN193" s="54"/>
      <c r="AO193" s="54"/>
      <c r="AP193" s="54"/>
      <c r="AQ193" s="54"/>
      <c r="AR193" s="54"/>
      <c r="AS193" s="54"/>
      <c r="AT193" s="54"/>
      <c r="AU193" s="54"/>
      <c r="AV193" s="54"/>
      <c r="AW193" s="54"/>
      <c r="AX193" s="54"/>
      <c r="AY193" s="54"/>
      <c r="AZ193" s="54"/>
      <c r="BA193" s="54"/>
      <c r="BB193" s="54"/>
      <c r="BC193" s="54"/>
      <c r="BD193" s="54"/>
      <c r="BE193" s="54"/>
      <c r="BF193" s="54"/>
      <c r="BG193" s="54"/>
      <c r="BH193" s="54"/>
    </row>
    <row r="194" spans="1:60" x14ac:dyDescent="0.55000000000000004">
      <c r="A194" s="54"/>
      <c r="B194" s="54"/>
      <c r="C194" s="54"/>
      <c r="D194" s="54"/>
      <c r="E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54"/>
      <c r="AI194" s="54"/>
      <c r="AJ194" s="54"/>
      <c r="AK194" s="54"/>
      <c r="AL194" s="54"/>
      <c r="AM194" s="54"/>
      <c r="AN194" s="54"/>
      <c r="AO194" s="54"/>
      <c r="AP194" s="54"/>
      <c r="AQ194" s="54"/>
      <c r="AR194" s="54"/>
      <c r="AS194" s="54"/>
      <c r="AT194" s="54"/>
      <c r="AU194" s="54"/>
      <c r="AV194" s="54"/>
      <c r="AW194" s="54"/>
      <c r="AX194" s="54"/>
      <c r="AY194" s="54"/>
      <c r="AZ194" s="54"/>
      <c r="BA194" s="54"/>
      <c r="BB194" s="54"/>
      <c r="BC194" s="54"/>
      <c r="BD194" s="54"/>
      <c r="BE194" s="54"/>
      <c r="BF194" s="54"/>
      <c r="BG194" s="54"/>
      <c r="BH194" s="54"/>
    </row>
    <row r="195" spans="1:60" x14ac:dyDescent="0.55000000000000004">
      <c r="A195" s="54"/>
      <c r="B195" s="54"/>
      <c r="C195" s="54"/>
      <c r="D195" s="54"/>
      <c r="E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c r="AH195" s="54"/>
      <c r="AI195" s="54"/>
      <c r="AJ195" s="54"/>
      <c r="AK195" s="54"/>
      <c r="AL195" s="54"/>
      <c r="AM195" s="54"/>
      <c r="AN195" s="54"/>
      <c r="AO195" s="54"/>
      <c r="AP195" s="54"/>
      <c r="AQ195" s="54"/>
      <c r="AR195" s="54"/>
      <c r="AS195" s="54"/>
      <c r="AT195" s="54"/>
      <c r="AU195" s="54"/>
      <c r="AV195" s="54"/>
      <c r="AW195" s="54"/>
      <c r="AX195" s="54"/>
      <c r="AY195" s="54"/>
      <c r="AZ195" s="54"/>
      <c r="BA195" s="54"/>
      <c r="BB195" s="54"/>
      <c r="BC195" s="54"/>
      <c r="BD195" s="54"/>
      <c r="BE195" s="54"/>
      <c r="BF195" s="54"/>
      <c r="BG195" s="54"/>
      <c r="BH195" s="54"/>
    </row>
    <row r="196" spans="1:60" x14ac:dyDescent="0.55000000000000004">
      <c r="A196" s="54"/>
      <c r="B196" s="54"/>
      <c r="C196" s="54"/>
      <c r="D196" s="54"/>
      <c r="E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c r="AD196" s="54"/>
      <c r="AE196" s="54"/>
      <c r="AF196" s="54"/>
      <c r="AG196" s="54"/>
      <c r="AH196" s="54"/>
      <c r="AI196" s="54"/>
      <c r="AJ196" s="54"/>
      <c r="AK196" s="54"/>
      <c r="AL196" s="54"/>
      <c r="AM196" s="54"/>
      <c r="AN196" s="54"/>
      <c r="AO196" s="54"/>
      <c r="AP196" s="54"/>
      <c r="AQ196" s="54"/>
      <c r="AR196" s="54"/>
      <c r="AS196" s="54"/>
      <c r="AT196" s="54"/>
      <c r="AU196" s="54"/>
      <c r="AV196" s="54"/>
      <c r="AW196" s="54"/>
      <c r="AX196" s="54"/>
      <c r="AY196" s="54"/>
      <c r="AZ196" s="54"/>
      <c r="BA196" s="54"/>
      <c r="BB196" s="54"/>
      <c r="BC196" s="54"/>
      <c r="BD196" s="54"/>
      <c r="BE196" s="54"/>
      <c r="BF196" s="54"/>
      <c r="BG196" s="54"/>
      <c r="BH196" s="54"/>
    </row>
    <row r="197" spans="1:60" x14ac:dyDescent="0.55000000000000004">
      <c r="A197" s="54"/>
      <c r="B197" s="54"/>
      <c r="C197" s="54"/>
      <c r="D197" s="54"/>
      <c r="E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c r="AE197" s="54"/>
      <c r="AF197" s="54"/>
      <c r="AG197" s="54"/>
      <c r="AH197" s="54"/>
      <c r="AI197" s="54"/>
      <c r="AJ197" s="54"/>
      <c r="AK197" s="54"/>
      <c r="AL197" s="54"/>
      <c r="AM197" s="54"/>
      <c r="AN197" s="54"/>
      <c r="AO197" s="54"/>
      <c r="AP197" s="54"/>
      <c r="AQ197" s="54"/>
      <c r="AR197" s="54"/>
      <c r="AS197" s="54"/>
      <c r="AT197" s="54"/>
      <c r="AU197" s="54"/>
      <c r="AV197" s="54"/>
      <c r="AW197" s="54"/>
      <c r="AX197" s="54"/>
      <c r="AY197" s="54"/>
      <c r="AZ197" s="54"/>
      <c r="BA197" s="54"/>
      <c r="BB197" s="54"/>
      <c r="BC197" s="54"/>
      <c r="BD197" s="54"/>
      <c r="BE197" s="54"/>
      <c r="BF197" s="54"/>
      <c r="BG197" s="54"/>
      <c r="BH197" s="54"/>
    </row>
    <row r="198" spans="1:60" x14ac:dyDescent="0.55000000000000004">
      <c r="A198" s="54"/>
      <c r="B198" s="54"/>
      <c r="C198" s="54"/>
      <c r="D198" s="54"/>
      <c r="E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c r="AD198" s="54"/>
      <c r="AE198" s="54"/>
      <c r="AF198" s="54"/>
      <c r="AG198" s="54"/>
      <c r="AH198" s="54"/>
      <c r="AI198" s="54"/>
      <c r="AJ198" s="54"/>
      <c r="AK198" s="54"/>
      <c r="AL198" s="54"/>
      <c r="AM198" s="54"/>
      <c r="AN198" s="54"/>
      <c r="AO198" s="54"/>
      <c r="AP198" s="54"/>
      <c r="AQ198" s="54"/>
      <c r="AR198" s="54"/>
      <c r="AS198" s="54"/>
      <c r="AT198" s="54"/>
      <c r="AU198" s="54"/>
      <c r="AV198" s="54"/>
      <c r="AW198" s="54"/>
      <c r="AX198" s="54"/>
      <c r="AY198" s="54"/>
      <c r="AZ198" s="54"/>
      <c r="BA198" s="54"/>
      <c r="BB198" s="54"/>
      <c r="BC198" s="54"/>
      <c r="BD198" s="54"/>
      <c r="BE198" s="54"/>
      <c r="BF198" s="54"/>
      <c r="BG198" s="54"/>
      <c r="BH198" s="54"/>
    </row>
    <row r="199" spans="1:60" x14ac:dyDescent="0.55000000000000004">
      <c r="A199" s="54"/>
      <c r="B199" s="54"/>
      <c r="C199" s="54"/>
      <c r="D199" s="54"/>
      <c r="E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c r="AE199" s="54"/>
      <c r="AF199" s="54"/>
      <c r="AG199" s="54"/>
      <c r="AH199" s="54"/>
      <c r="AI199" s="54"/>
      <c r="AJ199" s="54"/>
      <c r="AK199" s="54"/>
      <c r="AL199" s="54"/>
      <c r="AM199" s="54"/>
      <c r="AN199" s="54"/>
      <c r="AO199" s="54"/>
      <c r="AP199" s="54"/>
      <c r="AQ199" s="54"/>
      <c r="AR199" s="54"/>
      <c r="AS199" s="54"/>
      <c r="AT199" s="54"/>
      <c r="AU199" s="54"/>
      <c r="AV199" s="54"/>
      <c r="AW199" s="54"/>
      <c r="AX199" s="54"/>
      <c r="AY199" s="54"/>
      <c r="AZ199" s="54"/>
      <c r="BA199" s="54"/>
      <c r="BB199" s="54"/>
      <c r="BC199" s="54"/>
      <c r="BD199" s="54"/>
      <c r="BE199" s="54"/>
      <c r="BF199" s="54"/>
      <c r="BG199" s="54"/>
      <c r="BH199" s="54"/>
    </row>
    <row r="200" spans="1:60" x14ac:dyDescent="0.55000000000000004">
      <c r="A200" s="54"/>
      <c r="B200" s="54"/>
      <c r="C200" s="54"/>
      <c r="D200" s="54"/>
      <c r="E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c r="AD200" s="54"/>
      <c r="AE200" s="54"/>
      <c r="AF200" s="54"/>
      <c r="AG200" s="54"/>
      <c r="AH200" s="54"/>
      <c r="AI200" s="54"/>
      <c r="AJ200" s="54"/>
      <c r="AK200" s="54"/>
      <c r="AL200" s="54"/>
      <c r="AM200" s="54"/>
      <c r="AN200" s="54"/>
      <c r="AO200" s="54"/>
      <c r="AP200" s="54"/>
      <c r="AQ200" s="54"/>
      <c r="AR200" s="54"/>
      <c r="AS200" s="54"/>
      <c r="AT200" s="54"/>
      <c r="AU200" s="54"/>
      <c r="AV200" s="54"/>
      <c r="AW200" s="54"/>
      <c r="AX200" s="54"/>
      <c r="AY200" s="54"/>
      <c r="AZ200" s="54"/>
      <c r="BA200" s="54"/>
      <c r="BB200" s="54"/>
      <c r="BC200" s="54"/>
      <c r="BD200" s="54"/>
      <c r="BE200" s="54"/>
      <c r="BF200" s="54"/>
      <c r="BG200" s="54"/>
      <c r="BH200" s="54"/>
    </row>
    <row r="201" spans="1:60" x14ac:dyDescent="0.55000000000000004">
      <c r="A201" s="54"/>
      <c r="B201" s="54"/>
      <c r="C201" s="54"/>
      <c r="D201" s="54"/>
      <c r="E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c r="AD201" s="54"/>
      <c r="AE201" s="54"/>
      <c r="AF201" s="54"/>
      <c r="AG201" s="54"/>
      <c r="AH201" s="54"/>
      <c r="AI201" s="54"/>
      <c r="AJ201" s="54"/>
      <c r="AK201" s="54"/>
      <c r="AL201" s="54"/>
      <c r="AM201" s="54"/>
      <c r="AN201" s="54"/>
      <c r="AO201" s="54"/>
      <c r="AP201" s="54"/>
      <c r="AQ201" s="54"/>
      <c r="AR201" s="54"/>
      <c r="AS201" s="54"/>
      <c r="AT201" s="54"/>
      <c r="AU201" s="54"/>
      <c r="AV201" s="54"/>
      <c r="AW201" s="54"/>
      <c r="AX201" s="54"/>
      <c r="AY201" s="54"/>
      <c r="AZ201" s="54"/>
      <c r="BA201" s="54"/>
      <c r="BB201" s="54"/>
      <c r="BC201" s="54"/>
      <c r="BD201" s="54"/>
      <c r="BE201" s="54"/>
      <c r="BF201" s="54"/>
      <c r="BG201" s="54"/>
      <c r="BH201" s="54"/>
    </row>
    <row r="202" spans="1:60" x14ac:dyDescent="0.55000000000000004">
      <c r="A202" s="54"/>
      <c r="B202" s="54"/>
      <c r="C202" s="54"/>
      <c r="D202" s="54"/>
      <c r="E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c r="AE202" s="54"/>
      <c r="AF202" s="54"/>
      <c r="AG202" s="54"/>
      <c r="AH202" s="54"/>
      <c r="AI202" s="54"/>
      <c r="AJ202" s="54"/>
      <c r="AK202" s="54"/>
      <c r="AL202" s="54"/>
      <c r="AM202" s="54"/>
      <c r="AN202" s="54"/>
      <c r="AO202" s="54"/>
      <c r="AP202" s="54"/>
      <c r="AQ202" s="54"/>
      <c r="AR202" s="54"/>
      <c r="AS202" s="54"/>
      <c r="AT202" s="54"/>
      <c r="AU202" s="54"/>
      <c r="AV202" s="54"/>
      <c r="AW202" s="54"/>
      <c r="AX202" s="54"/>
      <c r="AY202" s="54"/>
      <c r="AZ202" s="54"/>
      <c r="BA202" s="54"/>
      <c r="BB202" s="54"/>
      <c r="BC202" s="54"/>
      <c r="BD202" s="54"/>
      <c r="BE202" s="54"/>
      <c r="BF202" s="54"/>
      <c r="BG202" s="54"/>
      <c r="BH202" s="54"/>
    </row>
    <row r="203" spans="1:60" x14ac:dyDescent="0.55000000000000004">
      <c r="A203" s="54"/>
      <c r="B203" s="54"/>
      <c r="C203" s="54"/>
      <c r="D203" s="54"/>
      <c r="E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c r="AE203" s="54"/>
      <c r="AF203" s="54"/>
      <c r="AG203" s="54"/>
      <c r="AH203" s="54"/>
      <c r="AI203" s="54"/>
      <c r="AJ203" s="54"/>
      <c r="AK203" s="54"/>
      <c r="AL203" s="54"/>
      <c r="AM203" s="54"/>
      <c r="AN203" s="54"/>
      <c r="AO203" s="54"/>
      <c r="AP203" s="54"/>
      <c r="AQ203" s="54"/>
      <c r="AR203" s="54"/>
      <c r="AS203" s="54"/>
      <c r="AT203" s="54"/>
      <c r="AU203" s="54"/>
      <c r="AV203" s="54"/>
      <c r="AW203" s="54"/>
      <c r="AX203" s="54"/>
      <c r="AY203" s="54"/>
      <c r="AZ203" s="54"/>
      <c r="BA203" s="54"/>
      <c r="BB203" s="54"/>
      <c r="BC203" s="54"/>
      <c r="BD203" s="54"/>
      <c r="BE203" s="54"/>
      <c r="BF203" s="54"/>
      <c r="BG203" s="54"/>
      <c r="BH203" s="54"/>
    </row>
    <row r="204" spans="1:60" x14ac:dyDescent="0.55000000000000004">
      <c r="A204" s="54"/>
      <c r="B204" s="54"/>
      <c r="C204" s="54"/>
      <c r="D204" s="54"/>
      <c r="E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c r="AD204" s="54"/>
      <c r="AE204" s="54"/>
      <c r="AF204" s="54"/>
      <c r="AG204" s="54"/>
      <c r="AH204" s="54"/>
      <c r="AI204" s="54"/>
      <c r="AJ204" s="54"/>
      <c r="AK204" s="54"/>
      <c r="AL204" s="54"/>
      <c r="AM204" s="54"/>
      <c r="AN204" s="54"/>
      <c r="AO204" s="54"/>
      <c r="AP204" s="54"/>
      <c r="AQ204" s="54"/>
      <c r="AR204" s="54"/>
      <c r="AS204" s="54"/>
      <c r="AT204" s="54"/>
      <c r="AU204" s="54"/>
      <c r="AV204" s="54"/>
      <c r="AW204" s="54"/>
      <c r="AX204" s="54"/>
      <c r="AY204" s="54"/>
      <c r="AZ204" s="54"/>
      <c r="BA204" s="54"/>
      <c r="BB204" s="54"/>
      <c r="BC204" s="54"/>
      <c r="BD204" s="54"/>
      <c r="BE204" s="54"/>
      <c r="BF204" s="54"/>
      <c r="BG204" s="54"/>
      <c r="BH204" s="54"/>
    </row>
    <row r="205" spans="1:60" x14ac:dyDescent="0.55000000000000004">
      <c r="A205" s="54"/>
      <c r="B205" s="54"/>
      <c r="C205" s="54"/>
      <c r="D205" s="54"/>
      <c r="E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c r="AE205" s="54"/>
      <c r="AF205" s="54"/>
      <c r="AG205" s="54"/>
      <c r="AH205" s="54"/>
      <c r="AI205" s="54"/>
      <c r="AJ205" s="54"/>
      <c r="AK205" s="54"/>
      <c r="AL205" s="54"/>
      <c r="AM205" s="54"/>
      <c r="AN205" s="54"/>
      <c r="AO205" s="54"/>
      <c r="AP205" s="54"/>
      <c r="AQ205" s="54"/>
      <c r="AR205" s="54"/>
      <c r="AS205" s="54"/>
      <c r="AT205" s="54"/>
      <c r="AU205" s="54"/>
      <c r="AV205" s="54"/>
      <c r="AW205" s="54"/>
      <c r="AX205" s="54"/>
      <c r="AY205" s="54"/>
      <c r="AZ205" s="54"/>
      <c r="BA205" s="54"/>
      <c r="BB205" s="54"/>
      <c r="BC205" s="54"/>
      <c r="BD205" s="54"/>
      <c r="BE205" s="54"/>
      <c r="BF205" s="54"/>
      <c r="BG205" s="54"/>
      <c r="BH205" s="54"/>
    </row>
    <row r="206" spans="1:60" x14ac:dyDescent="0.55000000000000004">
      <c r="A206" s="54"/>
      <c r="B206" s="54"/>
      <c r="C206" s="54"/>
      <c r="D206" s="54"/>
      <c r="E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c r="AD206" s="54"/>
      <c r="AE206" s="54"/>
      <c r="AF206" s="54"/>
      <c r="AG206" s="54"/>
      <c r="AH206" s="54"/>
      <c r="AI206" s="54"/>
      <c r="AJ206" s="54"/>
      <c r="AK206" s="54"/>
      <c r="AL206" s="54"/>
      <c r="AM206" s="54"/>
      <c r="AN206" s="54"/>
      <c r="AO206" s="54"/>
      <c r="AP206" s="54"/>
      <c r="AQ206" s="54"/>
      <c r="AR206" s="54"/>
      <c r="AS206" s="54"/>
      <c r="AT206" s="54"/>
      <c r="AU206" s="54"/>
      <c r="AV206" s="54"/>
      <c r="AW206" s="54"/>
      <c r="AX206" s="54"/>
      <c r="AY206" s="54"/>
      <c r="AZ206" s="54"/>
      <c r="BA206" s="54"/>
      <c r="BB206" s="54"/>
      <c r="BC206" s="54"/>
      <c r="BD206" s="54"/>
      <c r="BE206" s="54"/>
      <c r="BF206" s="54"/>
      <c r="BG206" s="54"/>
      <c r="BH206" s="54"/>
    </row>
    <row r="207" spans="1:60" x14ac:dyDescent="0.55000000000000004">
      <c r="A207" s="54"/>
      <c r="B207" s="54"/>
      <c r="C207" s="54"/>
      <c r="D207" s="54"/>
      <c r="E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c r="AD207" s="54"/>
      <c r="AE207" s="54"/>
      <c r="AF207" s="54"/>
      <c r="AG207" s="54"/>
      <c r="AH207" s="54"/>
      <c r="AI207" s="54"/>
      <c r="AJ207" s="54"/>
      <c r="AK207" s="54"/>
      <c r="AL207" s="54"/>
      <c r="AM207" s="54"/>
      <c r="AN207" s="54"/>
      <c r="AO207" s="54"/>
      <c r="AP207" s="54"/>
      <c r="AQ207" s="54"/>
      <c r="AR207" s="54"/>
      <c r="AS207" s="54"/>
      <c r="AT207" s="54"/>
      <c r="AU207" s="54"/>
      <c r="AV207" s="54"/>
      <c r="AW207" s="54"/>
      <c r="AX207" s="54"/>
      <c r="AY207" s="54"/>
      <c r="AZ207" s="54"/>
      <c r="BA207" s="54"/>
      <c r="BB207" s="54"/>
      <c r="BC207" s="54"/>
      <c r="BD207" s="54"/>
      <c r="BE207" s="54"/>
      <c r="BF207" s="54"/>
      <c r="BG207" s="54"/>
      <c r="BH207" s="54"/>
    </row>
    <row r="208" spans="1:60" x14ac:dyDescent="0.55000000000000004">
      <c r="A208" s="54"/>
      <c r="B208" s="54"/>
      <c r="C208" s="54"/>
      <c r="D208" s="54"/>
      <c r="E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c r="AE208" s="54"/>
      <c r="AF208" s="54"/>
      <c r="AG208" s="54"/>
      <c r="AH208" s="54"/>
      <c r="AI208" s="54"/>
      <c r="AJ208" s="54"/>
      <c r="AK208" s="54"/>
      <c r="AL208" s="54"/>
      <c r="AM208" s="54"/>
      <c r="AN208" s="54"/>
      <c r="AO208" s="54"/>
      <c r="AP208" s="54"/>
      <c r="AQ208" s="54"/>
      <c r="AR208" s="54"/>
      <c r="AS208" s="54"/>
      <c r="AT208" s="54"/>
      <c r="AU208" s="54"/>
      <c r="AV208" s="54"/>
      <c r="AW208" s="54"/>
      <c r="AX208" s="54"/>
      <c r="AY208" s="54"/>
      <c r="AZ208" s="54"/>
      <c r="BA208" s="54"/>
      <c r="BB208" s="54"/>
      <c r="BC208" s="54"/>
      <c r="BD208" s="54"/>
      <c r="BE208" s="54"/>
      <c r="BF208" s="54"/>
      <c r="BG208" s="54"/>
      <c r="BH208" s="54"/>
    </row>
    <row r="209" spans="1:60" x14ac:dyDescent="0.55000000000000004">
      <c r="A209" s="54"/>
      <c r="B209" s="54"/>
      <c r="C209" s="54"/>
      <c r="D209" s="54"/>
      <c r="E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c r="AD209" s="54"/>
      <c r="AE209" s="54"/>
      <c r="AF209" s="54"/>
      <c r="AG209" s="54"/>
      <c r="AH209" s="54"/>
      <c r="AI209" s="54"/>
      <c r="AJ209" s="54"/>
      <c r="AK209" s="54"/>
      <c r="AL209" s="54"/>
      <c r="AM209" s="54"/>
      <c r="AN209" s="54"/>
      <c r="AO209" s="54"/>
      <c r="AP209" s="54"/>
      <c r="AQ209" s="54"/>
      <c r="AR209" s="54"/>
      <c r="AS209" s="54"/>
      <c r="AT209" s="54"/>
      <c r="AU209" s="54"/>
      <c r="AV209" s="54"/>
      <c r="AW209" s="54"/>
      <c r="AX209" s="54"/>
      <c r="AY209" s="54"/>
      <c r="AZ209" s="54"/>
      <c r="BA209" s="54"/>
      <c r="BB209" s="54"/>
      <c r="BC209" s="54"/>
      <c r="BD209" s="54"/>
      <c r="BE209" s="54"/>
      <c r="BF209" s="54"/>
      <c r="BG209" s="54"/>
      <c r="BH209" s="54"/>
    </row>
    <row r="210" spans="1:60" x14ac:dyDescent="0.55000000000000004">
      <c r="A210" s="54"/>
      <c r="B210" s="54"/>
      <c r="C210" s="54"/>
      <c r="D210" s="54"/>
      <c r="E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c r="AE210" s="54"/>
      <c r="AF210" s="54"/>
      <c r="AG210" s="54"/>
      <c r="AH210" s="54"/>
      <c r="AI210" s="54"/>
      <c r="AJ210" s="54"/>
      <c r="AK210" s="54"/>
      <c r="AL210" s="54"/>
      <c r="AM210" s="54"/>
      <c r="AN210" s="54"/>
      <c r="AO210" s="54"/>
      <c r="AP210" s="54"/>
      <c r="AQ210" s="54"/>
      <c r="AR210" s="54"/>
      <c r="AS210" s="54"/>
      <c r="AT210" s="54"/>
      <c r="AU210" s="54"/>
      <c r="AV210" s="54"/>
      <c r="AW210" s="54"/>
      <c r="AX210" s="54"/>
      <c r="AY210" s="54"/>
      <c r="AZ210" s="54"/>
      <c r="BA210" s="54"/>
      <c r="BB210" s="54"/>
      <c r="BC210" s="54"/>
      <c r="BD210" s="54"/>
      <c r="BE210" s="54"/>
      <c r="BF210" s="54"/>
      <c r="BG210" s="54"/>
      <c r="BH210" s="54"/>
    </row>
    <row r="211" spans="1:60" x14ac:dyDescent="0.55000000000000004">
      <c r="A211" s="54"/>
      <c r="B211" s="54"/>
      <c r="C211" s="54"/>
      <c r="D211" s="54"/>
      <c r="E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c r="AE211" s="54"/>
      <c r="AF211" s="54"/>
      <c r="AG211" s="54"/>
      <c r="AH211" s="54"/>
      <c r="AI211" s="54"/>
      <c r="AJ211" s="54"/>
      <c r="AK211" s="54"/>
      <c r="AL211" s="54"/>
      <c r="AM211" s="54"/>
      <c r="AN211" s="54"/>
      <c r="AO211" s="54"/>
      <c r="AP211" s="54"/>
      <c r="AQ211" s="54"/>
      <c r="AR211" s="54"/>
      <c r="AS211" s="54"/>
      <c r="AT211" s="54"/>
      <c r="AU211" s="54"/>
      <c r="AV211" s="54"/>
      <c r="AW211" s="54"/>
      <c r="AX211" s="54"/>
      <c r="AY211" s="54"/>
      <c r="AZ211" s="54"/>
      <c r="BA211" s="54"/>
      <c r="BB211" s="54"/>
      <c r="BC211" s="54"/>
      <c r="BD211" s="54"/>
      <c r="BE211" s="54"/>
      <c r="BF211" s="54"/>
      <c r="BG211" s="54"/>
      <c r="BH211" s="54"/>
    </row>
    <row r="212" spans="1:60" x14ac:dyDescent="0.55000000000000004">
      <c r="A212" s="54"/>
      <c r="B212" s="54"/>
      <c r="C212" s="54"/>
      <c r="D212" s="54"/>
      <c r="E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c r="AE212" s="54"/>
      <c r="AF212" s="54"/>
      <c r="AG212" s="54"/>
      <c r="AH212" s="54"/>
      <c r="AI212" s="54"/>
      <c r="AJ212" s="54"/>
      <c r="AK212" s="54"/>
      <c r="AL212" s="54"/>
      <c r="AM212" s="54"/>
      <c r="AN212" s="54"/>
      <c r="AO212" s="54"/>
      <c r="AP212" s="54"/>
      <c r="AQ212" s="54"/>
      <c r="AR212" s="54"/>
      <c r="AS212" s="54"/>
      <c r="AT212" s="54"/>
      <c r="AU212" s="54"/>
      <c r="AV212" s="54"/>
      <c r="AW212" s="54"/>
      <c r="AX212" s="54"/>
      <c r="AY212" s="54"/>
      <c r="AZ212" s="54"/>
      <c r="BA212" s="54"/>
      <c r="BB212" s="54"/>
      <c r="BC212" s="54"/>
      <c r="BD212" s="54"/>
      <c r="BE212" s="54"/>
      <c r="BF212" s="54"/>
      <c r="BG212" s="54"/>
      <c r="BH212" s="54"/>
    </row>
    <row r="213" spans="1:60" x14ac:dyDescent="0.55000000000000004">
      <c r="A213" s="54"/>
      <c r="B213" s="54"/>
      <c r="C213" s="54"/>
      <c r="D213" s="54"/>
      <c r="E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c r="AE213" s="54"/>
      <c r="AF213" s="54"/>
      <c r="AG213" s="54"/>
      <c r="AH213" s="54"/>
      <c r="AI213" s="54"/>
      <c r="AJ213" s="54"/>
      <c r="AK213" s="54"/>
      <c r="AL213" s="54"/>
      <c r="AM213" s="54"/>
      <c r="AN213" s="54"/>
      <c r="AO213" s="54"/>
      <c r="AP213" s="54"/>
      <c r="AQ213" s="54"/>
      <c r="AR213" s="54"/>
      <c r="AS213" s="54"/>
      <c r="AT213" s="54"/>
      <c r="AU213" s="54"/>
      <c r="AV213" s="54"/>
      <c r="AW213" s="54"/>
      <c r="AX213" s="54"/>
      <c r="AY213" s="54"/>
      <c r="AZ213" s="54"/>
      <c r="BA213" s="54"/>
      <c r="BB213" s="54"/>
      <c r="BC213" s="54"/>
      <c r="BD213" s="54"/>
      <c r="BE213" s="54"/>
      <c r="BF213" s="54"/>
      <c r="BG213" s="54"/>
      <c r="BH213" s="54"/>
    </row>
    <row r="214" spans="1:60" x14ac:dyDescent="0.55000000000000004">
      <c r="A214" s="54"/>
      <c r="B214" s="54"/>
      <c r="C214" s="54"/>
      <c r="D214" s="54"/>
      <c r="E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c r="AD214" s="54"/>
      <c r="AE214" s="54"/>
      <c r="AF214" s="54"/>
      <c r="AG214" s="54"/>
      <c r="AH214" s="54"/>
      <c r="AI214" s="54"/>
      <c r="AJ214" s="54"/>
      <c r="AK214" s="54"/>
      <c r="AL214" s="54"/>
      <c r="AM214" s="54"/>
      <c r="AN214" s="54"/>
      <c r="AO214" s="54"/>
      <c r="AP214" s="54"/>
      <c r="AQ214" s="54"/>
      <c r="AR214" s="54"/>
      <c r="AS214" s="54"/>
      <c r="AT214" s="54"/>
      <c r="AU214" s="54"/>
      <c r="AV214" s="54"/>
      <c r="AW214" s="54"/>
      <c r="AX214" s="54"/>
      <c r="AY214" s="54"/>
      <c r="AZ214" s="54"/>
      <c r="BA214" s="54"/>
      <c r="BB214" s="54"/>
      <c r="BC214" s="54"/>
      <c r="BD214" s="54"/>
      <c r="BE214" s="54"/>
      <c r="BF214" s="54"/>
      <c r="BG214" s="54"/>
      <c r="BH214" s="54"/>
    </row>
    <row r="215" spans="1:60" x14ac:dyDescent="0.55000000000000004">
      <c r="A215" s="54"/>
      <c r="B215" s="54"/>
      <c r="C215" s="54"/>
      <c r="D215" s="54"/>
      <c r="E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c r="AD215" s="54"/>
      <c r="AE215" s="54"/>
      <c r="AF215" s="54"/>
      <c r="AG215" s="54"/>
      <c r="AH215" s="54"/>
      <c r="AI215" s="54"/>
      <c r="AJ215" s="54"/>
      <c r="AK215" s="54"/>
      <c r="AL215" s="54"/>
      <c r="AM215" s="54"/>
      <c r="AN215" s="54"/>
      <c r="AO215" s="54"/>
      <c r="AP215" s="54"/>
      <c r="AQ215" s="54"/>
      <c r="AR215" s="54"/>
      <c r="AS215" s="54"/>
      <c r="AT215" s="54"/>
      <c r="AU215" s="54"/>
      <c r="AV215" s="54"/>
      <c r="AW215" s="54"/>
      <c r="AX215" s="54"/>
      <c r="AY215" s="54"/>
      <c r="AZ215" s="54"/>
      <c r="BA215" s="54"/>
      <c r="BB215" s="54"/>
      <c r="BC215" s="54"/>
      <c r="BD215" s="54"/>
      <c r="BE215" s="54"/>
      <c r="BF215" s="54"/>
      <c r="BG215" s="54"/>
      <c r="BH215" s="54"/>
    </row>
    <row r="216" spans="1:60" x14ac:dyDescent="0.55000000000000004">
      <c r="A216" s="54"/>
      <c r="B216" s="54"/>
      <c r="C216" s="54"/>
      <c r="D216" s="54"/>
      <c r="E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54"/>
      <c r="AI216" s="54"/>
      <c r="AJ216" s="54"/>
      <c r="AK216" s="54"/>
      <c r="AL216" s="54"/>
      <c r="AM216" s="54"/>
      <c r="AN216" s="54"/>
      <c r="AO216" s="54"/>
      <c r="AP216" s="54"/>
      <c r="AQ216" s="54"/>
      <c r="AR216" s="54"/>
      <c r="AS216" s="54"/>
      <c r="AT216" s="54"/>
      <c r="AU216" s="54"/>
      <c r="AV216" s="54"/>
      <c r="AW216" s="54"/>
      <c r="AX216" s="54"/>
      <c r="AY216" s="54"/>
      <c r="AZ216" s="54"/>
      <c r="BA216" s="54"/>
      <c r="BB216" s="54"/>
      <c r="BC216" s="54"/>
      <c r="BD216" s="54"/>
      <c r="BE216" s="54"/>
      <c r="BF216" s="54"/>
      <c r="BG216" s="54"/>
      <c r="BH216" s="54"/>
    </row>
    <row r="217" spans="1:60" x14ac:dyDescent="0.55000000000000004">
      <c r="A217" s="54"/>
      <c r="B217" s="54"/>
      <c r="C217" s="54"/>
      <c r="D217" s="54"/>
      <c r="E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c r="AE217" s="54"/>
      <c r="AF217" s="54"/>
      <c r="AG217" s="54"/>
      <c r="AH217" s="54"/>
      <c r="AI217" s="54"/>
      <c r="AJ217" s="54"/>
      <c r="AK217" s="54"/>
      <c r="AL217" s="54"/>
      <c r="AM217" s="54"/>
      <c r="AN217" s="54"/>
      <c r="AO217" s="54"/>
      <c r="AP217" s="54"/>
      <c r="AQ217" s="54"/>
      <c r="AR217" s="54"/>
      <c r="AS217" s="54"/>
      <c r="AT217" s="54"/>
      <c r="AU217" s="54"/>
      <c r="AV217" s="54"/>
      <c r="AW217" s="54"/>
      <c r="AX217" s="54"/>
      <c r="AY217" s="54"/>
      <c r="AZ217" s="54"/>
      <c r="BA217" s="54"/>
      <c r="BB217" s="54"/>
      <c r="BC217" s="54"/>
      <c r="BD217" s="54"/>
      <c r="BE217" s="54"/>
      <c r="BF217" s="54"/>
      <c r="BG217" s="54"/>
      <c r="BH217" s="54"/>
    </row>
    <row r="218" spans="1:60" x14ac:dyDescent="0.55000000000000004">
      <c r="A218" s="54"/>
      <c r="B218" s="54"/>
      <c r="C218" s="54"/>
      <c r="D218" s="54"/>
      <c r="E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c r="AE218" s="54"/>
      <c r="AF218" s="54"/>
      <c r="AG218" s="54"/>
      <c r="AH218" s="54"/>
      <c r="AI218" s="54"/>
      <c r="AJ218" s="54"/>
      <c r="AK218" s="54"/>
      <c r="AL218" s="54"/>
      <c r="AM218" s="54"/>
      <c r="AN218" s="54"/>
      <c r="AO218" s="54"/>
      <c r="AP218" s="54"/>
      <c r="AQ218" s="54"/>
      <c r="AR218" s="54"/>
      <c r="AS218" s="54"/>
      <c r="AT218" s="54"/>
      <c r="AU218" s="54"/>
      <c r="AV218" s="54"/>
      <c r="AW218" s="54"/>
      <c r="AX218" s="54"/>
      <c r="AY218" s="54"/>
      <c r="AZ218" s="54"/>
      <c r="BA218" s="54"/>
      <c r="BB218" s="54"/>
      <c r="BC218" s="54"/>
      <c r="BD218" s="54"/>
      <c r="BE218" s="54"/>
      <c r="BF218" s="54"/>
      <c r="BG218" s="54"/>
      <c r="BH218" s="54"/>
    </row>
    <row r="219" spans="1:60" x14ac:dyDescent="0.55000000000000004">
      <c r="A219" s="54"/>
      <c r="B219" s="54"/>
      <c r="C219" s="54"/>
      <c r="D219" s="54"/>
      <c r="E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c r="AE219" s="54"/>
      <c r="AF219" s="54"/>
      <c r="AG219" s="54"/>
      <c r="AH219" s="54"/>
      <c r="AI219" s="54"/>
      <c r="AJ219" s="54"/>
      <c r="AK219" s="54"/>
      <c r="AL219" s="54"/>
      <c r="AM219" s="54"/>
      <c r="AN219" s="54"/>
      <c r="AO219" s="54"/>
      <c r="AP219" s="54"/>
      <c r="AQ219" s="54"/>
      <c r="AR219" s="54"/>
      <c r="AS219" s="54"/>
      <c r="AT219" s="54"/>
      <c r="AU219" s="54"/>
      <c r="AV219" s="54"/>
      <c r="AW219" s="54"/>
      <c r="AX219" s="54"/>
      <c r="AY219" s="54"/>
      <c r="AZ219" s="54"/>
      <c r="BA219" s="54"/>
      <c r="BB219" s="54"/>
      <c r="BC219" s="54"/>
      <c r="BD219" s="54"/>
      <c r="BE219" s="54"/>
      <c r="BF219" s="54"/>
      <c r="BG219" s="54"/>
      <c r="BH219" s="54"/>
    </row>
    <row r="220" spans="1:60" x14ac:dyDescent="0.55000000000000004">
      <c r="A220" s="54"/>
      <c r="B220" s="54"/>
      <c r="C220" s="54"/>
      <c r="D220" s="54"/>
      <c r="E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c r="AE220" s="54"/>
      <c r="AF220" s="54"/>
      <c r="AG220" s="54"/>
      <c r="AH220" s="54"/>
      <c r="AI220" s="54"/>
      <c r="AJ220" s="54"/>
      <c r="AK220" s="54"/>
      <c r="AL220" s="54"/>
      <c r="AM220" s="54"/>
      <c r="AN220" s="54"/>
      <c r="AO220" s="54"/>
      <c r="AP220" s="54"/>
      <c r="AQ220" s="54"/>
      <c r="AR220" s="54"/>
      <c r="AS220" s="54"/>
      <c r="AT220" s="54"/>
      <c r="AU220" s="54"/>
      <c r="AV220" s="54"/>
      <c r="AW220" s="54"/>
      <c r="AX220" s="54"/>
      <c r="AY220" s="54"/>
      <c r="AZ220" s="54"/>
      <c r="BA220" s="54"/>
      <c r="BB220" s="54"/>
      <c r="BC220" s="54"/>
      <c r="BD220" s="54"/>
      <c r="BE220" s="54"/>
      <c r="BF220" s="54"/>
      <c r="BG220" s="54"/>
      <c r="BH220" s="54"/>
    </row>
    <row r="221" spans="1:60" x14ac:dyDescent="0.55000000000000004">
      <c r="A221" s="54"/>
      <c r="B221" s="54"/>
      <c r="C221" s="54"/>
      <c r="D221" s="54"/>
      <c r="E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c r="AD221" s="54"/>
      <c r="AE221" s="54"/>
      <c r="AF221" s="54"/>
      <c r="AG221" s="54"/>
      <c r="AH221" s="54"/>
      <c r="AI221" s="54"/>
      <c r="AJ221" s="54"/>
      <c r="AK221" s="54"/>
      <c r="AL221" s="54"/>
      <c r="AM221" s="54"/>
      <c r="AN221" s="54"/>
      <c r="AO221" s="54"/>
      <c r="AP221" s="54"/>
      <c r="AQ221" s="54"/>
      <c r="AR221" s="54"/>
      <c r="AS221" s="54"/>
      <c r="AT221" s="54"/>
      <c r="AU221" s="54"/>
      <c r="AV221" s="54"/>
      <c r="AW221" s="54"/>
      <c r="AX221" s="54"/>
      <c r="AY221" s="54"/>
      <c r="AZ221" s="54"/>
      <c r="BA221" s="54"/>
      <c r="BB221" s="54"/>
      <c r="BC221" s="54"/>
      <c r="BD221" s="54"/>
      <c r="BE221" s="54"/>
      <c r="BF221" s="54"/>
      <c r="BG221" s="54"/>
      <c r="BH221" s="54"/>
    </row>
    <row r="222" spans="1:60" x14ac:dyDescent="0.55000000000000004">
      <c r="A222" s="54"/>
      <c r="B222" s="54"/>
      <c r="C222" s="54"/>
      <c r="D222" s="54"/>
      <c r="E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c r="AD222" s="54"/>
      <c r="AE222" s="54"/>
      <c r="AF222" s="54"/>
      <c r="AG222" s="54"/>
      <c r="AH222" s="54"/>
      <c r="AI222" s="54"/>
      <c r="AJ222" s="54"/>
      <c r="AK222" s="54"/>
      <c r="AL222" s="54"/>
      <c r="AM222" s="54"/>
      <c r="AN222" s="54"/>
      <c r="AO222" s="54"/>
      <c r="AP222" s="54"/>
      <c r="AQ222" s="54"/>
      <c r="AR222" s="54"/>
      <c r="AS222" s="54"/>
      <c r="AT222" s="54"/>
      <c r="AU222" s="54"/>
      <c r="AV222" s="54"/>
      <c r="AW222" s="54"/>
      <c r="AX222" s="54"/>
      <c r="AY222" s="54"/>
      <c r="AZ222" s="54"/>
      <c r="BA222" s="54"/>
      <c r="BB222" s="54"/>
      <c r="BC222" s="54"/>
      <c r="BD222" s="54"/>
      <c r="BE222" s="54"/>
      <c r="BF222" s="54"/>
      <c r="BG222" s="54"/>
      <c r="BH222" s="54"/>
    </row>
    <row r="223" spans="1:60" x14ac:dyDescent="0.55000000000000004">
      <c r="A223" s="54"/>
      <c r="B223" s="54"/>
      <c r="C223" s="54"/>
      <c r="D223" s="54"/>
      <c r="E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c r="AD223" s="54"/>
      <c r="AE223" s="54"/>
      <c r="AF223" s="54"/>
      <c r="AG223" s="54"/>
      <c r="AH223" s="54"/>
      <c r="AI223" s="54"/>
      <c r="AJ223" s="54"/>
      <c r="AK223" s="54"/>
      <c r="AL223" s="54"/>
      <c r="AM223" s="54"/>
      <c r="AN223" s="54"/>
      <c r="AO223" s="54"/>
      <c r="AP223" s="54"/>
      <c r="AQ223" s="54"/>
      <c r="AR223" s="54"/>
      <c r="AS223" s="54"/>
      <c r="AT223" s="54"/>
      <c r="AU223" s="54"/>
      <c r="AV223" s="54"/>
      <c r="AW223" s="54"/>
      <c r="AX223" s="54"/>
      <c r="AY223" s="54"/>
      <c r="AZ223" s="54"/>
      <c r="BA223" s="54"/>
      <c r="BB223" s="54"/>
      <c r="BC223" s="54"/>
      <c r="BD223" s="54"/>
      <c r="BE223" s="54"/>
      <c r="BF223" s="54"/>
      <c r="BG223" s="54"/>
      <c r="BH223" s="54"/>
    </row>
    <row r="224" spans="1:60" x14ac:dyDescent="0.55000000000000004">
      <c r="A224" s="54"/>
      <c r="B224" s="54"/>
      <c r="C224" s="54"/>
      <c r="D224" s="54"/>
      <c r="E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c r="AE224" s="54"/>
      <c r="AF224" s="54"/>
      <c r="AG224" s="54"/>
      <c r="AH224" s="54"/>
      <c r="AI224" s="54"/>
      <c r="AJ224" s="54"/>
      <c r="AK224" s="54"/>
      <c r="AL224" s="54"/>
      <c r="AM224" s="54"/>
      <c r="AN224" s="54"/>
      <c r="AO224" s="54"/>
      <c r="AP224" s="54"/>
      <c r="AQ224" s="54"/>
      <c r="AR224" s="54"/>
      <c r="AS224" s="54"/>
      <c r="AT224" s="54"/>
      <c r="AU224" s="54"/>
      <c r="AV224" s="54"/>
      <c r="AW224" s="54"/>
      <c r="AX224" s="54"/>
      <c r="AY224" s="54"/>
      <c r="AZ224" s="54"/>
      <c r="BA224" s="54"/>
      <c r="BB224" s="54"/>
      <c r="BC224" s="54"/>
      <c r="BD224" s="54"/>
      <c r="BE224" s="54"/>
      <c r="BF224" s="54"/>
      <c r="BG224" s="54"/>
      <c r="BH224" s="54"/>
    </row>
    <row r="225" spans="1:60" x14ac:dyDescent="0.55000000000000004">
      <c r="A225" s="54"/>
      <c r="B225" s="54"/>
      <c r="C225" s="54"/>
      <c r="D225" s="54"/>
      <c r="E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c r="AD225" s="54"/>
      <c r="AE225" s="54"/>
      <c r="AF225" s="54"/>
      <c r="AG225" s="54"/>
      <c r="AH225" s="54"/>
      <c r="AI225" s="54"/>
      <c r="AJ225" s="54"/>
      <c r="AK225" s="54"/>
      <c r="AL225" s="54"/>
      <c r="AM225" s="54"/>
      <c r="AN225" s="54"/>
      <c r="AO225" s="54"/>
      <c r="AP225" s="54"/>
      <c r="AQ225" s="54"/>
      <c r="AR225" s="54"/>
      <c r="AS225" s="54"/>
      <c r="AT225" s="54"/>
      <c r="AU225" s="54"/>
      <c r="AV225" s="54"/>
      <c r="AW225" s="54"/>
      <c r="AX225" s="54"/>
      <c r="AY225" s="54"/>
      <c r="AZ225" s="54"/>
      <c r="BA225" s="54"/>
      <c r="BB225" s="54"/>
      <c r="BC225" s="54"/>
      <c r="BD225" s="54"/>
      <c r="BE225" s="54"/>
      <c r="BF225" s="54"/>
      <c r="BG225" s="54"/>
      <c r="BH225" s="54"/>
    </row>
    <row r="226" spans="1:60" x14ac:dyDescent="0.55000000000000004">
      <c r="A226" s="54"/>
      <c r="B226" s="54"/>
      <c r="C226" s="54"/>
      <c r="D226" s="54"/>
      <c r="E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c r="AD226" s="54"/>
      <c r="AE226" s="54"/>
      <c r="AF226" s="54"/>
      <c r="AG226" s="54"/>
      <c r="AH226" s="54"/>
      <c r="AI226" s="54"/>
      <c r="AJ226" s="54"/>
      <c r="AK226" s="54"/>
      <c r="AL226" s="54"/>
      <c r="AM226" s="54"/>
      <c r="AN226" s="54"/>
      <c r="AO226" s="54"/>
      <c r="AP226" s="54"/>
      <c r="AQ226" s="54"/>
      <c r="AR226" s="54"/>
      <c r="AS226" s="54"/>
      <c r="AT226" s="54"/>
      <c r="AU226" s="54"/>
      <c r="AV226" s="54"/>
      <c r="AW226" s="54"/>
      <c r="AX226" s="54"/>
      <c r="AY226" s="54"/>
      <c r="AZ226" s="54"/>
      <c r="BA226" s="54"/>
      <c r="BB226" s="54"/>
      <c r="BC226" s="54"/>
      <c r="BD226" s="54"/>
      <c r="BE226" s="54"/>
      <c r="BF226" s="54"/>
      <c r="BG226" s="54"/>
      <c r="BH226" s="54"/>
    </row>
    <row r="227" spans="1:60" x14ac:dyDescent="0.55000000000000004">
      <c r="A227" s="54"/>
      <c r="B227" s="54"/>
      <c r="C227" s="54"/>
      <c r="D227" s="54"/>
      <c r="E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c r="AD227" s="54"/>
      <c r="AE227" s="54"/>
      <c r="AF227" s="54"/>
      <c r="AG227" s="54"/>
      <c r="AH227" s="54"/>
      <c r="AI227" s="54"/>
      <c r="AJ227" s="54"/>
      <c r="AK227" s="54"/>
      <c r="AL227" s="54"/>
      <c r="AM227" s="54"/>
      <c r="AN227" s="54"/>
      <c r="AO227" s="54"/>
      <c r="AP227" s="54"/>
      <c r="AQ227" s="54"/>
      <c r="AR227" s="54"/>
      <c r="AS227" s="54"/>
      <c r="AT227" s="54"/>
      <c r="AU227" s="54"/>
      <c r="AV227" s="54"/>
      <c r="AW227" s="54"/>
      <c r="AX227" s="54"/>
      <c r="AY227" s="54"/>
      <c r="AZ227" s="54"/>
      <c r="BA227" s="54"/>
      <c r="BB227" s="54"/>
      <c r="BC227" s="54"/>
      <c r="BD227" s="54"/>
      <c r="BE227" s="54"/>
      <c r="BF227" s="54"/>
      <c r="BG227" s="54"/>
      <c r="BH227" s="54"/>
    </row>
    <row r="228" spans="1:60" x14ac:dyDescent="0.55000000000000004">
      <c r="A228" s="54"/>
      <c r="B228" s="54"/>
      <c r="C228" s="54"/>
      <c r="D228" s="54"/>
      <c r="E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c r="AE228" s="54"/>
      <c r="AF228" s="54"/>
      <c r="AG228" s="54"/>
      <c r="AH228" s="54"/>
      <c r="AI228" s="54"/>
      <c r="AJ228" s="54"/>
      <c r="AK228" s="54"/>
      <c r="AL228" s="54"/>
      <c r="AM228" s="54"/>
      <c r="AN228" s="54"/>
      <c r="AO228" s="54"/>
      <c r="AP228" s="54"/>
      <c r="AQ228" s="54"/>
      <c r="AR228" s="54"/>
      <c r="AS228" s="54"/>
      <c r="AT228" s="54"/>
      <c r="AU228" s="54"/>
      <c r="AV228" s="54"/>
      <c r="AW228" s="54"/>
      <c r="AX228" s="54"/>
      <c r="AY228" s="54"/>
      <c r="AZ228" s="54"/>
      <c r="BA228" s="54"/>
      <c r="BB228" s="54"/>
      <c r="BC228" s="54"/>
      <c r="BD228" s="54"/>
      <c r="BE228" s="54"/>
      <c r="BF228" s="54"/>
      <c r="BG228" s="54"/>
      <c r="BH228" s="54"/>
    </row>
    <row r="229" spans="1:60" x14ac:dyDescent="0.55000000000000004">
      <c r="A229" s="54"/>
      <c r="B229" s="54"/>
      <c r="C229" s="54"/>
      <c r="D229" s="54"/>
      <c r="E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c r="AE229" s="54"/>
      <c r="AF229" s="54"/>
      <c r="AG229" s="54"/>
      <c r="AH229" s="54"/>
      <c r="AI229" s="54"/>
      <c r="AJ229" s="54"/>
      <c r="AK229" s="54"/>
      <c r="AL229" s="54"/>
      <c r="AM229" s="54"/>
      <c r="AN229" s="54"/>
      <c r="AO229" s="54"/>
      <c r="AP229" s="54"/>
      <c r="AQ229" s="54"/>
      <c r="AR229" s="54"/>
      <c r="AS229" s="54"/>
      <c r="AT229" s="54"/>
      <c r="AU229" s="54"/>
      <c r="AV229" s="54"/>
      <c r="AW229" s="54"/>
      <c r="AX229" s="54"/>
      <c r="AY229" s="54"/>
      <c r="AZ229" s="54"/>
      <c r="BA229" s="54"/>
      <c r="BB229" s="54"/>
      <c r="BC229" s="54"/>
      <c r="BD229" s="54"/>
      <c r="BE229" s="54"/>
      <c r="BF229" s="54"/>
      <c r="BG229" s="54"/>
      <c r="BH229" s="54"/>
    </row>
    <row r="230" spans="1:60" x14ac:dyDescent="0.55000000000000004">
      <c r="A230" s="54"/>
      <c r="B230" s="54"/>
      <c r="C230" s="54"/>
      <c r="D230" s="54"/>
      <c r="E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c r="AD230" s="54"/>
      <c r="AE230" s="54"/>
      <c r="AF230" s="54"/>
      <c r="AG230" s="54"/>
      <c r="AH230" s="54"/>
      <c r="AI230" s="54"/>
      <c r="AJ230" s="54"/>
      <c r="AK230" s="54"/>
      <c r="AL230" s="54"/>
      <c r="AM230" s="54"/>
      <c r="AN230" s="54"/>
      <c r="AO230" s="54"/>
      <c r="AP230" s="54"/>
      <c r="AQ230" s="54"/>
      <c r="AR230" s="54"/>
      <c r="AS230" s="54"/>
      <c r="AT230" s="54"/>
      <c r="AU230" s="54"/>
      <c r="AV230" s="54"/>
      <c r="AW230" s="54"/>
      <c r="AX230" s="54"/>
      <c r="AY230" s="54"/>
      <c r="AZ230" s="54"/>
      <c r="BA230" s="54"/>
      <c r="BB230" s="54"/>
      <c r="BC230" s="54"/>
      <c r="BD230" s="54"/>
      <c r="BE230" s="54"/>
      <c r="BF230" s="54"/>
      <c r="BG230" s="54"/>
      <c r="BH230" s="54"/>
    </row>
    <row r="231" spans="1:60" x14ac:dyDescent="0.55000000000000004">
      <c r="A231" s="54"/>
      <c r="B231" s="54"/>
      <c r="C231" s="54"/>
      <c r="D231" s="54"/>
      <c r="E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c r="AE231" s="54"/>
      <c r="AF231" s="54"/>
      <c r="AG231" s="54"/>
      <c r="AH231" s="54"/>
      <c r="AI231" s="54"/>
      <c r="AJ231" s="54"/>
      <c r="AK231" s="54"/>
      <c r="AL231" s="54"/>
      <c r="AM231" s="54"/>
      <c r="AN231" s="54"/>
      <c r="AO231" s="54"/>
      <c r="AP231" s="54"/>
      <c r="AQ231" s="54"/>
      <c r="AR231" s="54"/>
      <c r="AS231" s="54"/>
      <c r="AT231" s="54"/>
      <c r="AU231" s="54"/>
      <c r="AV231" s="54"/>
      <c r="AW231" s="54"/>
      <c r="AX231" s="54"/>
      <c r="AY231" s="54"/>
      <c r="AZ231" s="54"/>
      <c r="BA231" s="54"/>
      <c r="BB231" s="54"/>
      <c r="BC231" s="54"/>
      <c r="BD231" s="54"/>
      <c r="BE231" s="54"/>
      <c r="BF231" s="54"/>
      <c r="BG231" s="54"/>
      <c r="BH231" s="54"/>
    </row>
    <row r="232" spans="1:60" x14ac:dyDescent="0.55000000000000004">
      <c r="A232" s="54"/>
      <c r="B232" s="54"/>
      <c r="C232" s="54"/>
      <c r="D232" s="54"/>
      <c r="E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c r="AE232" s="54"/>
      <c r="AF232" s="54"/>
      <c r="AG232" s="54"/>
      <c r="AH232" s="54"/>
      <c r="AI232" s="54"/>
      <c r="AJ232" s="54"/>
      <c r="AK232" s="54"/>
      <c r="AL232" s="54"/>
      <c r="AM232" s="54"/>
      <c r="AN232" s="54"/>
      <c r="AO232" s="54"/>
      <c r="AP232" s="54"/>
      <c r="AQ232" s="54"/>
      <c r="AR232" s="54"/>
      <c r="AS232" s="54"/>
      <c r="AT232" s="54"/>
      <c r="AU232" s="54"/>
      <c r="AV232" s="54"/>
      <c r="AW232" s="54"/>
      <c r="AX232" s="54"/>
      <c r="AY232" s="54"/>
      <c r="AZ232" s="54"/>
      <c r="BA232" s="54"/>
      <c r="BB232" s="54"/>
      <c r="BC232" s="54"/>
      <c r="BD232" s="54"/>
      <c r="BE232" s="54"/>
      <c r="BF232" s="54"/>
      <c r="BG232" s="54"/>
      <c r="BH232" s="54"/>
    </row>
    <row r="233" spans="1:60" x14ac:dyDescent="0.55000000000000004">
      <c r="A233" s="54"/>
      <c r="B233" s="54"/>
      <c r="C233" s="54"/>
      <c r="D233" s="54"/>
      <c r="E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c r="AE233" s="54"/>
      <c r="AF233" s="54"/>
      <c r="AG233" s="54"/>
      <c r="AH233" s="54"/>
      <c r="AI233" s="54"/>
      <c r="AJ233" s="54"/>
      <c r="AK233" s="54"/>
      <c r="AL233" s="54"/>
      <c r="AM233" s="54"/>
      <c r="AN233" s="54"/>
      <c r="AO233" s="54"/>
      <c r="AP233" s="54"/>
      <c r="AQ233" s="54"/>
      <c r="AR233" s="54"/>
      <c r="AS233" s="54"/>
      <c r="AT233" s="54"/>
      <c r="AU233" s="54"/>
      <c r="AV233" s="54"/>
      <c r="AW233" s="54"/>
      <c r="AX233" s="54"/>
      <c r="AY233" s="54"/>
      <c r="AZ233" s="54"/>
      <c r="BA233" s="54"/>
      <c r="BB233" s="54"/>
      <c r="BC233" s="54"/>
      <c r="BD233" s="54"/>
      <c r="BE233" s="54"/>
      <c r="BF233" s="54"/>
      <c r="BG233" s="54"/>
      <c r="BH233" s="54"/>
    </row>
    <row r="234" spans="1:60" x14ac:dyDescent="0.55000000000000004">
      <c r="A234" s="54"/>
      <c r="B234" s="54"/>
      <c r="C234" s="54"/>
      <c r="D234" s="54"/>
      <c r="E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c r="AE234" s="54"/>
      <c r="AF234" s="54"/>
      <c r="AG234" s="54"/>
      <c r="AH234" s="54"/>
      <c r="AI234" s="54"/>
      <c r="AJ234" s="54"/>
      <c r="AK234" s="54"/>
      <c r="AL234" s="54"/>
      <c r="AM234" s="54"/>
      <c r="AN234" s="54"/>
      <c r="AO234" s="54"/>
      <c r="AP234" s="54"/>
      <c r="AQ234" s="54"/>
      <c r="AR234" s="54"/>
      <c r="AS234" s="54"/>
      <c r="AT234" s="54"/>
      <c r="AU234" s="54"/>
      <c r="AV234" s="54"/>
      <c r="AW234" s="54"/>
      <c r="AX234" s="54"/>
      <c r="AY234" s="54"/>
      <c r="AZ234" s="54"/>
      <c r="BA234" s="54"/>
      <c r="BB234" s="54"/>
      <c r="BC234" s="54"/>
      <c r="BD234" s="54"/>
      <c r="BE234" s="54"/>
      <c r="BF234" s="54"/>
      <c r="BG234" s="54"/>
      <c r="BH234" s="54"/>
    </row>
    <row r="235" spans="1:60" x14ac:dyDescent="0.55000000000000004">
      <c r="A235" s="54"/>
      <c r="B235" s="54"/>
      <c r="C235" s="54"/>
      <c r="D235" s="54"/>
      <c r="E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c r="AD235" s="54"/>
      <c r="AE235" s="54"/>
      <c r="AF235" s="54"/>
      <c r="AG235" s="54"/>
      <c r="AH235" s="54"/>
      <c r="AI235" s="54"/>
      <c r="AJ235" s="54"/>
      <c r="AK235" s="54"/>
      <c r="AL235" s="54"/>
      <c r="AM235" s="54"/>
      <c r="AN235" s="54"/>
      <c r="AO235" s="54"/>
      <c r="AP235" s="54"/>
      <c r="AQ235" s="54"/>
      <c r="AR235" s="54"/>
      <c r="AS235" s="54"/>
      <c r="AT235" s="54"/>
      <c r="AU235" s="54"/>
      <c r="AV235" s="54"/>
      <c r="AW235" s="54"/>
      <c r="AX235" s="54"/>
      <c r="AY235" s="54"/>
      <c r="AZ235" s="54"/>
      <c r="BA235" s="54"/>
      <c r="BB235" s="54"/>
      <c r="BC235" s="54"/>
      <c r="BD235" s="54"/>
      <c r="BE235" s="54"/>
      <c r="BF235" s="54"/>
      <c r="BG235" s="54"/>
      <c r="BH235" s="54"/>
    </row>
    <row r="236" spans="1:60" x14ac:dyDescent="0.55000000000000004">
      <c r="A236" s="54"/>
      <c r="B236" s="54"/>
      <c r="C236" s="54"/>
      <c r="D236" s="54"/>
      <c r="E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c r="AE236" s="54"/>
      <c r="AF236" s="54"/>
      <c r="AG236" s="54"/>
      <c r="AH236" s="54"/>
      <c r="AI236" s="54"/>
      <c r="AJ236" s="54"/>
      <c r="AK236" s="54"/>
      <c r="AL236" s="54"/>
      <c r="AM236" s="54"/>
      <c r="AN236" s="54"/>
      <c r="AO236" s="54"/>
      <c r="AP236" s="54"/>
      <c r="AQ236" s="54"/>
      <c r="AR236" s="54"/>
      <c r="AS236" s="54"/>
      <c r="AT236" s="54"/>
      <c r="AU236" s="54"/>
      <c r="AV236" s="54"/>
      <c r="AW236" s="54"/>
      <c r="AX236" s="54"/>
      <c r="AY236" s="54"/>
      <c r="AZ236" s="54"/>
      <c r="BA236" s="54"/>
      <c r="BB236" s="54"/>
      <c r="BC236" s="54"/>
      <c r="BD236" s="54"/>
      <c r="BE236" s="54"/>
      <c r="BF236" s="54"/>
      <c r="BG236" s="54"/>
      <c r="BH236" s="54"/>
    </row>
    <row r="237" spans="1:60" x14ac:dyDescent="0.55000000000000004">
      <c r="A237" s="54"/>
      <c r="B237" s="54"/>
      <c r="C237" s="54"/>
      <c r="D237" s="54"/>
      <c r="E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c r="AE237" s="54"/>
      <c r="AF237" s="54"/>
      <c r="AG237" s="54"/>
      <c r="AH237" s="54"/>
      <c r="AI237" s="54"/>
      <c r="AJ237" s="54"/>
      <c r="AK237" s="54"/>
      <c r="AL237" s="54"/>
      <c r="AM237" s="54"/>
      <c r="AN237" s="54"/>
      <c r="AO237" s="54"/>
      <c r="AP237" s="54"/>
      <c r="AQ237" s="54"/>
      <c r="AR237" s="54"/>
      <c r="AS237" s="54"/>
      <c r="AT237" s="54"/>
      <c r="AU237" s="54"/>
      <c r="AV237" s="54"/>
      <c r="AW237" s="54"/>
      <c r="AX237" s="54"/>
      <c r="AY237" s="54"/>
      <c r="AZ237" s="54"/>
      <c r="BA237" s="54"/>
      <c r="BB237" s="54"/>
      <c r="BC237" s="54"/>
      <c r="BD237" s="54"/>
      <c r="BE237" s="54"/>
      <c r="BF237" s="54"/>
      <c r="BG237" s="54"/>
      <c r="BH237" s="54"/>
    </row>
    <row r="238" spans="1:60" x14ac:dyDescent="0.55000000000000004">
      <c r="A238" s="54"/>
      <c r="B238" s="54"/>
      <c r="C238" s="54"/>
      <c r="D238" s="54"/>
      <c r="E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c r="AE238" s="54"/>
      <c r="AF238" s="54"/>
      <c r="AG238" s="54"/>
      <c r="AH238" s="54"/>
      <c r="AI238" s="54"/>
      <c r="AJ238" s="54"/>
      <c r="AK238" s="54"/>
      <c r="AL238" s="54"/>
      <c r="AM238" s="54"/>
      <c r="AN238" s="54"/>
      <c r="AO238" s="54"/>
      <c r="AP238" s="54"/>
      <c r="AQ238" s="54"/>
      <c r="AR238" s="54"/>
      <c r="AS238" s="54"/>
      <c r="AT238" s="54"/>
      <c r="AU238" s="54"/>
      <c r="AV238" s="54"/>
      <c r="AW238" s="54"/>
      <c r="AX238" s="54"/>
      <c r="AY238" s="54"/>
      <c r="AZ238" s="54"/>
      <c r="BA238" s="54"/>
      <c r="BB238" s="54"/>
      <c r="BC238" s="54"/>
      <c r="BD238" s="54"/>
      <c r="BE238" s="54"/>
      <c r="BF238" s="54"/>
      <c r="BG238" s="54"/>
      <c r="BH238" s="54"/>
    </row>
    <row r="239" spans="1:60" x14ac:dyDescent="0.55000000000000004">
      <c r="A239" s="54"/>
      <c r="B239" s="54"/>
      <c r="C239" s="54"/>
      <c r="D239" s="54"/>
      <c r="E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c r="AE239" s="54"/>
      <c r="AF239" s="54"/>
      <c r="AG239" s="54"/>
      <c r="AH239" s="54"/>
      <c r="AI239" s="54"/>
      <c r="AJ239" s="54"/>
      <c r="AK239" s="54"/>
      <c r="AL239" s="54"/>
      <c r="AM239" s="54"/>
      <c r="AN239" s="54"/>
      <c r="AO239" s="54"/>
      <c r="AP239" s="54"/>
      <c r="AQ239" s="54"/>
      <c r="AR239" s="54"/>
      <c r="AS239" s="54"/>
      <c r="AT239" s="54"/>
      <c r="AU239" s="54"/>
      <c r="AV239" s="54"/>
      <c r="AW239" s="54"/>
      <c r="AX239" s="54"/>
      <c r="AY239" s="54"/>
      <c r="AZ239" s="54"/>
      <c r="BA239" s="54"/>
      <c r="BB239" s="54"/>
      <c r="BC239" s="54"/>
      <c r="BD239" s="54"/>
      <c r="BE239" s="54"/>
      <c r="BF239" s="54"/>
      <c r="BG239" s="54"/>
      <c r="BH239" s="54"/>
    </row>
    <row r="240" spans="1:60" x14ac:dyDescent="0.55000000000000004">
      <c r="A240" s="54"/>
      <c r="B240" s="54"/>
      <c r="C240" s="54"/>
      <c r="D240" s="54"/>
      <c r="E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c r="AE240" s="54"/>
      <c r="AF240" s="54"/>
      <c r="AG240" s="54"/>
      <c r="AH240" s="54"/>
      <c r="AI240" s="54"/>
      <c r="AJ240" s="54"/>
      <c r="AK240" s="54"/>
      <c r="AL240" s="54"/>
      <c r="AM240" s="54"/>
      <c r="AN240" s="54"/>
      <c r="AO240" s="54"/>
      <c r="AP240" s="54"/>
      <c r="AQ240" s="54"/>
      <c r="AR240" s="54"/>
      <c r="AS240" s="54"/>
      <c r="AT240" s="54"/>
      <c r="AU240" s="54"/>
      <c r="AV240" s="54"/>
      <c r="AW240" s="54"/>
      <c r="AX240" s="54"/>
      <c r="AY240" s="54"/>
      <c r="AZ240" s="54"/>
      <c r="BA240" s="54"/>
      <c r="BB240" s="54"/>
      <c r="BC240" s="54"/>
      <c r="BD240" s="54"/>
      <c r="BE240" s="54"/>
      <c r="BF240" s="54"/>
      <c r="BG240" s="54"/>
      <c r="BH240" s="54"/>
    </row>
    <row r="241" spans="1:60" x14ac:dyDescent="0.55000000000000004">
      <c r="A241" s="54"/>
      <c r="B241" s="54"/>
      <c r="C241" s="54"/>
      <c r="D241" s="54"/>
      <c r="E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c r="AE241" s="54"/>
      <c r="AF241" s="54"/>
      <c r="AG241" s="54"/>
      <c r="AH241" s="54"/>
      <c r="AI241" s="54"/>
      <c r="AJ241" s="54"/>
      <c r="AK241" s="54"/>
      <c r="AL241" s="54"/>
      <c r="AM241" s="54"/>
      <c r="AN241" s="54"/>
      <c r="AO241" s="54"/>
      <c r="AP241" s="54"/>
      <c r="AQ241" s="54"/>
      <c r="AR241" s="54"/>
      <c r="AS241" s="54"/>
      <c r="AT241" s="54"/>
      <c r="AU241" s="54"/>
      <c r="AV241" s="54"/>
      <c r="AW241" s="54"/>
      <c r="AX241" s="54"/>
      <c r="AY241" s="54"/>
      <c r="AZ241" s="54"/>
      <c r="BA241" s="54"/>
      <c r="BB241" s="54"/>
      <c r="BC241" s="54"/>
      <c r="BD241" s="54"/>
      <c r="BE241" s="54"/>
      <c r="BF241" s="54"/>
      <c r="BG241" s="54"/>
      <c r="BH241" s="54"/>
    </row>
    <row r="242" spans="1:60" x14ac:dyDescent="0.55000000000000004">
      <c r="A242" s="54"/>
      <c r="B242" s="54"/>
      <c r="C242" s="54"/>
      <c r="D242" s="54"/>
      <c r="E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c r="AE242" s="54"/>
      <c r="AF242" s="54"/>
      <c r="AG242" s="54"/>
      <c r="AH242" s="54"/>
      <c r="AI242" s="54"/>
      <c r="AJ242" s="54"/>
      <c r="AK242" s="54"/>
      <c r="AL242" s="54"/>
      <c r="AM242" s="54"/>
      <c r="AN242" s="54"/>
      <c r="AO242" s="54"/>
      <c r="AP242" s="54"/>
      <c r="AQ242" s="54"/>
      <c r="AR242" s="54"/>
      <c r="AS242" s="54"/>
      <c r="AT242" s="54"/>
      <c r="AU242" s="54"/>
      <c r="AV242" s="54"/>
      <c r="AW242" s="54"/>
      <c r="AX242" s="54"/>
      <c r="AY242" s="54"/>
      <c r="AZ242" s="54"/>
      <c r="BA242" s="54"/>
      <c r="BB242" s="54"/>
      <c r="BC242" s="54"/>
      <c r="BD242" s="54"/>
      <c r="BE242" s="54"/>
      <c r="BF242" s="54"/>
      <c r="BG242" s="54"/>
      <c r="BH242" s="54"/>
    </row>
    <row r="243" spans="1:60" x14ac:dyDescent="0.55000000000000004">
      <c r="A243" s="54"/>
      <c r="B243" s="54"/>
      <c r="C243" s="54"/>
      <c r="D243" s="54"/>
      <c r="E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c r="AE243" s="54"/>
      <c r="AF243" s="54"/>
      <c r="AG243" s="54"/>
      <c r="AH243" s="54"/>
      <c r="AI243" s="54"/>
      <c r="AJ243" s="54"/>
      <c r="AK243" s="54"/>
      <c r="AL243" s="54"/>
      <c r="AM243" s="54"/>
      <c r="AN243" s="54"/>
      <c r="AO243" s="54"/>
      <c r="AP243" s="54"/>
      <c r="AQ243" s="54"/>
      <c r="AR243" s="54"/>
      <c r="AS243" s="54"/>
      <c r="AT243" s="54"/>
      <c r="AU243" s="54"/>
      <c r="AV243" s="54"/>
      <c r="AW243" s="54"/>
      <c r="AX243" s="54"/>
      <c r="AY243" s="54"/>
      <c r="AZ243" s="54"/>
      <c r="BA243" s="54"/>
      <c r="BB243" s="54"/>
      <c r="BC243" s="54"/>
      <c r="BD243" s="54"/>
      <c r="BE243" s="54"/>
      <c r="BF243" s="54"/>
      <c r="BG243" s="54"/>
      <c r="BH243" s="54"/>
    </row>
    <row r="244" spans="1:60" x14ac:dyDescent="0.55000000000000004">
      <c r="A244" s="54"/>
      <c r="B244" s="54"/>
      <c r="C244" s="54"/>
      <c r="D244" s="54"/>
      <c r="E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c r="AE244" s="54"/>
      <c r="AF244" s="54"/>
      <c r="AG244" s="54"/>
      <c r="AH244" s="54"/>
      <c r="AI244" s="54"/>
      <c r="AJ244" s="54"/>
      <c r="AK244" s="54"/>
      <c r="AL244" s="54"/>
      <c r="AM244" s="54"/>
      <c r="AN244" s="54"/>
      <c r="AO244" s="54"/>
      <c r="AP244" s="54"/>
      <c r="AQ244" s="54"/>
      <c r="AR244" s="54"/>
      <c r="AS244" s="54"/>
      <c r="AT244" s="54"/>
      <c r="AU244" s="54"/>
      <c r="AV244" s="54"/>
      <c r="AW244" s="54"/>
      <c r="AX244" s="54"/>
      <c r="AY244" s="54"/>
      <c r="AZ244" s="54"/>
      <c r="BA244" s="54"/>
      <c r="BB244" s="54"/>
      <c r="BC244" s="54"/>
      <c r="BD244" s="54"/>
      <c r="BE244" s="54"/>
      <c r="BF244" s="54"/>
      <c r="BG244" s="54"/>
      <c r="BH244" s="54"/>
    </row>
    <row r="245" spans="1:60" x14ac:dyDescent="0.55000000000000004">
      <c r="A245" s="54"/>
      <c r="B245" s="54"/>
      <c r="C245" s="54"/>
      <c r="D245" s="54"/>
      <c r="E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c r="AE245" s="54"/>
      <c r="AF245" s="54"/>
      <c r="AG245" s="54"/>
      <c r="AH245" s="54"/>
      <c r="AI245" s="54"/>
      <c r="AJ245" s="54"/>
      <c r="AK245" s="54"/>
      <c r="AL245" s="54"/>
      <c r="AM245" s="54"/>
      <c r="AN245" s="54"/>
      <c r="AO245" s="54"/>
      <c r="AP245" s="54"/>
      <c r="AQ245" s="54"/>
      <c r="AR245" s="54"/>
      <c r="AS245" s="54"/>
      <c r="AT245" s="54"/>
      <c r="AU245" s="54"/>
      <c r="AV245" s="54"/>
      <c r="AW245" s="54"/>
      <c r="AX245" s="54"/>
      <c r="AY245" s="54"/>
      <c r="AZ245" s="54"/>
      <c r="BA245" s="54"/>
      <c r="BB245" s="54"/>
      <c r="BC245" s="54"/>
      <c r="BD245" s="54"/>
      <c r="BE245" s="54"/>
      <c r="BF245" s="54"/>
      <c r="BG245" s="54"/>
      <c r="BH245" s="54"/>
    </row>
    <row r="246" spans="1:60" x14ac:dyDescent="0.55000000000000004">
      <c r="A246" s="54"/>
      <c r="B246" s="54"/>
      <c r="C246" s="54"/>
      <c r="D246" s="54"/>
      <c r="E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c r="AH246" s="54"/>
      <c r="AI246" s="54"/>
      <c r="AJ246" s="54"/>
      <c r="AK246" s="54"/>
      <c r="AL246" s="54"/>
      <c r="AM246" s="54"/>
      <c r="AN246" s="54"/>
      <c r="AO246" s="54"/>
      <c r="AP246" s="54"/>
      <c r="AQ246" s="54"/>
      <c r="AR246" s="54"/>
      <c r="AS246" s="54"/>
      <c r="AT246" s="54"/>
      <c r="AU246" s="54"/>
      <c r="AV246" s="54"/>
      <c r="AW246" s="54"/>
      <c r="AX246" s="54"/>
      <c r="AY246" s="54"/>
      <c r="AZ246" s="54"/>
      <c r="BA246" s="54"/>
      <c r="BB246" s="54"/>
      <c r="BC246" s="54"/>
      <c r="BD246" s="54"/>
      <c r="BE246" s="54"/>
      <c r="BF246" s="54"/>
      <c r="BG246" s="54"/>
      <c r="BH246" s="54"/>
    </row>
    <row r="247" spans="1:60" x14ac:dyDescent="0.55000000000000004">
      <c r="A247" s="54"/>
      <c r="B247" s="54"/>
      <c r="C247" s="54"/>
      <c r="D247" s="54"/>
      <c r="E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c r="AE247" s="54"/>
      <c r="AF247" s="54"/>
      <c r="AG247" s="54"/>
      <c r="AH247" s="54"/>
      <c r="AI247" s="54"/>
      <c r="AJ247" s="54"/>
      <c r="AK247" s="54"/>
      <c r="AL247" s="54"/>
      <c r="AM247" s="54"/>
      <c r="AN247" s="54"/>
      <c r="AO247" s="54"/>
      <c r="AP247" s="54"/>
      <c r="AQ247" s="54"/>
      <c r="AR247" s="54"/>
      <c r="AS247" s="54"/>
      <c r="AT247" s="54"/>
      <c r="AU247" s="54"/>
      <c r="AV247" s="54"/>
      <c r="AW247" s="54"/>
      <c r="AX247" s="54"/>
      <c r="AY247" s="54"/>
      <c r="AZ247" s="54"/>
      <c r="BA247" s="54"/>
      <c r="BB247" s="54"/>
      <c r="BC247" s="54"/>
      <c r="BD247" s="54"/>
      <c r="BE247" s="54"/>
      <c r="BF247" s="54"/>
      <c r="BG247" s="54"/>
      <c r="BH247" s="54"/>
    </row>
    <row r="248" spans="1:60" x14ac:dyDescent="0.55000000000000004">
      <c r="A248" s="54"/>
      <c r="B248" s="54"/>
      <c r="C248" s="54"/>
      <c r="D248" s="54"/>
      <c r="E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c r="AE248" s="54"/>
      <c r="AF248" s="54"/>
      <c r="AG248" s="54"/>
      <c r="AH248" s="54"/>
      <c r="AI248" s="54"/>
      <c r="AJ248" s="54"/>
      <c r="AK248" s="54"/>
      <c r="AL248" s="54"/>
      <c r="AM248" s="54"/>
      <c r="AN248" s="54"/>
      <c r="AO248" s="54"/>
      <c r="AP248" s="54"/>
      <c r="AQ248" s="54"/>
      <c r="AR248" s="54"/>
      <c r="AS248" s="54"/>
      <c r="AT248" s="54"/>
      <c r="AU248" s="54"/>
      <c r="AV248" s="54"/>
      <c r="AW248" s="54"/>
      <c r="AX248" s="54"/>
      <c r="AY248" s="54"/>
      <c r="AZ248" s="54"/>
      <c r="BA248" s="54"/>
      <c r="BB248" s="54"/>
      <c r="BC248" s="54"/>
      <c r="BD248" s="54"/>
      <c r="BE248" s="54"/>
      <c r="BF248" s="54"/>
      <c r="BG248" s="54"/>
      <c r="BH248" s="54"/>
    </row>
    <row r="249" spans="1:60" x14ac:dyDescent="0.55000000000000004">
      <c r="A249" s="54"/>
      <c r="B249" s="54"/>
      <c r="C249" s="54"/>
      <c r="D249" s="54"/>
      <c r="E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c r="AE249" s="54"/>
      <c r="AF249" s="54"/>
      <c r="AG249" s="54"/>
      <c r="AH249" s="54"/>
      <c r="AI249" s="54"/>
      <c r="AJ249" s="54"/>
      <c r="AK249" s="54"/>
      <c r="AL249" s="54"/>
      <c r="AM249" s="54"/>
      <c r="AN249" s="54"/>
      <c r="AO249" s="54"/>
      <c r="AP249" s="54"/>
      <c r="AQ249" s="54"/>
      <c r="AR249" s="54"/>
      <c r="AS249" s="54"/>
      <c r="AT249" s="54"/>
      <c r="AU249" s="54"/>
      <c r="AV249" s="54"/>
      <c r="AW249" s="54"/>
      <c r="AX249" s="54"/>
      <c r="AY249" s="54"/>
      <c r="AZ249" s="54"/>
      <c r="BA249" s="54"/>
      <c r="BB249" s="54"/>
      <c r="BC249" s="54"/>
      <c r="BD249" s="54"/>
      <c r="BE249" s="54"/>
      <c r="BF249" s="54"/>
      <c r="BG249" s="54"/>
      <c r="BH249" s="54"/>
    </row>
    <row r="250" spans="1:60" x14ac:dyDescent="0.55000000000000004">
      <c r="A250" s="54"/>
      <c r="B250" s="54"/>
      <c r="C250" s="54"/>
      <c r="D250" s="54"/>
      <c r="E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c r="AH250" s="54"/>
      <c r="AI250" s="54"/>
      <c r="AJ250" s="54"/>
      <c r="AK250" s="54"/>
      <c r="AL250" s="54"/>
      <c r="AM250" s="54"/>
      <c r="AN250" s="54"/>
      <c r="AO250" s="54"/>
      <c r="AP250" s="54"/>
      <c r="AQ250" s="54"/>
      <c r="AR250" s="54"/>
      <c r="AS250" s="54"/>
      <c r="AT250" s="54"/>
      <c r="AU250" s="54"/>
      <c r="AV250" s="54"/>
      <c r="AW250" s="54"/>
      <c r="AX250" s="54"/>
      <c r="AY250" s="54"/>
      <c r="AZ250" s="54"/>
      <c r="BA250" s="54"/>
      <c r="BB250" s="54"/>
      <c r="BC250" s="54"/>
      <c r="BD250" s="54"/>
      <c r="BE250" s="54"/>
      <c r="BF250" s="54"/>
      <c r="BG250" s="54"/>
      <c r="BH250" s="54"/>
    </row>
    <row r="251" spans="1:60" x14ac:dyDescent="0.55000000000000004">
      <c r="A251" s="54"/>
      <c r="B251" s="54"/>
      <c r="C251" s="54"/>
      <c r="D251" s="54"/>
      <c r="E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c r="AE251" s="54"/>
      <c r="AF251" s="54"/>
      <c r="AG251" s="54"/>
      <c r="AH251" s="54"/>
      <c r="AI251" s="54"/>
      <c r="AJ251" s="54"/>
      <c r="AK251" s="54"/>
      <c r="AL251" s="54"/>
      <c r="AM251" s="54"/>
      <c r="AN251" s="54"/>
      <c r="AO251" s="54"/>
      <c r="AP251" s="54"/>
      <c r="AQ251" s="54"/>
      <c r="AR251" s="54"/>
      <c r="AS251" s="54"/>
      <c r="AT251" s="54"/>
      <c r="AU251" s="54"/>
      <c r="AV251" s="54"/>
      <c r="AW251" s="54"/>
      <c r="AX251" s="54"/>
      <c r="AY251" s="54"/>
      <c r="AZ251" s="54"/>
      <c r="BA251" s="54"/>
      <c r="BB251" s="54"/>
      <c r="BC251" s="54"/>
      <c r="BD251" s="54"/>
      <c r="BE251" s="54"/>
      <c r="BF251" s="54"/>
      <c r="BG251" s="54"/>
      <c r="BH251" s="54"/>
    </row>
    <row r="252" spans="1:60" x14ac:dyDescent="0.55000000000000004">
      <c r="A252" s="54"/>
      <c r="B252" s="54"/>
      <c r="C252" s="54"/>
      <c r="D252" s="54"/>
      <c r="E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c r="AE252" s="54"/>
      <c r="AF252" s="54"/>
      <c r="AG252" s="54"/>
      <c r="AH252" s="54"/>
      <c r="AI252" s="54"/>
      <c r="AJ252" s="54"/>
      <c r="AK252" s="54"/>
      <c r="AL252" s="54"/>
      <c r="AM252" s="54"/>
      <c r="AN252" s="54"/>
      <c r="AO252" s="54"/>
      <c r="AP252" s="54"/>
      <c r="AQ252" s="54"/>
      <c r="AR252" s="54"/>
      <c r="AS252" s="54"/>
      <c r="AT252" s="54"/>
      <c r="AU252" s="54"/>
      <c r="AV252" s="54"/>
      <c r="AW252" s="54"/>
      <c r="AX252" s="54"/>
      <c r="AY252" s="54"/>
      <c r="AZ252" s="54"/>
      <c r="BA252" s="54"/>
      <c r="BB252" s="54"/>
      <c r="BC252" s="54"/>
      <c r="BD252" s="54"/>
      <c r="BE252" s="54"/>
      <c r="BF252" s="54"/>
      <c r="BG252" s="54"/>
      <c r="BH252" s="54"/>
    </row>
    <row r="253" spans="1:60" x14ac:dyDescent="0.55000000000000004">
      <c r="A253" s="54"/>
      <c r="B253" s="54"/>
      <c r="C253" s="54"/>
      <c r="D253" s="54"/>
      <c r="E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c r="AE253" s="54"/>
      <c r="AF253" s="54"/>
      <c r="AG253" s="54"/>
      <c r="AH253" s="54"/>
      <c r="AI253" s="54"/>
      <c r="AJ253" s="54"/>
      <c r="AK253" s="54"/>
      <c r="AL253" s="54"/>
      <c r="AM253" s="54"/>
      <c r="AN253" s="54"/>
      <c r="AO253" s="54"/>
      <c r="AP253" s="54"/>
      <c r="AQ253" s="54"/>
      <c r="AR253" s="54"/>
      <c r="AS253" s="54"/>
      <c r="AT253" s="54"/>
      <c r="AU253" s="54"/>
      <c r="AV253" s="54"/>
      <c r="AW253" s="54"/>
      <c r="AX253" s="54"/>
      <c r="AY253" s="54"/>
      <c r="AZ253" s="54"/>
      <c r="BA253" s="54"/>
      <c r="BB253" s="54"/>
      <c r="BC253" s="54"/>
      <c r="BD253" s="54"/>
      <c r="BE253" s="54"/>
      <c r="BF253" s="54"/>
      <c r="BG253" s="54"/>
      <c r="BH253" s="54"/>
    </row>
    <row r="254" spans="1:60" x14ac:dyDescent="0.55000000000000004">
      <c r="A254" s="54"/>
      <c r="B254" s="54"/>
      <c r="C254" s="54"/>
      <c r="D254" s="54"/>
      <c r="E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c r="AI254" s="54"/>
      <c r="AJ254" s="54"/>
      <c r="AK254" s="54"/>
      <c r="AL254" s="54"/>
      <c r="AM254" s="54"/>
      <c r="AN254" s="54"/>
      <c r="AO254" s="54"/>
      <c r="AP254" s="54"/>
      <c r="AQ254" s="54"/>
      <c r="AR254" s="54"/>
      <c r="AS254" s="54"/>
      <c r="AT254" s="54"/>
      <c r="AU254" s="54"/>
      <c r="AV254" s="54"/>
      <c r="AW254" s="54"/>
      <c r="AX254" s="54"/>
      <c r="AY254" s="54"/>
      <c r="AZ254" s="54"/>
      <c r="BA254" s="54"/>
      <c r="BB254" s="54"/>
      <c r="BC254" s="54"/>
      <c r="BD254" s="54"/>
      <c r="BE254" s="54"/>
      <c r="BF254" s="54"/>
      <c r="BG254" s="54"/>
      <c r="BH254" s="54"/>
    </row>
    <row r="255" spans="1:60" x14ac:dyDescent="0.55000000000000004">
      <c r="A255" s="54"/>
      <c r="B255" s="54"/>
      <c r="C255" s="54"/>
      <c r="D255" s="54"/>
      <c r="E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c r="AI255" s="54"/>
      <c r="AJ255" s="54"/>
      <c r="AK255" s="54"/>
      <c r="AL255" s="54"/>
      <c r="AM255" s="54"/>
      <c r="AN255" s="54"/>
      <c r="AO255" s="54"/>
      <c r="AP255" s="54"/>
      <c r="AQ255" s="54"/>
      <c r="AR255" s="54"/>
      <c r="AS255" s="54"/>
      <c r="AT255" s="54"/>
      <c r="AU255" s="54"/>
      <c r="AV255" s="54"/>
      <c r="AW255" s="54"/>
      <c r="AX255" s="54"/>
      <c r="AY255" s="54"/>
      <c r="AZ255" s="54"/>
      <c r="BA255" s="54"/>
      <c r="BB255" s="54"/>
      <c r="BC255" s="54"/>
      <c r="BD255" s="54"/>
      <c r="BE255" s="54"/>
      <c r="BF255" s="54"/>
      <c r="BG255" s="54"/>
      <c r="BH255" s="54"/>
    </row>
    <row r="256" spans="1:60" x14ac:dyDescent="0.55000000000000004">
      <c r="A256" s="54"/>
      <c r="B256" s="54"/>
      <c r="C256" s="54"/>
      <c r="D256" s="54"/>
      <c r="E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c r="AE256" s="54"/>
      <c r="AF256" s="54"/>
      <c r="AG256" s="54"/>
      <c r="AH256" s="54"/>
      <c r="AI256" s="54"/>
      <c r="AJ256" s="54"/>
      <c r="AK256" s="54"/>
      <c r="AL256" s="54"/>
      <c r="AM256" s="54"/>
      <c r="AN256" s="54"/>
      <c r="AO256" s="54"/>
      <c r="AP256" s="54"/>
      <c r="AQ256" s="54"/>
      <c r="AR256" s="54"/>
      <c r="AS256" s="54"/>
      <c r="AT256" s="54"/>
      <c r="AU256" s="54"/>
      <c r="AV256" s="54"/>
      <c r="AW256" s="54"/>
      <c r="AX256" s="54"/>
      <c r="AY256" s="54"/>
      <c r="AZ256" s="54"/>
      <c r="BA256" s="54"/>
      <c r="BB256" s="54"/>
      <c r="BC256" s="54"/>
      <c r="BD256" s="54"/>
      <c r="BE256" s="54"/>
      <c r="BF256" s="54"/>
      <c r="BG256" s="54"/>
      <c r="BH256" s="54"/>
    </row>
    <row r="257" spans="1:60" x14ac:dyDescent="0.55000000000000004">
      <c r="A257" s="54"/>
      <c r="B257" s="54"/>
      <c r="C257" s="54"/>
      <c r="D257" s="54"/>
      <c r="E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4"/>
      <c r="AK257" s="54"/>
      <c r="AL257" s="54"/>
      <c r="AM257" s="54"/>
      <c r="AN257" s="54"/>
      <c r="AO257" s="54"/>
      <c r="AP257" s="54"/>
      <c r="AQ257" s="54"/>
      <c r="AR257" s="54"/>
      <c r="AS257" s="54"/>
      <c r="AT257" s="54"/>
      <c r="AU257" s="54"/>
      <c r="AV257" s="54"/>
      <c r="AW257" s="54"/>
      <c r="AX257" s="54"/>
      <c r="AY257" s="54"/>
      <c r="AZ257" s="54"/>
      <c r="BA257" s="54"/>
      <c r="BB257" s="54"/>
      <c r="BC257" s="54"/>
      <c r="BD257" s="54"/>
      <c r="BE257" s="54"/>
      <c r="BF257" s="54"/>
      <c r="BG257" s="54"/>
      <c r="BH257" s="54"/>
    </row>
    <row r="258" spans="1:60" x14ac:dyDescent="0.55000000000000004">
      <c r="A258" s="54"/>
      <c r="B258" s="54"/>
      <c r="C258" s="54"/>
      <c r="D258" s="54"/>
      <c r="E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c r="AE258" s="54"/>
      <c r="AF258" s="54"/>
      <c r="AG258" s="54"/>
      <c r="AH258" s="54"/>
      <c r="AI258" s="54"/>
      <c r="AJ258" s="54"/>
      <c r="AK258" s="54"/>
      <c r="AL258" s="54"/>
      <c r="AM258" s="54"/>
      <c r="AN258" s="54"/>
      <c r="AO258" s="54"/>
      <c r="AP258" s="54"/>
      <c r="AQ258" s="54"/>
      <c r="AR258" s="54"/>
      <c r="AS258" s="54"/>
      <c r="AT258" s="54"/>
      <c r="AU258" s="54"/>
      <c r="AV258" s="54"/>
      <c r="AW258" s="54"/>
      <c r="AX258" s="54"/>
      <c r="AY258" s="54"/>
      <c r="AZ258" s="54"/>
      <c r="BA258" s="54"/>
      <c r="BB258" s="54"/>
      <c r="BC258" s="54"/>
      <c r="BD258" s="54"/>
      <c r="BE258" s="54"/>
      <c r="BF258" s="54"/>
      <c r="BG258" s="54"/>
      <c r="BH258" s="54"/>
    </row>
    <row r="259" spans="1:60" x14ac:dyDescent="0.55000000000000004">
      <c r="A259" s="54"/>
      <c r="B259" s="54"/>
      <c r="C259" s="54"/>
      <c r="D259" s="54"/>
      <c r="E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c r="AE259" s="54"/>
      <c r="AF259" s="54"/>
      <c r="AG259" s="54"/>
      <c r="AH259" s="54"/>
      <c r="AI259" s="54"/>
      <c r="AJ259" s="54"/>
      <c r="AK259" s="54"/>
      <c r="AL259" s="54"/>
      <c r="AM259" s="54"/>
      <c r="AN259" s="54"/>
      <c r="AO259" s="54"/>
      <c r="AP259" s="54"/>
      <c r="AQ259" s="54"/>
      <c r="AR259" s="54"/>
      <c r="AS259" s="54"/>
      <c r="AT259" s="54"/>
      <c r="AU259" s="54"/>
      <c r="AV259" s="54"/>
      <c r="AW259" s="54"/>
      <c r="AX259" s="54"/>
      <c r="AY259" s="54"/>
      <c r="AZ259" s="54"/>
      <c r="BA259" s="54"/>
      <c r="BB259" s="54"/>
      <c r="BC259" s="54"/>
      <c r="BD259" s="54"/>
      <c r="BE259" s="54"/>
      <c r="BF259" s="54"/>
      <c r="BG259" s="54"/>
      <c r="BH259" s="54"/>
    </row>
    <row r="260" spans="1:60" x14ac:dyDescent="0.55000000000000004">
      <c r="A260" s="54"/>
      <c r="B260" s="54"/>
      <c r="C260" s="54"/>
      <c r="D260" s="54"/>
      <c r="E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c r="AE260" s="54"/>
      <c r="AF260" s="54"/>
      <c r="AG260" s="54"/>
      <c r="AH260" s="54"/>
      <c r="AI260" s="54"/>
      <c r="AJ260" s="54"/>
      <c r="AK260" s="54"/>
      <c r="AL260" s="54"/>
      <c r="AM260" s="54"/>
      <c r="AN260" s="54"/>
      <c r="AO260" s="54"/>
      <c r="AP260" s="54"/>
      <c r="AQ260" s="54"/>
      <c r="AR260" s="54"/>
      <c r="AS260" s="54"/>
      <c r="AT260" s="54"/>
      <c r="AU260" s="54"/>
      <c r="AV260" s="54"/>
      <c r="AW260" s="54"/>
      <c r="AX260" s="54"/>
      <c r="AY260" s="54"/>
      <c r="AZ260" s="54"/>
      <c r="BA260" s="54"/>
      <c r="BB260" s="54"/>
      <c r="BC260" s="54"/>
      <c r="BD260" s="54"/>
      <c r="BE260" s="54"/>
      <c r="BF260" s="54"/>
      <c r="BG260" s="54"/>
      <c r="BH260" s="54"/>
    </row>
    <row r="261" spans="1:60" x14ac:dyDescent="0.55000000000000004">
      <c r="A261" s="54"/>
      <c r="B261" s="54"/>
      <c r="C261" s="54"/>
      <c r="D261" s="54"/>
      <c r="E261" s="54"/>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c r="AD261" s="54"/>
      <c r="AE261" s="54"/>
      <c r="AF261" s="54"/>
      <c r="AG261" s="54"/>
      <c r="AH261" s="54"/>
      <c r="AI261" s="54"/>
      <c r="AJ261" s="54"/>
      <c r="AK261" s="54"/>
      <c r="AL261" s="54"/>
      <c r="AM261" s="54"/>
      <c r="AN261" s="54"/>
      <c r="AO261" s="54"/>
      <c r="AP261" s="54"/>
      <c r="AQ261" s="54"/>
      <c r="AR261" s="54"/>
      <c r="AS261" s="54"/>
      <c r="AT261" s="54"/>
      <c r="AU261" s="54"/>
      <c r="AV261" s="54"/>
      <c r="AW261" s="54"/>
      <c r="AX261" s="54"/>
      <c r="AY261" s="54"/>
      <c r="AZ261" s="54"/>
      <c r="BA261" s="54"/>
      <c r="BB261" s="54"/>
      <c r="BC261" s="54"/>
      <c r="BD261" s="54"/>
      <c r="BE261" s="54"/>
      <c r="BF261" s="54"/>
      <c r="BG261" s="54"/>
      <c r="BH261" s="54"/>
    </row>
    <row r="262" spans="1:60" x14ac:dyDescent="0.55000000000000004">
      <c r="A262" s="54"/>
      <c r="B262" s="54"/>
      <c r="C262" s="54"/>
      <c r="D262" s="54"/>
      <c r="E262" s="54"/>
      <c r="G262" s="54"/>
      <c r="H262" s="54"/>
      <c r="I262" s="54"/>
      <c r="J262" s="54"/>
      <c r="K262" s="54"/>
      <c r="L262" s="54"/>
      <c r="M262" s="54"/>
      <c r="N262" s="54"/>
      <c r="O262" s="54"/>
      <c r="P262" s="54"/>
      <c r="Q262" s="54"/>
      <c r="R262" s="54"/>
      <c r="S262" s="54"/>
      <c r="T262" s="54"/>
      <c r="U262" s="54"/>
      <c r="V262" s="54"/>
      <c r="W262" s="54"/>
      <c r="X262" s="54"/>
      <c r="Y262" s="54"/>
      <c r="Z262" s="54"/>
      <c r="AA262" s="54"/>
      <c r="AB262" s="54"/>
      <c r="AC262" s="54"/>
      <c r="AD262" s="54"/>
      <c r="AE262" s="54"/>
      <c r="AF262" s="54"/>
      <c r="AG262" s="54"/>
      <c r="AH262" s="54"/>
      <c r="AI262" s="54"/>
      <c r="AJ262" s="54"/>
      <c r="AK262" s="54"/>
      <c r="AL262" s="54"/>
      <c r="AM262" s="54"/>
      <c r="AN262" s="54"/>
      <c r="AO262" s="54"/>
      <c r="AP262" s="54"/>
      <c r="AQ262" s="54"/>
      <c r="AR262" s="54"/>
      <c r="AS262" s="54"/>
      <c r="AT262" s="54"/>
      <c r="AU262" s="54"/>
      <c r="AV262" s="54"/>
      <c r="AW262" s="54"/>
      <c r="AX262" s="54"/>
      <c r="AY262" s="54"/>
      <c r="AZ262" s="54"/>
      <c r="BA262" s="54"/>
      <c r="BB262" s="54"/>
      <c r="BC262" s="54"/>
      <c r="BD262" s="54"/>
      <c r="BE262" s="54"/>
      <c r="BF262" s="54"/>
      <c r="BG262" s="54"/>
      <c r="BH262" s="54"/>
    </row>
    <row r="263" spans="1:60" x14ac:dyDescent="0.55000000000000004">
      <c r="A263" s="54"/>
      <c r="B263" s="54"/>
      <c r="C263" s="54"/>
      <c r="D263" s="54"/>
      <c r="E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c r="AM263" s="54"/>
      <c r="AN263" s="54"/>
      <c r="AO263" s="54"/>
      <c r="AP263" s="54"/>
      <c r="AQ263" s="54"/>
      <c r="AR263" s="54"/>
      <c r="AS263" s="54"/>
      <c r="AT263" s="54"/>
      <c r="AU263" s="54"/>
      <c r="AV263" s="54"/>
      <c r="AW263" s="54"/>
      <c r="AX263" s="54"/>
      <c r="AY263" s="54"/>
      <c r="AZ263" s="54"/>
      <c r="BA263" s="54"/>
      <c r="BB263" s="54"/>
      <c r="BC263" s="54"/>
      <c r="BD263" s="54"/>
      <c r="BE263" s="54"/>
      <c r="BF263" s="54"/>
      <c r="BG263" s="54"/>
      <c r="BH263" s="54"/>
    </row>
    <row r="264" spans="1:60" x14ac:dyDescent="0.55000000000000004">
      <c r="A264" s="54"/>
      <c r="B264" s="54"/>
      <c r="C264" s="54"/>
      <c r="D264" s="54"/>
      <c r="E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c r="AM264" s="54"/>
      <c r="AN264" s="54"/>
      <c r="AO264" s="54"/>
      <c r="AP264" s="54"/>
      <c r="AQ264" s="54"/>
      <c r="AR264" s="54"/>
      <c r="AS264" s="54"/>
      <c r="AT264" s="54"/>
      <c r="AU264" s="54"/>
      <c r="AV264" s="54"/>
      <c r="AW264" s="54"/>
      <c r="AX264" s="54"/>
      <c r="AY264" s="54"/>
      <c r="AZ264" s="54"/>
      <c r="BA264" s="54"/>
      <c r="BB264" s="54"/>
      <c r="BC264" s="54"/>
      <c r="BD264" s="54"/>
      <c r="BE264" s="54"/>
      <c r="BF264" s="54"/>
      <c r="BG264" s="54"/>
      <c r="BH264" s="54"/>
    </row>
    <row r="265" spans="1:60" x14ac:dyDescent="0.55000000000000004">
      <c r="A265" s="54"/>
      <c r="B265" s="54"/>
      <c r="C265" s="54"/>
      <c r="D265" s="54"/>
      <c r="E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c r="AE265" s="54"/>
      <c r="AF265" s="54"/>
      <c r="AG265" s="54"/>
      <c r="AH265" s="54"/>
      <c r="AI265" s="54"/>
      <c r="AJ265" s="54"/>
      <c r="AK265" s="54"/>
      <c r="AL265" s="54"/>
      <c r="AM265" s="54"/>
      <c r="AN265" s="54"/>
      <c r="AO265" s="54"/>
      <c r="AP265" s="54"/>
      <c r="AQ265" s="54"/>
      <c r="AR265" s="54"/>
      <c r="AS265" s="54"/>
      <c r="AT265" s="54"/>
      <c r="AU265" s="54"/>
      <c r="AV265" s="54"/>
      <c r="AW265" s="54"/>
      <c r="AX265" s="54"/>
      <c r="AY265" s="54"/>
      <c r="AZ265" s="54"/>
      <c r="BA265" s="54"/>
      <c r="BB265" s="54"/>
      <c r="BC265" s="54"/>
      <c r="BD265" s="54"/>
      <c r="BE265" s="54"/>
      <c r="BF265" s="54"/>
      <c r="BG265" s="54"/>
      <c r="BH265" s="54"/>
    </row>
    <row r="266" spans="1:60" x14ac:dyDescent="0.55000000000000004">
      <c r="A266" s="54"/>
      <c r="B266" s="54"/>
      <c r="C266" s="54"/>
      <c r="D266" s="54"/>
      <c r="E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c r="AE266" s="54"/>
      <c r="AF266" s="54"/>
      <c r="AG266" s="54"/>
      <c r="AH266" s="54"/>
      <c r="AI266" s="54"/>
      <c r="AJ266" s="54"/>
      <c r="AK266" s="54"/>
      <c r="AL266" s="54"/>
      <c r="AM266" s="54"/>
      <c r="AN266" s="54"/>
      <c r="AO266" s="54"/>
      <c r="AP266" s="54"/>
      <c r="AQ266" s="54"/>
      <c r="AR266" s="54"/>
      <c r="AS266" s="54"/>
      <c r="AT266" s="54"/>
      <c r="AU266" s="54"/>
      <c r="AV266" s="54"/>
      <c r="AW266" s="54"/>
      <c r="AX266" s="54"/>
      <c r="AY266" s="54"/>
      <c r="AZ266" s="54"/>
      <c r="BA266" s="54"/>
      <c r="BB266" s="54"/>
      <c r="BC266" s="54"/>
      <c r="BD266" s="54"/>
      <c r="BE266" s="54"/>
      <c r="BF266" s="54"/>
      <c r="BG266" s="54"/>
      <c r="BH266" s="54"/>
    </row>
    <row r="267" spans="1:60" x14ac:dyDescent="0.55000000000000004">
      <c r="A267" s="54"/>
      <c r="B267" s="54"/>
      <c r="C267" s="54"/>
      <c r="D267" s="54"/>
      <c r="E267" s="54"/>
      <c r="G267" s="54"/>
      <c r="H267" s="54"/>
      <c r="I267" s="54"/>
      <c r="J267" s="54"/>
      <c r="K267" s="54"/>
      <c r="L267" s="54"/>
      <c r="M267" s="54"/>
      <c r="N267" s="54"/>
      <c r="O267" s="54"/>
      <c r="P267" s="54"/>
      <c r="Q267" s="54"/>
      <c r="R267" s="54"/>
      <c r="S267" s="54"/>
      <c r="T267" s="54"/>
      <c r="U267" s="54"/>
      <c r="V267" s="54"/>
      <c r="W267" s="54"/>
      <c r="X267" s="54"/>
      <c r="Y267" s="54"/>
      <c r="Z267" s="54"/>
      <c r="AA267" s="54"/>
      <c r="AB267" s="54"/>
      <c r="AC267" s="54"/>
      <c r="AD267" s="54"/>
      <c r="AE267" s="54"/>
      <c r="AF267" s="54"/>
      <c r="AG267" s="54"/>
      <c r="AH267" s="54"/>
      <c r="AI267" s="54"/>
      <c r="AJ267" s="54"/>
      <c r="AK267" s="54"/>
      <c r="AL267" s="54"/>
      <c r="AM267" s="54"/>
      <c r="AN267" s="54"/>
      <c r="AO267" s="54"/>
      <c r="AP267" s="54"/>
      <c r="AQ267" s="54"/>
      <c r="AR267" s="54"/>
      <c r="AS267" s="54"/>
      <c r="AT267" s="54"/>
      <c r="AU267" s="54"/>
      <c r="AV267" s="54"/>
      <c r="AW267" s="54"/>
      <c r="AX267" s="54"/>
      <c r="AY267" s="54"/>
      <c r="AZ267" s="54"/>
      <c r="BA267" s="54"/>
      <c r="BB267" s="54"/>
      <c r="BC267" s="54"/>
      <c r="BD267" s="54"/>
      <c r="BE267" s="54"/>
      <c r="BF267" s="54"/>
      <c r="BG267" s="54"/>
      <c r="BH267" s="54"/>
    </row>
    <row r="268" spans="1:60" x14ac:dyDescent="0.55000000000000004">
      <c r="A268" s="54"/>
      <c r="B268" s="54"/>
      <c r="C268" s="54"/>
      <c r="D268" s="54"/>
      <c r="E268" s="54"/>
      <c r="G268" s="54"/>
      <c r="H268" s="54"/>
      <c r="I268" s="54"/>
      <c r="J268" s="54"/>
      <c r="K268" s="54"/>
      <c r="L268" s="54"/>
      <c r="M268" s="54"/>
      <c r="N268" s="54"/>
      <c r="O268" s="54"/>
      <c r="P268" s="54"/>
      <c r="Q268" s="54"/>
      <c r="R268" s="54"/>
      <c r="S268" s="54"/>
      <c r="T268" s="54"/>
      <c r="U268" s="54"/>
      <c r="V268" s="54"/>
      <c r="W268" s="54"/>
      <c r="X268" s="54"/>
      <c r="Y268" s="54"/>
      <c r="Z268" s="54"/>
      <c r="AA268" s="54"/>
      <c r="AB268" s="54"/>
      <c r="AC268" s="54"/>
      <c r="AD268" s="54"/>
      <c r="AE268" s="54"/>
      <c r="AF268" s="54"/>
      <c r="AG268" s="54"/>
      <c r="AH268" s="54"/>
      <c r="AI268" s="54"/>
      <c r="AJ268" s="54"/>
      <c r="AK268" s="54"/>
      <c r="AL268" s="54"/>
      <c r="AM268" s="54"/>
      <c r="AN268" s="54"/>
      <c r="AO268" s="54"/>
      <c r="AP268" s="54"/>
      <c r="AQ268" s="54"/>
      <c r="AR268" s="54"/>
      <c r="AS268" s="54"/>
      <c r="AT268" s="54"/>
      <c r="AU268" s="54"/>
      <c r="AV268" s="54"/>
      <c r="AW268" s="54"/>
      <c r="AX268" s="54"/>
      <c r="AY268" s="54"/>
      <c r="AZ268" s="54"/>
      <c r="BA268" s="54"/>
      <c r="BB268" s="54"/>
      <c r="BC268" s="54"/>
      <c r="BD268" s="54"/>
      <c r="BE268" s="54"/>
      <c r="BF268" s="54"/>
      <c r="BG268" s="54"/>
      <c r="BH268" s="54"/>
    </row>
    <row r="269" spans="1:60" x14ac:dyDescent="0.55000000000000004">
      <c r="A269" s="54"/>
      <c r="B269" s="54"/>
      <c r="C269" s="54"/>
      <c r="D269" s="54"/>
      <c r="E269" s="54"/>
      <c r="G269" s="54"/>
      <c r="H269" s="54"/>
      <c r="I269" s="54"/>
      <c r="J269" s="54"/>
      <c r="K269" s="54"/>
      <c r="L269" s="54"/>
      <c r="M269" s="54"/>
      <c r="N269" s="54"/>
      <c r="O269" s="54"/>
      <c r="P269" s="54"/>
      <c r="Q269" s="54"/>
      <c r="R269" s="54"/>
      <c r="S269" s="54"/>
      <c r="T269" s="54"/>
      <c r="U269" s="54"/>
      <c r="V269" s="54"/>
      <c r="W269" s="54"/>
      <c r="X269" s="54"/>
      <c r="Y269" s="54"/>
      <c r="Z269" s="54"/>
      <c r="AA269" s="54"/>
      <c r="AB269" s="54"/>
      <c r="AC269" s="54"/>
      <c r="AD269" s="54"/>
      <c r="AE269" s="54"/>
      <c r="AF269" s="54"/>
      <c r="AG269" s="54"/>
      <c r="AH269" s="54"/>
      <c r="AI269" s="54"/>
      <c r="AJ269" s="54"/>
      <c r="AK269" s="54"/>
      <c r="AL269" s="54"/>
      <c r="AM269" s="54"/>
      <c r="AN269" s="54"/>
      <c r="AO269" s="54"/>
      <c r="AP269" s="54"/>
      <c r="AQ269" s="54"/>
      <c r="AR269" s="54"/>
      <c r="AS269" s="54"/>
      <c r="AT269" s="54"/>
      <c r="AU269" s="54"/>
      <c r="AV269" s="54"/>
      <c r="AW269" s="54"/>
      <c r="AX269" s="54"/>
      <c r="AY269" s="54"/>
      <c r="AZ269" s="54"/>
      <c r="BA269" s="54"/>
      <c r="BB269" s="54"/>
      <c r="BC269" s="54"/>
      <c r="BD269" s="54"/>
      <c r="BE269" s="54"/>
      <c r="BF269" s="54"/>
      <c r="BG269" s="54"/>
      <c r="BH269" s="54"/>
    </row>
    <row r="270" spans="1:60" x14ac:dyDescent="0.55000000000000004">
      <c r="A270" s="54"/>
      <c r="B270" s="54"/>
      <c r="C270" s="54"/>
      <c r="D270" s="54"/>
      <c r="E270" s="54"/>
      <c r="G270" s="54"/>
      <c r="H270" s="54"/>
      <c r="I270" s="54"/>
      <c r="J270" s="54"/>
      <c r="K270" s="54"/>
      <c r="L270" s="54"/>
      <c r="M270" s="54"/>
      <c r="N270" s="54"/>
      <c r="O270" s="54"/>
      <c r="P270" s="54"/>
      <c r="Q270" s="54"/>
      <c r="R270" s="54"/>
      <c r="S270" s="54"/>
      <c r="T270" s="54"/>
      <c r="U270" s="54"/>
      <c r="V270" s="54"/>
      <c r="W270" s="54"/>
      <c r="X270" s="54"/>
      <c r="Y270" s="54"/>
      <c r="Z270" s="54"/>
      <c r="AA270" s="54"/>
      <c r="AB270" s="54"/>
      <c r="AC270" s="54"/>
      <c r="AD270" s="54"/>
      <c r="AE270" s="54"/>
      <c r="AF270" s="54"/>
      <c r="AG270" s="54"/>
      <c r="AH270" s="54"/>
      <c r="AI270" s="54"/>
      <c r="AJ270" s="54"/>
      <c r="AK270" s="54"/>
      <c r="AL270" s="54"/>
      <c r="AM270" s="54"/>
      <c r="AN270" s="54"/>
      <c r="AO270" s="54"/>
      <c r="AP270" s="54"/>
      <c r="AQ270" s="54"/>
      <c r="AR270" s="54"/>
      <c r="AS270" s="54"/>
      <c r="AT270" s="54"/>
      <c r="AU270" s="54"/>
      <c r="AV270" s="54"/>
      <c r="AW270" s="54"/>
      <c r="AX270" s="54"/>
      <c r="AY270" s="54"/>
      <c r="AZ270" s="54"/>
      <c r="BA270" s="54"/>
      <c r="BB270" s="54"/>
      <c r="BC270" s="54"/>
      <c r="BD270" s="54"/>
      <c r="BE270" s="54"/>
      <c r="BF270" s="54"/>
      <c r="BG270" s="54"/>
      <c r="BH270" s="54"/>
    </row>
    <row r="271" spans="1:60" x14ac:dyDescent="0.55000000000000004">
      <c r="A271" s="54"/>
      <c r="B271" s="54"/>
      <c r="C271" s="54"/>
      <c r="D271" s="54"/>
      <c r="E271" s="54"/>
      <c r="G271" s="54"/>
      <c r="H271" s="54"/>
      <c r="I271" s="54"/>
      <c r="J271" s="54"/>
      <c r="K271" s="54"/>
      <c r="L271" s="54"/>
      <c r="M271" s="54"/>
      <c r="N271" s="54"/>
      <c r="O271" s="54"/>
      <c r="P271" s="54"/>
      <c r="Q271" s="54"/>
      <c r="R271" s="54"/>
      <c r="S271" s="54"/>
      <c r="T271" s="54"/>
      <c r="U271" s="54"/>
      <c r="V271" s="54"/>
      <c r="W271" s="54"/>
      <c r="X271" s="54"/>
      <c r="Y271" s="54"/>
      <c r="Z271" s="54"/>
      <c r="AA271" s="54"/>
      <c r="AB271" s="54"/>
      <c r="AC271" s="54"/>
      <c r="AD271" s="54"/>
      <c r="AE271" s="54"/>
      <c r="AF271" s="54"/>
      <c r="AG271" s="54"/>
      <c r="AH271" s="54"/>
      <c r="AI271" s="54"/>
      <c r="AJ271" s="54"/>
      <c r="AK271" s="54"/>
      <c r="AL271" s="54"/>
      <c r="AM271" s="54"/>
      <c r="AN271" s="54"/>
      <c r="AO271" s="54"/>
      <c r="AP271" s="54"/>
      <c r="AQ271" s="54"/>
      <c r="AR271" s="54"/>
      <c r="AS271" s="54"/>
      <c r="AT271" s="54"/>
      <c r="AU271" s="54"/>
      <c r="AV271" s="54"/>
      <c r="AW271" s="54"/>
      <c r="AX271" s="54"/>
      <c r="AY271" s="54"/>
      <c r="AZ271" s="54"/>
      <c r="BA271" s="54"/>
      <c r="BB271" s="54"/>
      <c r="BC271" s="54"/>
      <c r="BD271" s="54"/>
      <c r="BE271" s="54"/>
      <c r="BF271" s="54"/>
      <c r="BG271" s="54"/>
      <c r="BH271" s="54"/>
    </row>
    <row r="272" spans="1:60" x14ac:dyDescent="0.55000000000000004">
      <c r="A272" s="54"/>
      <c r="B272" s="54"/>
      <c r="C272" s="54"/>
      <c r="D272" s="54"/>
      <c r="E272" s="54"/>
      <c r="G272" s="54"/>
      <c r="H272" s="54"/>
      <c r="I272" s="54"/>
      <c r="J272" s="54"/>
      <c r="K272" s="54"/>
      <c r="L272" s="54"/>
      <c r="M272" s="54"/>
      <c r="N272" s="54"/>
      <c r="O272" s="54"/>
      <c r="P272" s="54"/>
      <c r="Q272" s="54"/>
      <c r="R272" s="54"/>
      <c r="S272" s="54"/>
      <c r="T272" s="54"/>
      <c r="U272" s="54"/>
      <c r="V272" s="54"/>
      <c r="W272" s="54"/>
      <c r="X272" s="54"/>
      <c r="Y272" s="54"/>
      <c r="Z272" s="54"/>
      <c r="AA272" s="54"/>
      <c r="AB272" s="54"/>
      <c r="AC272" s="54"/>
      <c r="AD272" s="54"/>
      <c r="AE272" s="54"/>
      <c r="AF272" s="54"/>
      <c r="AG272" s="54"/>
      <c r="AH272" s="54"/>
      <c r="AI272" s="54"/>
      <c r="AJ272" s="54"/>
      <c r="AK272" s="54"/>
      <c r="AL272" s="54"/>
      <c r="AM272" s="54"/>
      <c r="AN272" s="54"/>
      <c r="AO272" s="54"/>
      <c r="AP272" s="54"/>
      <c r="AQ272" s="54"/>
      <c r="AR272" s="54"/>
      <c r="AS272" s="54"/>
      <c r="AT272" s="54"/>
      <c r="AU272" s="54"/>
      <c r="AV272" s="54"/>
      <c r="AW272" s="54"/>
      <c r="AX272" s="54"/>
      <c r="AY272" s="54"/>
      <c r="AZ272" s="54"/>
      <c r="BA272" s="54"/>
      <c r="BB272" s="54"/>
      <c r="BC272" s="54"/>
      <c r="BD272" s="54"/>
      <c r="BE272" s="54"/>
      <c r="BF272" s="54"/>
      <c r="BG272" s="54"/>
      <c r="BH272" s="54"/>
    </row>
    <row r="273" spans="1:60" x14ac:dyDescent="0.55000000000000004">
      <c r="A273" s="54"/>
      <c r="B273" s="54"/>
      <c r="C273" s="54"/>
      <c r="D273" s="54"/>
      <c r="E273" s="54"/>
      <c r="G273" s="54"/>
      <c r="H273" s="54"/>
      <c r="I273" s="54"/>
      <c r="J273" s="54"/>
      <c r="K273" s="54"/>
      <c r="L273" s="54"/>
      <c r="M273" s="54"/>
      <c r="N273" s="54"/>
      <c r="O273" s="54"/>
      <c r="P273" s="54"/>
      <c r="Q273" s="54"/>
      <c r="R273" s="54"/>
      <c r="S273" s="54"/>
      <c r="T273" s="54"/>
      <c r="U273" s="54"/>
      <c r="V273" s="54"/>
      <c r="W273" s="54"/>
      <c r="X273" s="54"/>
      <c r="Y273" s="54"/>
      <c r="Z273" s="54"/>
      <c r="AA273" s="54"/>
      <c r="AB273" s="54"/>
      <c r="AC273" s="54"/>
      <c r="AD273" s="54"/>
      <c r="AE273" s="54"/>
      <c r="AF273" s="54"/>
      <c r="AG273" s="54"/>
      <c r="AH273" s="54"/>
      <c r="AI273" s="54"/>
      <c r="AJ273" s="54"/>
      <c r="AK273" s="54"/>
      <c r="AL273" s="54"/>
      <c r="AM273" s="54"/>
      <c r="AN273" s="54"/>
      <c r="AO273" s="54"/>
      <c r="AP273" s="54"/>
      <c r="AQ273" s="54"/>
      <c r="AR273" s="54"/>
      <c r="AS273" s="54"/>
      <c r="AT273" s="54"/>
      <c r="AU273" s="54"/>
      <c r="AV273" s="54"/>
      <c r="AW273" s="54"/>
      <c r="AX273" s="54"/>
      <c r="AY273" s="54"/>
      <c r="AZ273" s="54"/>
      <c r="BA273" s="54"/>
      <c r="BB273" s="54"/>
      <c r="BC273" s="54"/>
      <c r="BD273" s="54"/>
      <c r="BE273" s="54"/>
      <c r="BF273" s="54"/>
      <c r="BG273" s="54"/>
      <c r="BH273" s="54"/>
    </row>
    <row r="274" spans="1:60" x14ac:dyDescent="0.55000000000000004">
      <c r="A274" s="54"/>
      <c r="B274" s="54"/>
      <c r="C274" s="54"/>
      <c r="D274" s="54"/>
      <c r="E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c r="AM274" s="54"/>
      <c r="AN274" s="54"/>
      <c r="AO274" s="54"/>
      <c r="AP274" s="54"/>
      <c r="AQ274" s="54"/>
      <c r="AR274" s="54"/>
      <c r="AS274" s="54"/>
      <c r="AT274" s="54"/>
      <c r="AU274" s="54"/>
      <c r="AV274" s="54"/>
      <c r="AW274" s="54"/>
      <c r="AX274" s="54"/>
      <c r="AY274" s="54"/>
      <c r="AZ274" s="54"/>
      <c r="BA274" s="54"/>
      <c r="BB274" s="54"/>
      <c r="BC274" s="54"/>
      <c r="BD274" s="54"/>
      <c r="BE274" s="54"/>
      <c r="BF274" s="54"/>
      <c r="BG274" s="54"/>
      <c r="BH274" s="54"/>
    </row>
    <row r="275" spans="1:60" x14ac:dyDescent="0.55000000000000004">
      <c r="A275" s="54"/>
      <c r="B275" s="54"/>
      <c r="C275" s="54"/>
      <c r="D275" s="54"/>
      <c r="E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c r="AM275" s="54"/>
      <c r="AN275" s="54"/>
      <c r="AO275" s="54"/>
      <c r="AP275" s="54"/>
      <c r="AQ275" s="54"/>
      <c r="AR275" s="54"/>
      <c r="AS275" s="54"/>
      <c r="AT275" s="54"/>
      <c r="AU275" s="54"/>
      <c r="AV275" s="54"/>
      <c r="AW275" s="54"/>
      <c r="AX275" s="54"/>
      <c r="AY275" s="54"/>
      <c r="AZ275" s="54"/>
      <c r="BA275" s="54"/>
      <c r="BB275" s="54"/>
      <c r="BC275" s="54"/>
      <c r="BD275" s="54"/>
      <c r="BE275" s="54"/>
      <c r="BF275" s="54"/>
      <c r="BG275" s="54"/>
      <c r="BH275" s="54"/>
    </row>
    <row r="276" spans="1:60" x14ac:dyDescent="0.55000000000000004">
      <c r="A276" s="54"/>
      <c r="B276" s="54"/>
      <c r="C276" s="54"/>
      <c r="D276" s="54"/>
      <c r="E276" s="54"/>
      <c r="G276" s="54"/>
      <c r="H276" s="54"/>
      <c r="I276" s="54"/>
      <c r="J276" s="54"/>
      <c r="K276" s="54"/>
      <c r="L276" s="54"/>
      <c r="M276" s="54"/>
      <c r="N276" s="54"/>
      <c r="O276" s="54"/>
      <c r="P276" s="54"/>
      <c r="Q276" s="54"/>
      <c r="R276" s="54"/>
      <c r="S276" s="54"/>
      <c r="T276" s="54"/>
      <c r="U276" s="54"/>
      <c r="V276" s="54"/>
      <c r="W276" s="54"/>
      <c r="X276" s="54"/>
      <c r="Y276" s="54"/>
      <c r="Z276" s="54"/>
      <c r="AA276" s="54"/>
      <c r="AB276" s="54"/>
      <c r="AC276" s="54"/>
      <c r="AD276" s="54"/>
      <c r="AE276" s="54"/>
      <c r="AF276" s="54"/>
      <c r="AG276" s="54"/>
      <c r="AH276" s="54"/>
      <c r="AI276" s="54"/>
      <c r="AJ276" s="54"/>
      <c r="AK276" s="54"/>
      <c r="AL276" s="54"/>
      <c r="AM276" s="54"/>
      <c r="AN276" s="54"/>
      <c r="AO276" s="54"/>
      <c r="AP276" s="54"/>
      <c r="AQ276" s="54"/>
      <c r="AR276" s="54"/>
      <c r="AS276" s="54"/>
      <c r="AT276" s="54"/>
      <c r="AU276" s="54"/>
      <c r="AV276" s="54"/>
      <c r="AW276" s="54"/>
      <c r="AX276" s="54"/>
      <c r="AY276" s="54"/>
      <c r="AZ276" s="54"/>
      <c r="BA276" s="54"/>
      <c r="BB276" s="54"/>
      <c r="BC276" s="54"/>
      <c r="BD276" s="54"/>
      <c r="BE276" s="54"/>
      <c r="BF276" s="54"/>
      <c r="BG276" s="54"/>
      <c r="BH276" s="54"/>
    </row>
    <row r="277" spans="1:60" x14ac:dyDescent="0.55000000000000004">
      <c r="A277" s="54"/>
      <c r="B277" s="54"/>
      <c r="C277" s="54"/>
      <c r="D277" s="54"/>
      <c r="E277" s="54"/>
      <c r="G277" s="54"/>
      <c r="H277" s="54"/>
      <c r="I277" s="54"/>
      <c r="J277" s="54"/>
      <c r="K277" s="54"/>
      <c r="L277" s="54"/>
      <c r="M277" s="54"/>
      <c r="N277" s="54"/>
      <c r="O277" s="54"/>
      <c r="P277" s="54"/>
      <c r="Q277" s="54"/>
      <c r="R277" s="54"/>
      <c r="S277" s="54"/>
      <c r="T277" s="54"/>
      <c r="U277" s="54"/>
      <c r="V277" s="54"/>
      <c r="W277" s="54"/>
      <c r="X277" s="54"/>
      <c r="Y277" s="54"/>
      <c r="Z277" s="54"/>
      <c r="AA277" s="54"/>
      <c r="AB277" s="54"/>
      <c r="AC277" s="54"/>
      <c r="AD277" s="54"/>
      <c r="AE277" s="54"/>
      <c r="AF277" s="54"/>
      <c r="AG277" s="54"/>
      <c r="AH277" s="54"/>
      <c r="AI277" s="54"/>
      <c r="AJ277" s="54"/>
      <c r="AK277" s="54"/>
      <c r="AL277" s="54"/>
      <c r="AM277" s="54"/>
      <c r="AN277" s="54"/>
      <c r="AO277" s="54"/>
      <c r="AP277" s="54"/>
      <c r="AQ277" s="54"/>
      <c r="AR277" s="54"/>
      <c r="AS277" s="54"/>
      <c r="AT277" s="54"/>
      <c r="AU277" s="54"/>
      <c r="AV277" s="54"/>
      <c r="AW277" s="54"/>
      <c r="AX277" s="54"/>
      <c r="AY277" s="54"/>
      <c r="AZ277" s="54"/>
      <c r="BA277" s="54"/>
      <c r="BB277" s="54"/>
      <c r="BC277" s="54"/>
      <c r="BD277" s="54"/>
      <c r="BE277" s="54"/>
      <c r="BF277" s="54"/>
      <c r="BG277" s="54"/>
      <c r="BH277" s="54"/>
    </row>
    <row r="278" spans="1:60" x14ac:dyDescent="0.55000000000000004">
      <c r="A278" s="54"/>
      <c r="B278" s="54"/>
      <c r="C278" s="54"/>
      <c r="D278" s="54"/>
      <c r="E278" s="54"/>
      <c r="G278" s="54"/>
      <c r="H278" s="54"/>
      <c r="I278" s="54"/>
      <c r="J278" s="54"/>
      <c r="K278" s="54"/>
      <c r="L278" s="54"/>
      <c r="M278" s="54"/>
      <c r="N278" s="54"/>
      <c r="O278" s="54"/>
      <c r="P278" s="54"/>
      <c r="Q278" s="54"/>
      <c r="R278" s="54"/>
      <c r="S278" s="54"/>
      <c r="T278" s="54"/>
      <c r="U278" s="54"/>
      <c r="V278" s="54"/>
      <c r="W278" s="54"/>
      <c r="X278" s="54"/>
      <c r="Y278" s="54"/>
      <c r="Z278" s="54"/>
      <c r="AA278" s="54"/>
      <c r="AB278" s="54"/>
      <c r="AC278" s="54"/>
      <c r="AD278" s="54"/>
      <c r="AE278" s="54"/>
      <c r="AF278" s="54"/>
      <c r="AG278" s="54"/>
      <c r="AH278" s="54"/>
      <c r="AI278" s="54"/>
      <c r="AJ278" s="54"/>
      <c r="AK278" s="54"/>
      <c r="AL278" s="54"/>
      <c r="AM278" s="54"/>
      <c r="AN278" s="54"/>
      <c r="AO278" s="54"/>
      <c r="AP278" s="54"/>
      <c r="AQ278" s="54"/>
      <c r="AR278" s="54"/>
      <c r="AS278" s="54"/>
      <c r="AT278" s="54"/>
      <c r="AU278" s="54"/>
      <c r="AV278" s="54"/>
      <c r="AW278" s="54"/>
      <c r="AX278" s="54"/>
      <c r="AY278" s="54"/>
      <c r="AZ278" s="54"/>
      <c r="BA278" s="54"/>
      <c r="BB278" s="54"/>
      <c r="BC278" s="54"/>
      <c r="BD278" s="54"/>
      <c r="BE278" s="54"/>
      <c r="BF278" s="54"/>
      <c r="BG278" s="54"/>
      <c r="BH278" s="54"/>
    </row>
    <row r="279" spans="1:60" x14ac:dyDescent="0.55000000000000004">
      <c r="A279" s="54"/>
      <c r="B279" s="54"/>
      <c r="C279" s="54"/>
      <c r="D279" s="54"/>
      <c r="E279" s="54"/>
      <c r="G279" s="54"/>
      <c r="H279" s="54"/>
      <c r="I279" s="54"/>
      <c r="J279" s="54"/>
      <c r="K279" s="54"/>
      <c r="L279" s="54"/>
      <c r="M279" s="54"/>
      <c r="N279" s="54"/>
      <c r="O279" s="54"/>
      <c r="P279" s="54"/>
      <c r="Q279" s="54"/>
      <c r="R279" s="54"/>
      <c r="S279" s="54"/>
      <c r="T279" s="54"/>
      <c r="U279" s="54"/>
      <c r="V279" s="54"/>
      <c r="W279" s="54"/>
      <c r="X279" s="54"/>
      <c r="Y279" s="54"/>
      <c r="Z279" s="54"/>
      <c r="AA279" s="54"/>
      <c r="AB279" s="54"/>
      <c r="AC279" s="54"/>
      <c r="AD279" s="54"/>
      <c r="AE279" s="54"/>
      <c r="AF279" s="54"/>
      <c r="AG279" s="54"/>
      <c r="AH279" s="54"/>
      <c r="AI279" s="54"/>
      <c r="AJ279" s="54"/>
      <c r="AK279" s="54"/>
      <c r="AL279" s="54"/>
      <c r="AM279" s="54"/>
      <c r="AN279" s="54"/>
      <c r="AO279" s="54"/>
      <c r="AP279" s="54"/>
      <c r="AQ279" s="54"/>
      <c r="AR279" s="54"/>
      <c r="AS279" s="54"/>
      <c r="AT279" s="54"/>
      <c r="AU279" s="54"/>
      <c r="AV279" s="54"/>
      <c r="AW279" s="54"/>
      <c r="AX279" s="54"/>
      <c r="AY279" s="54"/>
      <c r="AZ279" s="54"/>
      <c r="BA279" s="54"/>
      <c r="BB279" s="54"/>
      <c r="BC279" s="54"/>
      <c r="BD279" s="54"/>
      <c r="BE279" s="54"/>
      <c r="BF279" s="54"/>
      <c r="BG279" s="54"/>
      <c r="BH279" s="54"/>
    </row>
    <row r="280" spans="1:60" x14ac:dyDescent="0.55000000000000004">
      <c r="A280" s="54"/>
      <c r="B280" s="54"/>
      <c r="C280" s="54"/>
      <c r="D280" s="54"/>
      <c r="E280" s="54"/>
      <c r="G280" s="54"/>
      <c r="H280" s="54"/>
      <c r="I280" s="54"/>
      <c r="J280" s="54"/>
      <c r="K280" s="54"/>
      <c r="L280" s="54"/>
      <c r="M280" s="54"/>
      <c r="N280" s="54"/>
      <c r="O280" s="54"/>
      <c r="P280" s="54"/>
      <c r="Q280" s="54"/>
      <c r="R280" s="54"/>
      <c r="S280" s="54"/>
      <c r="T280" s="54"/>
      <c r="U280" s="54"/>
      <c r="V280" s="54"/>
      <c r="W280" s="54"/>
      <c r="X280" s="54"/>
      <c r="Y280" s="54"/>
      <c r="Z280" s="54"/>
      <c r="AA280" s="54"/>
      <c r="AB280" s="54"/>
      <c r="AC280" s="54"/>
      <c r="AD280" s="54"/>
      <c r="AE280" s="54"/>
      <c r="AF280" s="54"/>
      <c r="AG280" s="54"/>
      <c r="AH280" s="54"/>
      <c r="AI280" s="54"/>
      <c r="AJ280" s="54"/>
      <c r="AK280" s="54"/>
      <c r="AL280" s="54"/>
      <c r="AM280" s="54"/>
      <c r="AN280" s="54"/>
      <c r="AO280" s="54"/>
      <c r="AP280" s="54"/>
      <c r="AQ280" s="54"/>
      <c r="AR280" s="54"/>
      <c r="AS280" s="54"/>
      <c r="AT280" s="54"/>
      <c r="AU280" s="54"/>
      <c r="AV280" s="54"/>
      <c r="AW280" s="54"/>
      <c r="AX280" s="54"/>
      <c r="AY280" s="54"/>
      <c r="AZ280" s="54"/>
      <c r="BA280" s="54"/>
      <c r="BB280" s="54"/>
      <c r="BC280" s="54"/>
      <c r="BD280" s="54"/>
      <c r="BE280" s="54"/>
      <c r="BF280" s="54"/>
      <c r="BG280" s="54"/>
      <c r="BH280" s="54"/>
    </row>
    <row r="281" spans="1:60" x14ac:dyDescent="0.55000000000000004">
      <c r="A281" s="54"/>
      <c r="B281" s="54"/>
      <c r="C281" s="54"/>
      <c r="D281" s="54"/>
      <c r="E281" s="54"/>
      <c r="G281" s="54"/>
      <c r="H281" s="54"/>
      <c r="I281" s="54"/>
      <c r="J281" s="54"/>
      <c r="K281" s="54"/>
      <c r="L281" s="54"/>
      <c r="M281" s="54"/>
      <c r="N281" s="54"/>
      <c r="O281" s="54"/>
      <c r="P281" s="54"/>
      <c r="Q281" s="54"/>
      <c r="R281" s="54"/>
      <c r="S281" s="54"/>
      <c r="T281" s="54"/>
      <c r="U281" s="54"/>
      <c r="V281" s="54"/>
      <c r="W281" s="54"/>
      <c r="X281" s="54"/>
      <c r="Y281" s="54"/>
      <c r="Z281" s="54"/>
      <c r="AA281" s="54"/>
      <c r="AB281" s="54"/>
      <c r="AC281" s="54"/>
      <c r="AD281" s="54"/>
      <c r="AE281" s="54"/>
      <c r="AF281" s="54"/>
      <c r="AG281" s="54"/>
      <c r="AH281" s="54"/>
      <c r="AI281" s="54"/>
      <c r="AJ281" s="54"/>
      <c r="AK281" s="54"/>
      <c r="AL281" s="54"/>
      <c r="AM281" s="54"/>
      <c r="AN281" s="54"/>
      <c r="AO281" s="54"/>
      <c r="AP281" s="54"/>
      <c r="AQ281" s="54"/>
      <c r="AR281" s="54"/>
      <c r="AS281" s="54"/>
      <c r="AT281" s="54"/>
      <c r="AU281" s="54"/>
      <c r="AV281" s="54"/>
      <c r="AW281" s="54"/>
      <c r="AX281" s="54"/>
      <c r="AY281" s="54"/>
      <c r="AZ281" s="54"/>
      <c r="BA281" s="54"/>
      <c r="BB281" s="54"/>
      <c r="BC281" s="54"/>
      <c r="BD281" s="54"/>
      <c r="BE281" s="54"/>
      <c r="BF281" s="54"/>
      <c r="BG281" s="54"/>
      <c r="BH281" s="54"/>
    </row>
    <row r="282" spans="1:60" x14ac:dyDescent="0.55000000000000004">
      <c r="A282" s="54"/>
      <c r="B282" s="54"/>
      <c r="C282" s="54"/>
      <c r="D282" s="54"/>
      <c r="E282" s="54"/>
      <c r="G282" s="54"/>
      <c r="H282" s="54"/>
      <c r="I282" s="54"/>
      <c r="J282" s="54"/>
      <c r="K282" s="54"/>
      <c r="L282" s="54"/>
      <c r="M282" s="54"/>
      <c r="N282" s="54"/>
      <c r="O282" s="54"/>
      <c r="P282" s="54"/>
      <c r="Q282" s="54"/>
      <c r="R282" s="54"/>
      <c r="S282" s="54"/>
      <c r="T282" s="54"/>
      <c r="U282" s="54"/>
      <c r="V282" s="54"/>
      <c r="W282" s="54"/>
      <c r="X282" s="54"/>
      <c r="Y282" s="54"/>
      <c r="Z282" s="54"/>
      <c r="AA282" s="54"/>
      <c r="AB282" s="54"/>
      <c r="AC282" s="54"/>
      <c r="AD282" s="54"/>
      <c r="AE282" s="54"/>
      <c r="AF282" s="54"/>
      <c r="AG282" s="54"/>
      <c r="AH282" s="54"/>
      <c r="AI282" s="54"/>
      <c r="AJ282" s="54"/>
      <c r="AK282" s="54"/>
      <c r="AL282" s="54"/>
      <c r="AM282" s="54"/>
      <c r="AN282" s="54"/>
      <c r="AO282" s="54"/>
      <c r="AP282" s="54"/>
      <c r="AQ282" s="54"/>
      <c r="AR282" s="54"/>
      <c r="AS282" s="54"/>
      <c r="AT282" s="54"/>
      <c r="AU282" s="54"/>
      <c r="AV282" s="54"/>
      <c r="AW282" s="54"/>
      <c r="AX282" s="54"/>
      <c r="AY282" s="54"/>
      <c r="AZ282" s="54"/>
      <c r="BA282" s="54"/>
      <c r="BB282" s="54"/>
      <c r="BC282" s="54"/>
      <c r="BD282" s="54"/>
      <c r="BE282" s="54"/>
      <c r="BF282" s="54"/>
      <c r="BG282" s="54"/>
      <c r="BH282" s="54"/>
    </row>
    <row r="283" spans="1:60" x14ac:dyDescent="0.55000000000000004">
      <c r="A283" s="54"/>
      <c r="B283" s="54"/>
      <c r="C283" s="54"/>
      <c r="D283" s="54"/>
      <c r="E283" s="54"/>
      <c r="G283" s="54"/>
      <c r="H283" s="54"/>
      <c r="I283" s="54"/>
      <c r="J283" s="54"/>
      <c r="K283" s="54"/>
      <c r="L283" s="54"/>
      <c r="M283" s="54"/>
      <c r="N283" s="54"/>
      <c r="O283" s="54"/>
      <c r="P283" s="54"/>
      <c r="Q283" s="54"/>
      <c r="R283" s="54"/>
      <c r="S283" s="54"/>
      <c r="T283" s="54"/>
      <c r="U283" s="54"/>
      <c r="V283" s="54"/>
      <c r="W283" s="54"/>
      <c r="X283" s="54"/>
      <c r="Y283" s="54"/>
      <c r="Z283" s="54"/>
      <c r="AA283" s="54"/>
      <c r="AB283" s="54"/>
      <c r="AC283" s="54"/>
      <c r="AD283" s="54"/>
      <c r="AE283" s="54"/>
      <c r="AF283" s="54"/>
      <c r="AG283" s="54"/>
      <c r="AH283" s="54"/>
      <c r="AI283" s="54"/>
      <c r="AJ283" s="54"/>
      <c r="AK283" s="54"/>
      <c r="AL283" s="54"/>
      <c r="AM283" s="54"/>
      <c r="AN283" s="54"/>
      <c r="AO283" s="54"/>
      <c r="AP283" s="54"/>
      <c r="AQ283" s="54"/>
      <c r="AR283" s="54"/>
      <c r="AS283" s="54"/>
      <c r="AT283" s="54"/>
      <c r="AU283" s="54"/>
      <c r="AV283" s="54"/>
      <c r="AW283" s="54"/>
      <c r="AX283" s="54"/>
      <c r="AY283" s="54"/>
      <c r="AZ283" s="54"/>
      <c r="BA283" s="54"/>
      <c r="BB283" s="54"/>
      <c r="BC283" s="54"/>
      <c r="BD283" s="54"/>
      <c r="BE283" s="54"/>
      <c r="BF283" s="54"/>
      <c r="BG283" s="54"/>
      <c r="BH283" s="54"/>
    </row>
    <row r="284" spans="1:60" x14ac:dyDescent="0.55000000000000004">
      <c r="A284" s="54"/>
      <c r="B284" s="54"/>
      <c r="C284" s="54"/>
      <c r="D284" s="54"/>
      <c r="E284" s="54"/>
      <c r="G284" s="54"/>
      <c r="H284" s="54"/>
      <c r="I284" s="54"/>
      <c r="J284" s="54"/>
      <c r="K284" s="54"/>
      <c r="L284" s="54"/>
      <c r="M284" s="54"/>
      <c r="N284" s="54"/>
      <c r="O284" s="54"/>
      <c r="P284" s="54"/>
      <c r="Q284" s="54"/>
      <c r="R284" s="54"/>
      <c r="S284" s="54"/>
      <c r="T284" s="54"/>
      <c r="U284" s="54"/>
      <c r="V284" s="54"/>
      <c r="W284" s="54"/>
      <c r="X284" s="54"/>
      <c r="Y284" s="54"/>
      <c r="Z284" s="54"/>
      <c r="AA284" s="54"/>
      <c r="AB284" s="54"/>
      <c r="AC284" s="54"/>
      <c r="AD284" s="54"/>
      <c r="AE284" s="54"/>
      <c r="AF284" s="54"/>
      <c r="AG284" s="54"/>
      <c r="AH284" s="54"/>
      <c r="AI284" s="54"/>
      <c r="AJ284" s="54"/>
      <c r="AK284" s="54"/>
      <c r="AL284" s="54"/>
      <c r="AM284" s="54"/>
      <c r="AN284" s="54"/>
      <c r="AO284" s="54"/>
      <c r="AP284" s="54"/>
      <c r="AQ284" s="54"/>
      <c r="AR284" s="54"/>
      <c r="AS284" s="54"/>
      <c r="AT284" s="54"/>
      <c r="AU284" s="54"/>
      <c r="AV284" s="54"/>
      <c r="AW284" s="54"/>
      <c r="AX284" s="54"/>
      <c r="AY284" s="54"/>
      <c r="AZ284" s="54"/>
      <c r="BA284" s="54"/>
      <c r="BB284" s="54"/>
      <c r="BC284" s="54"/>
      <c r="BD284" s="54"/>
      <c r="BE284" s="54"/>
      <c r="BF284" s="54"/>
      <c r="BG284" s="54"/>
      <c r="BH284" s="54"/>
    </row>
    <row r="285" spans="1:60" x14ac:dyDescent="0.55000000000000004">
      <c r="A285" s="54"/>
      <c r="B285" s="54"/>
      <c r="C285" s="54"/>
      <c r="D285" s="54"/>
      <c r="E285" s="54"/>
      <c r="G285" s="54"/>
      <c r="H285" s="54"/>
      <c r="I285" s="54"/>
      <c r="J285" s="54"/>
      <c r="K285" s="54"/>
      <c r="L285" s="54"/>
      <c r="M285" s="54"/>
      <c r="N285" s="54"/>
      <c r="O285" s="54"/>
      <c r="P285" s="54"/>
      <c r="Q285" s="54"/>
      <c r="R285" s="54"/>
      <c r="S285" s="54"/>
      <c r="T285" s="54"/>
      <c r="U285" s="54"/>
      <c r="V285" s="54"/>
      <c r="W285" s="54"/>
      <c r="X285" s="54"/>
      <c r="Y285" s="54"/>
      <c r="Z285" s="54"/>
      <c r="AA285" s="54"/>
      <c r="AB285" s="54"/>
      <c r="AC285" s="54"/>
      <c r="AD285" s="54"/>
      <c r="AE285" s="54"/>
      <c r="AF285" s="54"/>
      <c r="AG285" s="54"/>
      <c r="AH285" s="54"/>
      <c r="AI285" s="54"/>
      <c r="AJ285" s="54"/>
      <c r="AK285" s="54"/>
      <c r="AL285" s="54"/>
      <c r="AM285" s="54"/>
      <c r="AN285" s="54"/>
      <c r="AO285" s="54"/>
      <c r="AP285" s="54"/>
      <c r="AQ285" s="54"/>
      <c r="AR285" s="54"/>
      <c r="AS285" s="54"/>
      <c r="AT285" s="54"/>
      <c r="AU285" s="54"/>
      <c r="AV285" s="54"/>
      <c r="AW285" s="54"/>
      <c r="AX285" s="54"/>
      <c r="AY285" s="54"/>
      <c r="AZ285" s="54"/>
      <c r="BA285" s="54"/>
      <c r="BB285" s="54"/>
      <c r="BC285" s="54"/>
      <c r="BD285" s="54"/>
      <c r="BE285" s="54"/>
      <c r="BF285" s="54"/>
      <c r="BG285" s="54"/>
      <c r="BH285" s="54"/>
    </row>
    <row r="286" spans="1:60" x14ac:dyDescent="0.55000000000000004">
      <c r="A286" s="54"/>
      <c r="B286" s="54"/>
      <c r="C286" s="54"/>
      <c r="D286" s="54"/>
      <c r="E286" s="54"/>
      <c r="G286" s="54"/>
      <c r="H286" s="54"/>
      <c r="I286" s="54"/>
      <c r="J286" s="54"/>
      <c r="K286" s="54"/>
      <c r="L286" s="54"/>
      <c r="M286" s="54"/>
      <c r="N286" s="54"/>
      <c r="O286" s="54"/>
      <c r="P286" s="54"/>
      <c r="Q286" s="54"/>
      <c r="R286" s="54"/>
      <c r="S286" s="54"/>
      <c r="T286" s="54"/>
      <c r="U286" s="54"/>
      <c r="V286" s="54"/>
      <c r="W286" s="54"/>
      <c r="X286" s="54"/>
      <c r="Y286" s="54"/>
      <c r="Z286" s="54"/>
      <c r="AA286" s="54"/>
      <c r="AB286" s="54"/>
      <c r="AC286" s="54"/>
      <c r="AD286" s="54"/>
      <c r="AE286" s="54"/>
      <c r="AF286" s="54"/>
      <c r="AG286" s="54"/>
      <c r="AH286" s="54"/>
      <c r="AI286" s="54"/>
      <c r="AJ286" s="54"/>
      <c r="AK286" s="54"/>
      <c r="AL286" s="54"/>
      <c r="AM286" s="54"/>
      <c r="AN286" s="54"/>
      <c r="AO286" s="54"/>
      <c r="AP286" s="54"/>
      <c r="AQ286" s="54"/>
      <c r="AR286" s="54"/>
      <c r="AS286" s="54"/>
      <c r="AT286" s="54"/>
      <c r="AU286" s="54"/>
      <c r="AV286" s="54"/>
      <c r="AW286" s="54"/>
      <c r="AX286" s="54"/>
      <c r="AY286" s="54"/>
      <c r="AZ286" s="54"/>
      <c r="BA286" s="54"/>
      <c r="BB286" s="54"/>
      <c r="BC286" s="54"/>
      <c r="BD286" s="54"/>
      <c r="BE286" s="54"/>
      <c r="BF286" s="54"/>
      <c r="BG286" s="54"/>
      <c r="BH286" s="54"/>
    </row>
    <row r="287" spans="1:60" x14ac:dyDescent="0.55000000000000004">
      <c r="A287" s="54"/>
      <c r="B287" s="54"/>
      <c r="C287" s="54"/>
      <c r="D287" s="54"/>
      <c r="E287" s="54"/>
      <c r="G287" s="54"/>
      <c r="H287" s="54"/>
      <c r="I287" s="54"/>
      <c r="J287" s="54"/>
      <c r="K287" s="54"/>
      <c r="L287" s="54"/>
      <c r="M287" s="54"/>
      <c r="N287" s="54"/>
      <c r="O287" s="54"/>
      <c r="P287" s="54"/>
      <c r="Q287" s="54"/>
      <c r="R287" s="54"/>
      <c r="S287" s="54"/>
      <c r="T287" s="54"/>
      <c r="U287" s="54"/>
      <c r="V287" s="54"/>
      <c r="W287" s="54"/>
      <c r="X287" s="54"/>
      <c r="Y287" s="54"/>
      <c r="Z287" s="54"/>
      <c r="AA287" s="54"/>
      <c r="AB287" s="54"/>
      <c r="AC287" s="54"/>
      <c r="AD287" s="54"/>
      <c r="AE287" s="54"/>
      <c r="AF287" s="54"/>
      <c r="AG287" s="54"/>
      <c r="AH287" s="54"/>
      <c r="AI287" s="54"/>
      <c r="AJ287" s="54"/>
      <c r="AK287" s="54"/>
      <c r="AL287" s="54"/>
      <c r="AM287" s="54"/>
      <c r="AN287" s="54"/>
      <c r="AO287" s="54"/>
      <c r="AP287" s="54"/>
      <c r="AQ287" s="54"/>
      <c r="AR287" s="54"/>
      <c r="AS287" s="54"/>
      <c r="AT287" s="54"/>
      <c r="AU287" s="54"/>
      <c r="AV287" s="54"/>
      <c r="AW287" s="54"/>
      <c r="AX287" s="54"/>
      <c r="AY287" s="54"/>
      <c r="AZ287" s="54"/>
      <c r="BA287" s="54"/>
      <c r="BB287" s="54"/>
      <c r="BC287" s="54"/>
      <c r="BD287" s="54"/>
      <c r="BE287" s="54"/>
      <c r="BF287" s="54"/>
      <c r="BG287" s="54"/>
      <c r="BH287" s="54"/>
    </row>
    <row r="288" spans="1:60" x14ac:dyDescent="0.55000000000000004">
      <c r="A288" s="54"/>
      <c r="B288" s="54"/>
      <c r="C288" s="54"/>
      <c r="D288" s="54"/>
      <c r="E288" s="54"/>
      <c r="G288" s="54"/>
      <c r="H288" s="54"/>
      <c r="I288" s="54"/>
      <c r="J288" s="54"/>
      <c r="K288" s="54"/>
      <c r="L288" s="54"/>
      <c r="M288" s="54"/>
      <c r="N288" s="54"/>
      <c r="O288" s="54"/>
      <c r="P288" s="54"/>
      <c r="Q288" s="54"/>
      <c r="R288" s="54"/>
      <c r="S288" s="54"/>
      <c r="T288" s="54"/>
      <c r="U288" s="54"/>
      <c r="V288" s="54"/>
      <c r="W288" s="54"/>
      <c r="X288" s="54"/>
      <c r="Y288" s="54"/>
      <c r="Z288" s="54"/>
      <c r="AA288" s="54"/>
      <c r="AB288" s="54"/>
      <c r="AC288" s="54"/>
      <c r="AD288" s="54"/>
      <c r="AE288" s="54"/>
      <c r="AF288" s="54"/>
      <c r="AG288" s="54"/>
      <c r="AH288" s="54"/>
      <c r="AI288" s="54"/>
      <c r="AJ288" s="54"/>
      <c r="AK288" s="54"/>
      <c r="AL288" s="54"/>
      <c r="AM288" s="54"/>
      <c r="AN288" s="54"/>
      <c r="AO288" s="54"/>
      <c r="AP288" s="54"/>
      <c r="AQ288" s="54"/>
      <c r="AR288" s="54"/>
      <c r="AS288" s="54"/>
      <c r="AT288" s="54"/>
      <c r="AU288" s="54"/>
      <c r="AV288" s="54"/>
      <c r="AW288" s="54"/>
      <c r="AX288" s="54"/>
      <c r="AY288" s="54"/>
      <c r="AZ288" s="54"/>
      <c r="BA288" s="54"/>
      <c r="BB288" s="54"/>
      <c r="BC288" s="54"/>
      <c r="BD288" s="54"/>
      <c r="BE288" s="54"/>
      <c r="BF288" s="54"/>
      <c r="BG288" s="54"/>
      <c r="BH288" s="54"/>
    </row>
    <row r="289" spans="1:60" x14ac:dyDescent="0.55000000000000004">
      <c r="A289" s="54"/>
      <c r="B289" s="54"/>
      <c r="C289" s="54"/>
      <c r="D289" s="54"/>
      <c r="E289" s="54"/>
      <c r="G289" s="54"/>
      <c r="H289" s="54"/>
      <c r="I289" s="54"/>
      <c r="J289" s="54"/>
      <c r="K289" s="54"/>
      <c r="L289" s="54"/>
      <c r="M289" s="54"/>
      <c r="N289" s="54"/>
      <c r="O289" s="54"/>
      <c r="P289" s="54"/>
      <c r="Q289" s="54"/>
      <c r="R289" s="54"/>
      <c r="S289" s="54"/>
      <c r="T289" s="54"/>
      <c r="U289" s="54"/>
      <c r="V289" s="54"/>
      <c r="W289" s="54"/>
      <c r="X289" s="54"/>
      <c r="Y289" s="54"/>
      <c r="Z289" s="54"/>
      <c r="AA289" s="54"/>
      <c r="AB289" s="54"/>
      <c r="AC289" s="54"/>
      <c r="AD289" s="54"/>
      <c r="AE289" s="54"/>
      <c r="AF289" s="54"/>
      <c r="AG289" s="54"/>
      <c r="AH289" s="54"/>
      <c r="AI289" s="54"/>
      <c r="AJ289" s="54"/>
      <c r="AK289" s="54"/>
      <c r="AL289" s="54"/>
      <c r="AM289" s="54"/>
      <c r="AN289" s="54"/>
      <c r="AO289" s="54"/>
      <c r="AP289" s="54"/>
      <c r="AQ289" s="54"/>
      <c r="AR289" s="54"/>
      <c r="AS289" s="54"/>
      <c r="AT289" s="54"/>
      <c r="AU289" s="54"/>
      <c r="AV289" s="54"/>
      <c r="AW289" s="54"/>
      <c r="AX289" s="54"/>
      <c r="AY289" s="54"/>
      <c r="AZ289" s="54"/>
      <c r="BA289" s="54"/>
      <c r="BB289" s="54"/>
      <c r="BC289" s="54"/>
      <c r="BD289" s="54"/>
      <c r="BE289" s="54"/>
      <c r="BF289" s="54"/>
      <c r="BG289" s="54"/>
      <c r="BH289" s="54"/>
    </row>
    <row r="290" spans="1:60" x14ac:dyDescent="0.55000000000000004">
      <c r="A290" s="54"/>
      <c r="B290" s="54"/>
      <c r="C290" s="54"/>
      <c r="D290" s="54"/>
      <c r="E290" s="54"/>
      <c r="G290" s="54"/>
      <c r="H290" s="54"/>
      <c r="I290" s="54"/>
      <c r="J290" s="54"/>
      <c r="K290" s="54"/>
      <c r="L290" s="54"/>
      <c r="M290" s="54"/>
      <c r="N290" s="54"/>
      <c r="O290" s="54"/>
      <c r="P290" s="54"/>
      <c r="Q290" s="54"/>
      <c r="R290" s="54"/>
      <c r="S290" s="54"/>
      <c r="T290" s="54"/>
      <c r="U290" s="54"/>
      <c r="V290" s="54"/>
      <c r="W290" s="54"/>
      <c r="X290" s="54"/>
      <c r="Y290" s="54"/>
      <c r="Z290" s="54"/>
      <c r="AA290" s="54"/>
      <c r="AB290" s="54"/>
      <c r="AC290" s="54"/>
      <c r="AD290" s="54"/>
      <c r="AE290" s="54"/>
      <c r="AF290" s="54"/>
      <c r="AG290" s="54"/>
      <c r="AH290" s="54"/>
      <c r="AI290" s="54"/>
      <c r="AJ290" s="54"/>
      <c r="AK290" s="54"/>
      <c r="AL290" s="54"/>
      <c r="AM290" s="54"/>
      <c r="AN290" s="54"/>
      <c r="AO290" s="54"/>
      <c r="AP290" s="54"/>
      <c r="AQ290" s="54"/>
      <c r="AR290" s="54"/>
      <c r="AS290" s="54"/>
      <c r="AT290" s="54"/>
      <c r="AU290" s="54"/>
      <c r="AV290" s="54"/>
      <c r="AW290" s="54"/>
      <c r="AX290" s="54"/>
      <c r="AY290" s="54"/>
      <c r="AZ290" s="54"/>
      <c r="BA290" s="54"/>
      <c r="BB290" s="54"/>
      <c r="BC290" s="54"/>
      <c r="BD290" s="54"/>
      <c r="BE290" s="54"/>
      <c r="BF290" s="54"/>
      <c r="BG290" s="54"/>
      <c r="BH290" s="54"/>
    </row>
    <row r="291" spans="1:60" x14ac:dyDescent="0.55000000000000004">
      <c r="A291" s="54"/>
      <c r="B291" s="54"/>
      <c r="C291" s="54"/>
      <c r="D291" s="54"/>
      <c r="E291" s="54"/>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row>
    <row r="292" spans="1:60" x14ac:dyDescent="0.55000000000000004">
      <c r="A292" s="54"/>
      <c r="B292" s="54"/>
      <c r="C292" s="54"/>
      <c r="D292" s="54"/>
      <c r="E292" s="54"/>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row>
    <row r="293" spans="1:60" x14ac:dyDescent="0.55000000000000004">
      <c r="A293" s="54"/>
      <c r="B293" s="54"/>
      <c r="C293" s="54"/>
      <c r="D293" s="54"/>
      <c r="E293" s="54"/>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row>
    <row r="294" spans="1:60" x14ac:dyDescent="0.55000000000000004">
      <c r="A294" s="54"/>
      <c r="B294" s="54"/>
      <c r="C294" s="54"/>
      <c r="D294" s="54"/>
      <c r="E294" s="54"/>
      <c r="G294" s="54"/>
      <c r="H294" s="54"/>
      <c r="I294" s="54"/>
      <c r="J294" s="54"/>
      <c r="K294" s="54"/>
      <c r="L294" s="54"/>
      <c r="M294" s="54"/>
      <c r="N294" s="54"/>
      <c r="O294" s="54"/>
      <c r="P294" s="54"/>
      <c r="Q294" s="54"/>
      <c r="R294" s="54"/>
      <c r="S294" s="54"/>
      <c r="T294" s="54"/>
      <c r="U294" s="54"/>
      <c r="V294" s="54"/>
      <c r="W294" s="54"/>
      <c r="X294" s="54"/>
      <c r="Y294" s="54"/>
      <c r="Z294" s="54"/>
      <c r="AA294" s="54"/>
      <c r="AB294" s="54"/>
      <c r="AC294" s="54"/>
      <c r="AD294" s="54"/>
      <c r="AE294" s="54"/>
      <c r="AF294" s="54"/>
      <c r="AG294" s="54"/>
      <c r="AH294" s="54"/>
      <c r="AI294" s="54"/>
      <c r="AJ294" s="54"/>
      <c r="AK294" s="54"/>
      <c r="AL294" s="54"/>
      <c r="AM294" s="54"/>
      <c r="AN294" s="54"/>
      <c r="AO294" s="54"/>
      <c r="AP294" s="54"/>
      <c r="AQ294" s="54"/>
      <c r="AR294" s="54"/>
      <c r="AS294" s="54"/>
      <c r="AT294" s="54"/>
      <c r="AU294" s="54"/>
      <c r="AV294" s="54"/>
      <c r="AW294" s="54"/>
      <c r="AX294" s="54"/>
      <c r="AY294" s="54"/>
      <c r="AZ294" s="54"/>
      <c r="BA294" s="54"/>
      <c r="BB294" s="54"/>
      <c r="BC294" s="54"/>
      <c r="BD294" s="54"/>
      <c r="BE294" s="54"/>
      <c r="BF294" s="54"/>
      <c r="BG294" s="54"/>
      <c r="BH294" s="54"/>
    </row>
    <row r="295" spans="1:60" x14ac:dyDescent="0.55000000000000004">
      <c r="A295" s="54"/>
      <c r="B295" s="54"/>
      <c r="C295" s="54"/>
      <c r="D295" s="54"/>
      <c r="E295" s="54"/>
      <c r="G295" s="54"/>
      <c r="H295" s="54"/>
      <c r="I295" s="54"/>
      <c r="J295" s="54"/>
      <c r="K295" s="54"/>
      <c r="L295" s="54"/>
      <c r="M295" s="54"/>
      <c r="N295" s="54"/>
      <c r="O295" s="54"/>
      <c r="P295" s="54"/>
      <c r="Q295" s="54"/>
      <c r="R295" s="54"/>
      <c r="S295" s="54"/>
      <c r="T295" s="54"/>
      <c r="U295" s="54"/>
      <c r="V295" s="54"/>
      <c r="W295" s="54"/>
      <c r="X295" s="54"/>
      <c r="Y295" s="54"/>
      <c r="Z295" s="54"/>
      <c r="AA295" s="54"/>
      <c r="AB295" s="54"/>
      <c r="AC295" s="54"/>
      <c r="AD295" s="54"/>
      <c r="AE295" s="54"/>
      <c r="AF295" s="54"/>
      <c r="AG295" s="54"/>
      <c r="AH295" s="54"/>
      <c r="AI295" s="54"/>
      <c r="AJ295" s="54"/>
      <c r="AK295" s="54"/>
      <c r="AL295" s="54"/>
      <c r="AM295" s="54"/>
      <c r="AN295" s="54"/>
      <c r="AO295" s="54"/>
      <c r="AP295" s="54"/>
      <c r="AQ295" s="54"/>
      <c r="AR295" s="54"/>
      <c r="AS295" s="54"/>
      <c r="AT295" s="54"/>
      <c r="AU295" s="54"/>
      <c r="AV295" s="54"/>
      <c r="AW295" s="54"/>
      <c r="AX295" s="54"/>
      <c r="AY295" s="54"/>
      <c r="AZ295" s="54"/>
      <c r="BA295" s="54"/>
      <c r="BB295" s="54"/>
      <c r="BC295" s="54"/>
      <c r="BD295" s="54"/>
      <c r="BE295" s="54"/>
      <c r="BF295" s="54"/>
      <c r="BG295" s="54"/>
      <c r="BH295" s="54"/>
    </row>
    <row r="296" spans="1:60" x14ac:dyDescent="0.55000000000000004">
      <c r="A296" s="54"/>
      <c r="B296" s="54"/>
      <c r="C296" s="54"/>
      <c r="D296" s="54"/>
      <c r="E296" s="54"/>
      <c r="G296" s="54"/>
      <c r="H296" s="54"/>
      <c r="I296" s="54"/>
      <c r="J296" s="54"/>
      <c r="K296" s="54"/>
      <c r="L296" s="54"/>
      <c r="M296" s="54"/>
      <c r="N296" s="54"/>
      <c r="O296" s="54"/>
      <c r="P296" s="54"/>
      <c r="Q296" s="54"/>
      <c r="R296" s="54"/>
      <c r="S296" s="54"/>
      <c r="T296" s="54"/>
      <c r="U296" s="54"/>
      <c r="V296" s="54"/>
      <c r="W296" s="54"/>
      <c r="X296" s="54"/>
      <c r="Y296" s="54"/>
      <c r="Z296" s="54"/>
      <c r="AA296" s="54"/>
      <c r="AB296" s="54"/>
      <c r="AC296" s="54"/>
      <c r="AD296" s="54"/>
      <c r="AE296" s="54"/>
      <c r="AF296" s="54"/>
      <c r="AG296" s="54"/>
      <c r="AH296" s="54"/>
      <c r="AI296" s="54"/>
      <c r="AJ296" s="54"/>
      <c r="AK296" s="54"/>
      <c r="AL296" s="54"/>
      <c r="AM296" s="54"/>
      <c r="AN296" s="54"/>
      <c r="AO296" s="54"/>
      <c r="AP296" s="54"/>
      <c r="AQ296" s="54"/>
      <c r="AR296" s="54"/>
      <c r="AS296" s="54"/>
      <c r="AT296" s="54"/>
      <c r="AU296" s="54"/>
      <c r="AV296" s="54"/>
      <c r="AW296" s="54"/>
      <c r="AX296" s="54"/>
      <c r="AY296" s="54"/>
      <c r="AZ296" s="54"/>
      <c r="BA296" s="54"/>
      <c r="BB296" s="54"/>
      <c r="BC296" s="54"/>
      <c r="BD296" s="54"/>
      <c r="BE296" s="54"/>
      <c r="BF296" s="54"/>
      <c r="BG296" s="54"/>
      <c r="BH296" s="54"/>
    </row>
    <row r="297" spans="1:60" x14ac:dyDescent="0.55000000000000004">
      <c r="A297" s="54"/>
      <c r="B297" s="54"/>
      <c r="C297" s="54"/>
      <c r="D297" s="54"/>
      <c r="E297" s="54"/>
      <c r="G297" s="54"/>
      <c r="H297" s="54"/>
      <c r="I297" s="54"/>
      <c r="J297" s="54"/>
      <c r="K297" s="54"/>
      <c r="L297" s="54"/>
      <c r="M297" s="54"/>
      <c r="N297" s="54"/>
      <c r="O297" s="54"/>
      <c r="P297" s="54"/>
      <c r="Q297" s="54"/>
      <c r="R297" s="54"/>
      <c r="S297" s="54"/>
      <c r="T297" s="54"/>
      <c r="U297" s="54"/>
      <c r="V297" s="54"/>
      <c r="W297" s="54"/>
      <c r="X297" s="54"/>
      <c r="Y297" s="54"/>
      <c r="Z297" s="54"/>
      <c r="AA297" s="54"/>
      <c r="AB297" s="54"/>
      <c r="AC297" s="54"/>
      <c r="AD297" s="54"/>
      <c r="AE297" s="54"/>
      <c r="AF297" s="54"/>
      <c r="AG297" s="54"/>
      <c r="AH297" s="54"/>
      <c r="AI297" s="54"/>
      <c r="AJ297" s="54"/>
      <c r="AK297" s="54"/>
      <c r="AL297" s="54"/>
      <c r="AM297" s="54"/>
      <c r="AN297" s="54"/>
      <c r="AO297" s="54"/>
      <c r="AP297" s="54"/>
      <c r="AQ297" s="54"/>
      <c r="AR297" s="54"/>
      <c r="AS297" s="54"/>
      <c r="AT297" s="54"/>
      <c r="AU297" s="54"/>
      <c r="AV297" s="54"/>
      <c r="AW297" s="54"/>
      <c r="AX297" s="54"/>
      <c r="AY297" s="54"/>
      <c r="AZ297" s="54"/>
      <c r="BA297" s="54"/>
      <c r="BB297" s="54"/>
      <c r="BC297" s="54"/>
      <c r="BD297" s="54"/>
      <c r="BE297" s="54"/>
      <c r="BF297" s="54"/>
      <c r="BG297" s="54"/>
      <c r="BH297" s="54"/>
    </row>
    <row r="298" spans="1:60" x14ac:dyDescent="0.55000000000000004">
      <c r="A298" s="54"/>
      <c r="B298" s="54"/>
      <c r="C298" s="54"/>
      <c r="D298" s="54"/>
      <c r="E298" s="54"/>
      <c r="G298" s="54"/>
      <c r="H298" s="54"/>
      <c r="I298" s="54"/>
      <c r="J298" s="54"/>
      <c r="K298" s="54"/>
      <c r="L298" s="54"/>
      <c r="M298" s="54"/>
      <c r="N298" s="54"/>
      <c r="O298" s="54"/>
      <c r="P298" s="54"/>
      <c r="Q298" s="54"/>
      <c r="R298" s="54"/>
      <c r="S298" s="54"/>
      <c r="T298" s="54"/>
      <c r="U298" s="54"/>
      <c r="V298" s="54"/>
      <c r="W298" s="54"/>
      <c r="X298" s="54"/>
      <c r="Y298" s="54"/>
      <c r="Z298" s="54"/>
      <c r="AA298" s="54"/>
      <c r="AB298" s="54"/>
      <c r="AC298" s="54"/>
      <c r="AD298" s="54"/>
      <c r="AE298" s="54"/>
      <c r="AF298" s="54"/>
      <c r="AG298" s="54"/>
      <c r="AH298" s="54"/>
      <c r="AI298" s="54"/>
      <c r="AJ298" s="54"/>
      <c r="AK298" s="54"/>
      <c r="AL298" s="54"/>
      <c r="AM298" s="54"/>
      <c r="AN298" s="54"/>
      <c r="AO298" s="54"/>
      <c r="AP298" s="54"/>
      <c r="AQ298" s="54"/>
      <c r="AR298" s="54"/>
      <c r="AS298" s="54"/>
      <c r="AT298" s="54"/>
      <c r="AU298" s="54"/>
      <c r="AV298" s="54"/>
      <c r="AW298" s="54"/>
      <c r="AX298" s="54"/>
      <c r="AY298" s="54"/>
      <c r="AZ298" s="54"/>
      <c r="BA298" s="54"/>
      <c r="BB298" s="54"/>
      <c r="BC298" s="54"/>
      <c r="BD298" s="54"/>
      <c r="BE298" s="54"/>
      <c r="BF298" s="54"/>
      <c r="BG298" s="54"/>
      <c r="BH298" s="54"/>
    </row>
    <row r="299" spans="1:60" x14ac:dyDescent="0.55000000000000004">
      <c r="A299" s="54"/>
      <c r="B299" s="54"/>
      <c r="C299" s="54"/>
      <c r="D299" s="54"/>
      <c r="E299" s="54"/>
      <c r="G299" s="54"/>
      <c r="H299" s="54"/>
      <c r="I299" s="54"/>
      <c r="J299" s="54"/>
      <c r="K299" s="54"/>
      <c r="L299" s="54"/>
      <c r="M299" s="54"/>
      <c r="N299" s="54"/>
      <c r="O299" s="54"/>
      <c r="P299" s="54"/>
      <c r="Q299" s="54"/>
      <c r="R299" s="54"/>
      <c r="S299" s="54"/>
      <c r="T299" s="54"/>
      <c r="U299" s="54"/>
      <c r="V299" s="54"/>
      <c r="W299" s="54"/>
      <c r="X299" s="54"/>
      <c r="Y299" s="54"/>
      <c r="Z299" s="54"/>
      <c r="AA299" s="54"/>
      <c r="AB299" s="54"/>
      <c r="AC299" s="54"/>
      <c r="AD299" s="54"/>
      <c r="AE299" s="54"/>
      <c r="AF299" s="54"/>
      <c r="AG299" s="54"/>
      <c r="AH299" s="54"/>
      <c r="AI299" s="54"/>
      <c r="AJ299" s="54"/>
      <c r="AK299" s="54"/>
      <c r="AL299" s="54"/>
      <c r="AM299" s="54"/>
      <c r="AN299" s="54"/>
      <c r="AO299" s="54"/>
      <c r="AP299" s="54"/>
      <c r="AQ299" s="54"/>
      <c r="AR299" s="54"/>
      <c r="AS299" s="54"/>
      <c r="AT299" s="54"/>
      <c r="AU299" s="54"/>
      <c r="AV299" s="54"/>
      <c r="AW299" s="54"/>
      <c r="AX299" s="54"/>
      <c r="AY299" s="54"/>
      <c r="AZ299" s="54"/>
      <c r="BA299" s="54"/>
      <c r="BB299" s="54"/>
      <c r="BC299" s="54"/>
      <c r="BD299" s="54"/>
      <c r="BE299" s="54"/>
      <c r="BF299" s="54"/>
      <c r="BG299" s="54"/>
      <c r="BH299" s="54"/>
    </row>
    <row r="300" spans="1:60" x14ac:dyDescent="0.55000000000000004">
      <c r="A300" s="54"/>
      <c r="B300" s="54"/>
      <c r="C300" s="54"/>
      <c r="D300" s="54"/>
      <c r="E300" s="54"/>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c r="AD300" s="54"/>
      <c r="AE300" s="54"/>
      <c r="AF300" s="54"/>
      <c r="AG300" s="54"/>
      <c r="AH300" s="54"/>
      <c r="AI300" s="54"/>
      <c r="AJ300" s="54"/>
      <c r="AK300" s="54"/>
      <c r="AL300" s="54"/>
      <c r="AM300" s="54"/>
      <c r="AN300" s="54"/>
      <c r="AO300" s="54"/>
      <c r="AP300" s="54"/>
      <c r="AQ300" s="54"/>
      <c r="AR300" s="54"/>
      <c r="AS300" s="54"/>
      <c r="AT300" s="54"/>
      <c r="AU300" s="54"/>
      <c r="AV300" s="54"/>
      <c r="AW300" s="54"/>
      <c r="AX300" s="54"/>
      <c r="AY300" s="54"/>
      <c r="AZ300" s="54"/>
      <c r="BA300" s="54"/>
      <c r="BB300" s="54"/>
      <c r="BC300" s="54"/>
      <c r="BD300" s="54"/>
      <c r="BE300" s="54"/>
      <c r="BF300" s="54"/>
      <c r="BG300" s="54"/>
      <c r="BH300" s="54"/>
    </row>
    <row r="301" spans="1:60" x14ac:dyDescent="0.55000000000000004">
      <c r="A301" s="54"/>
      <c r="B301" s="54"/>
      <c r="C301" s="54"/>
      <c r="D301" s="54"/>
      <c r="E301" s="54"/>
      <c r="G301" s="54"/>
      <c r="H301" s="54"/>
      <c r="I301" s="54"/>
      <c r="J301" s="54"/>
      <c r="K301" s="54"/>
      <c r="L301" s="54"/>
      <c r="M301" s="54"/>
      <c r="N301" s="54"/>
      <c r="O301" s="54"/>
      <c r="P301" s="54"/>
      <c r="Q301" s="54"/>
      <c r="R301" s="54"/>
      <c r="S301" s="54"/>
      <c r="T301" s="54"/>
      <c r="U301" s="54"/>
      <c r="V301" s="54"/>
      <c r="W301" s="54"/>
      <c r="X301" s="54"/>
      <c r="Y301" s="54"/>
      <c r="Z301" s="54"/>
      <c r="AA301" s="54"/>
      <c r="AB301" s="54"/>
      <c r="AC301" s="54"/>
      <c r="AD301" s="54"/>
      <c r="AE301" s="54"/>
      <c r="AF301" s="54"/>
      <c r="AG301" s="54"/>
      <c r="AH301" s="54"/>
      <c r="AI301" s="54"/>
      <c r="AJ301" s="54"/>
      <c r="AK301" s="54"/>
      <c r="AL301" s="54"/>
      <c r="AM301" s="54"/>
      <c r="AN301" s="54"/>
      <c r="AO301" s="54"/>
      <c r="AP301" s="54"/>
      <c r="AQ301" s="54"/>
      <c r="AR301" s="54"/>
      <c r="AS301" s="54"/>
      <c r="AT301" s="54"/>
      <c r="AU301" s="54"/>
      <c r="AV301" s="54"/>
      <c r="AW301" s="54"/>
      <c r="AX301" s="54"/>
      <c r="AY301" s="54"/>
      <c r="AZ301" s="54"/>
      <c r="BA301" s="54"/>
      <c r="BB301" s="54"/>
      <c r="BC301" s="54"/>
      <c r="BD301" s="54"/>
      <c r="BE301" s="54"/>
      <c r="BF301" s="54"/>
      <c r="BG301" s="54"/>
      <c r="BH301" s="54"/>
    </row>
    <row r="302" spans="1:60" x14ac:dyDescent="0.55000000000000004">
      <c r="A302" s="54"/>
      <c r="B302" s="54"/>
      <c r="C302" s="54"/>
      <c r="D302" s="54"/>
      <c r="E302" s="54"/>
      <c r="G302" s="54"/>
      <c r="H302" s="54"/>
      <c r="I302" s="54"/>
      <c r="J302" s="54"/>
      <c r="K302" s="54"/>
      <c r="L302" s="54"/>
      <c r="M302" s="54"/>
      <c r="N302" s="54"/>
      <c r="O302" s="54"/>
      <c r="P302" s="54"/>
      <c r="Q302" s="54"/>
      <c r="R302" s="54"/>
      <c r="S302" s="54"/>
      <c r="T302" s="54"/>
      <c r="U302" s="54"/>
      <c r="V302" s="54"/>
      <c r="W302" s="54"/>
      <c r="X302" s="54"/>
      <c r="Y302" s="54"/>
      <c r="Z302" s="54"/>
      <c r="AA302" s="54"/>
      <c r="AB302" s="54"/>
      <c r="AC302" s="54"/>
      <c r="AD302" s="54"/>
      <c r="AE302" s="54"/>
      <c r="AF302" s="54"/>
      <c r="AG302" s="54"/>
      <c r="AH302" s="54"/>
      <c r="AI302" s="54"/>
      <c r="AJ302" s="54"/>
      <c r="AK302" s="54"/>
      <c r="AL302" s="54"/>
      <c r="AM302" s="54"/>
      <c r="AN302" s="54"/>
      <c r="AO302" s="54"/>
      <c r="AP302" s="54"/>
      <c r="AQ302" s="54"/>
      <c r="AR302" s="54"/>
      <c r="AS302" s="54"/>
      <c r="AT302" s="54"/>
      <c r="AU302" s="54"/>
      <c r="AV302" s="54"/>
      <c r="AW302" s="54"/>
      <c r="AX302" s="54"/>
      <c r="AY302" s="54"/>
      <c r="AZ302" s="54"/>
      <c r="BA302" s="54"/>
      <c r="BB302" s="54"/>
      <c r="BC302" s="54"/>
      <c r="BD302" s="54"/>
      <c r="BE302" s="54"/>
      <c r="BF302" s="54"/>
      <c r="BG302" s="54"/>
      <c r="BH302" s="54"/>
    </row>
    <row r="303" spans="1:60" x14ac:dyDescent="0.55000000000000004">
      <c r="A303" s="54"/>
      <c r="B303" s="54"/>
      <c r="C303" s="54"/>
      <c r="D303" s="54"/>
      <c r="E303" s="54"/>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c r="AD303" s="54"/>
      <c r="AE303" s="54"/>
      <c r="AF303" s="54"/>
      <c r="AG303" s="54"/>
      <c r="AH303" s="54"/>
      <c r="AI303" s="54"/>
      <c r="AJ303" s="54"/>
      <c r="AK303" s="54"/>
      <c r="AL303" s="54"/>
      <c r="AM303" s="54"/>
      <c r="AN303" s="54"/>
      <c r="AO303" s="54"/>
      <c r="AP303" s="54"/>
      <c r="AQ303" s="54"/>
      <c r="AR303" s="54"/>
      <c r="AS303" s="54"/>
      <c r="AT303" s="54"/>
      <c r="AU303" s="54"/>
      <c r="AV303" s="54"/>
      <c r="AW303" s="54"/>
      <c r="AX303" s="54"/>
      <c r="AY303" s="54"/>
      <c r="AZ303" s="54"/>
      <c r="BA303" s="54"/>
      <c r="BB303" s="54"/>
      <c r="BC303" s="54"/>
      <c r="BD303" s="54"/>
      <c r="BE303" s="54"/>
      <c r="BF303" s="54"/>
      <c r="BG303" s="54"/>
      <c r="BH303" s="54"/>
    </row>
    <row r="304" spans="1:60" x14ac:dyDescent="0.55000000000000004">
      <c r="A304" s="54"/>
      <c r="B304" s="54"/>
      <c r="C304" s="54"/>
      <c r="D304" s="54"/>
      <c r="E304" s="54"/>
      <c r="G304" s="54"/>
      <c r="H304" s="54"/>
      <c r="I304" s="54"/>
      <c r="J304" s="54"/>
      <c r="K304" s="54"/>
      <c r="L304" s="54"/>
      <c r="M304" s="54"/>
      <c r="N304" s="54"/>
      <c r="O304" s="54"/>
      <c r="P304" s="54"/>
      <c r="Q304" s="54"/>
      <c r="R304" s="54"/>
      <c r="S304" s="54"/>
      <c r="T304" s="54"/>
      <c r="U304" s="54"/>
      <c r="V304" s="54"/>
      <c r="W304" s="54"/>
      <c r="X304" s="54"/>
      <c r="Y304" s="54"/>
      <c r="Z304" s="54"/>
      <c r="AA304" s="54"/>
      <c r="AB304" s="54"/>
      <c r="AC304" s="54"/>
      <c r="AD304" s="54"/>
      <c r="AE304" s="54"/>
      <c r="AF304" s="54"/>
      <c r="AG304" s="54"/>
      <c r="AH304" s="54"/>
      <c r="AI304" s="54"/>
      <c r="AJ304" s="54"/>
      <c r="AK304" s="54"/>
      <c r="AL304" s="54"/>
      <c r="AM304" s="54"/>
      <c r="AN304" s="54"/>
      <c r="AO304" s="54"/>
      <c r="AP304" s="54"/>
      <c r="AQ304" s="54"/>
      <c r="AR304" s="54"/>
      <c r="AS304" s="54"/>
      <c r="AT304" s="54"/>
      <c r="AU304" s="54"/>
      <c r="AV304" s="54"/>
      <c r="AW304" s="54"/>
      <c r="AX304" s="54"/>
      <c r="AY304" s="54"/>
      <c r="AZ304" s="54"/>
      <c r="BA304" s="54"/>
      <c r="BB304" s="54"/>
      <c r="BC304" s="54"/>
      <c r="BD304" s="54"/>
      <c r="BE304" s="54"/>
      <c r="BF304" s="54"/>
      <c r="BG304" s="54"/>
      <c r="BH304" s="54"/>
    </row>
    <row r="305" spans="1:60" x14ac:dyDescent="0.55000000000000004">
      <c r="A305" s="54"/>
      <c r="B305" s="54"/>
      <c r="C305" s="54"/>
      <c r="D305" s="54"/>
      <c r="E305" s="54"/>
      <c r="G305" s="54"/>
      <c r="H305" s="54"/>
      <c r="I305" s="54"/>
      <c r="J305" s="54"/>
      <c r="K305" s="54"/>
      <c r="L305" s="54"/>
      <c r="M305" s="54"/>
      <c r="N305" s="54"/>
      <c r="O305" s="54"/>
      <c r="P305" s="54"/>
      <c r="Q305" s="54"/>
      <c r="R305" s="54"/>
      <c r="S305" s="54"/>
      <c r="T305" s="54"/>
      <c r="U305" s="54"/>
      <c r="V305" s="54"/>
      <c r="W305" s="54"/>
      <c r="X305" s="54"/>
      <c r="Y305" s="54"/>
      <c r="Z305" s="54"/>
      <c r="AA305" s="54"/>
      <c r="AB305" s="54"/>
      <c r="AC305" s="54"/>
      <c r="AD305" s="54"/>
      <c r="AE305" s="54"/>
      <c r="AF305" s="54"/>
      <c r="AG305" s="54"/>
      <c r="AH305" s="54"/>
      <c r="AI305" s="54"/>
      <c r="AJ305" s="54"/>
      <c r="AK305" s="54"/>
      <c r="AL305" s="54"/>
      <c r="AM305" s="54"/>
      <c r="AN305" s="54"/>
      <c r="AO305" s="54"/>
      <c r="AP305" s="54"/>
      <c r="AQ305" s="54"/>
      <c r="AR305" s="54"/>
      <c r="AS305" s="54"/>
      <c r="AT305" s="54"/>
      <c r="AU305" s="54"/>
      <c r="AV305" s="54"/>
      <c r="AW305" s="54"/>
      <c r="AX305" s="54"/>
      <c r="AY305" s="54"/>
      <c r="AZ305" s="54"/>
      <c r="BA305" s="54"/>
      <c r="BB305" s="54"/>
      <c r="BC305" s="54"/>
      <c r="BD305" s="54"/>
      <c r="BE305" s="54"/>
      <c r="BF305" s="54"/>
      <c r="BG305" s="54"/>
      <c r="BH305" s="54"/>
    </row>
    <row r="306" spans="1:60" x14ac:dyDescent="0.55000000000000004">
      <c r="A306" s="54"/>
      <c r="B306" s="54"/>
      <c r="C306" s="54"/>
      <c r="D306" s="54"/>
      <c r="E306" s="54"/>
      <c r="G306" s="54"/>
      <c r="H306" s="54"/>
      <c r="I306" s="54"/>
      <c r="J306" s="54"/>
      <c r="K306" s="54"/>
      <c r="L306" s="54"/>
      <c r="M306" s="54"/>
      <c r="N306" s="54"/>
      <c r="O306" s="54"/>
      <c r="P306" s="54"/>
      <c r="Q306" s="54"/>
      <c r="R306" s="54"/>
      <c r="S306" s="54"/>
      <c r="T306" s="54"/>
      <c r="U306" s="54"/>
      <c r="V306" s="54"/>
      <c r="W306" s="54"/>
      <c r="X306" s="54"/>
      <c r="Y306" s="54"/>
      <c r="Z306" s="54"/>
      <c r="AA306" s="54"/>
      <c r="AB306" s="54"/>
      <c r="AC306" s="54"/>
      <c r="AD306" s="54"/>
      <c r="AE306" s="54"/>
      <c r="AF306" s="54"/>
      <c r="AG306" s="54"/>
      <c r="AH306" s="54"/>
      <c r="AI306" s="54"/>
      <c r="AJ306" s="54"/>
      <c r="AK306" s="54"/>
      <c r="AL306" s="54"/>
      <c r="AM306" s="54"/>
      <c r="AN306" s="54"/>
      <c r="AO306" s="54"/>
      <c r="AP306" s="54"/>
      <c r="AQ306" s="54"/>
      <c r="AR306" s="54"/>
      <c r="AS306" s="54"/>
      <c r="AT306" s="54"/>
      <c r="AU306" s="54"/>
      <c r="AV306" s="54"/>
      <c r="AW306" s="54"/>
      <c r="AX306" s="54"/>
      <c r="AY306" s="54"/>
      <c r="AZ306" s="54"/>
      <c r="BA306" s="54"/>
      <c r="BB306" s="54"/>
      <c r="BC306" s="54"/>
      <c r="BD306" s="54"/>
      <c r="BE306" s="54"/>
      <c r="BF306" s="54"/>
      <c r="BG306" s="54"/>
      <c r="BH306" s="54"/>
    </row>
    <row r="307" spans="1:60" x14ac:dyDescent="0.55000000000000004">
      <c r="A307" s="54"/>
      <c r="B307" s="54"/>
      <c r="C307" s="54"/>
      <c r="D307" s="54"/>
      <c r="E307" s="54"/>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c r="AD307" s="54"/>
      <c r="AE307" s="54"/>
      <c r="AF307" s="54"/>
      <c r="AG307" s="54"/>
      <c r="AH307" s="54"/>
      <c r="AI307" s="54"/>
      <c r="AJ307" s="54"/>
      <c r="AK307" s="54"/>
      <c r="AL307" s="54"/>
      <c r="AM307" s="54"/>
      <c r="AN307" s="54"/>
      <c r="AO307" s="54"/>
      <c r="AP307" s="54"/>
      <c r="AQ307" s="54"/>
      <c r="AR307" s="54"/>
      <c r="AS307" s="54"/>
      <c r="AT307" s="54"/>
      <c r="AU307" s="54"/>
      <c r="AV307" s="54"/>
      <c r="AW307" s="54"/>
      <c r="AX307" s="54"/>
      <c r="AY307" s="54"/>
      <c r="AZ307" s="54"/>
      <c r="BA307" s="54"/>
      <c r="BB307" s="54"/>
      <c r="BC307" s="54"/>
      <c r="BD307" s="54"/>
      <c r="BE307" s="54"/>
      <c r="BF307" s="54"/>
      <c r="BG307" s="54"/>
      <c r="BH307" s="54"/>
    </row>
    <row r="308" spans="1:60" x14ac:dyDescent="0.55000000000000004">
      <c r="A308" s="54"/>
      <c r="B308" s="54"/>
      <c r="C308" s="54"/>
      <c r="D308" s="54"/>
      <c r="E308" s="54"/>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c r="AD308" s="54"/>
      <c r="AE308" s="54"/>
      <c r="AF308" s="54"/>
      <c r="AG308" s="54"/>
      <c r="AH308" s="54"/>
      <c r="AI308" s="54"/>
      <c r="AJ308" s="54"/>
      <c r="AK308" s="54"/>
      <c r="AL308" s="54"/>
      <c r="AM308" s="54"/>
      <c r="AN308" s="54"/>
      <c r="AO308" s="54"/>
      <c r="AP308" s="54"/>
      <c r="AQ308" s="54"/>
      <c r="AR308" s="54"/>
      <c r="AS308" s="54"/>
      <c r="AT308" s="54"/>
      <c r="AU308" s="54"/>
      <c r="AV308" s="54"/>
      <c r="AW308" s="54"/>
      <c r="AX308" s="54"/>
      <c r="AY308" s="54"/>
      <c r="AZ308" s="54"/>
      <c r="BA308" s="54"/>
      <c r="BB308" s="54"/>
      <c r="BC308" s="54"/>
      <c r="BD308" s="54"/>
      <c r="BE308" s="54"/>
      <c r="BF308" s="54"/>
      <c r="BG308" s="54"/>
      <c r="BH308" s="54"/>
    </row>
    <row r="309" spans="1:60" x14ac:dyDescent="0.55000000000000004">
      <c r="A309" s="54"/>
      <c r="B309" s="54"/>
      <c r="C309" s="54"/>
      <c r="D309" s="54"/>
      <c r="E309" s="54"/>
      <c r="G309" s="54"/>
      <c r="H309" s="54"/>
      <c r="I309" s="54"/>
      <c r="J309" s="54"/>
      <c r="K309" s="54"/>
      <c r="L309" s="54"/>
      <c r="M309" s="54"/>
      <c r="N309" s="54"/>
      <c r="O309" s="54"/>
      <c r="P309" s="54"/>
      <c r="Q309" s="54"/>
      <c r="R309" s="54"/>
      <c r="S309" s="54"/>
      <c r="T309" s="54"/>
      <c r="U309" s="54"/>
      <c r="V309" s="54"/>
      <c r="W309" s="54"/>
      <c r="X309" s="54"/>
      <c r="Y309" s="54"/>
      <c r="Z309" s="54"/>
      <c r="AA309" s="54"/>
      <c r="AB309" s="54"/>
      <c r="AC309" s="54"/>
      <c r="AD309" s="54"/>
      <c r="AE309" s="54"/>
      <c r="AF309" s="54"/>
      <c r="AG309" s="54"/>
      <c r="AH309" s="54"/>
      <c r="AI309" s="54"/>
      <c r="AJ309" s="54"/>
      <c r="AK309" s="54"/>
      <c r="AL309" s="54"/>
      <c r="AM309" s="54"/>
      <c r="AN309" s="54"/>
      <c r="AO309" s="54"/>
      <c r="AP309" s="54"/>
      <c r="AQ309" s="54"/>
      <c r="AR309" s="54"/>
      <c r="AS309" s="54"/>
      <c r="AT309" s="54"/>
      <c r="AU309" s="54"/>
      <c r="AV309" s="54"/>
      <c r="AW309" s="54"/>
      <c r="AX309" s="54"/>
      <c r="AY309" s="54"/>
      <c r="AZ309" s="54"/>
      <c r="BA309" s="54"/>
      <c r="BB309" s="54"/>
      <c r="BC309" s="54"/>
      <c r="BD309" s="54"/>
      <c r="BE309" s="54"/>
      <c r="BF309" s="54"/>
      <c r="BG309" s="54"/>
      <c r="BH309" s="54"/>
    </row>
    <row r="310" spans="1:60" x14ac:dyDescent="0.55000000000000004">
      <c r="A310" s="54"/>
      <c r="B310" s="54"/>
      <c r="C310" s="54"/>
      <c r="D310" s="54"/>
      <c r="E310" s="54"/>
      <c r="G310" s="54"/>
      <c r="H310" s="54"/>
      <c r="I310" s="54"/>
      <c r="J310" s="54"/>
      <c r="K310" s="54"/>
      <c r="L310" s="54"/>
      <c r="M310" s="54"/>
      <c r="N310" s="54"/>
      <c r="O310" s="54"/>
      <c r="P310" s="54"/>
      <c r="Q310" s="54"/>
      <c r="R310" s="54"/>
      <c r="S310" s="54"/>
      <c r="T310" s="54"/>
      <c r="U310" s="54"/>
      <c r="V310" s="54"/>
      <c r="W310" s="54"/>
      <c r="X310" s="54"/>
      <c r="Y310" s="54"/>
      <c r="Z310" s="54"/>
      <c r="AA310" s="54"/>
      <c r="AB310" s="54"/>
      <c r="AC310" s="54"/>
      <c r="AD310" s="54"/>
      <c r="AE310" s="54"/>
      <c r="AF310" s="54"/>
      <c r="AG310" s="54"/>
      <c r="AH310" s="54"/>
      <c r="AI310" s="54"/>
      <c r="AJ310" s="54"/>
      <c r="AK310" s="54"/>
      <c r="AL310" s="54"/>
      <c r="AM310" s="54"/>
      <c r="AN310" s="54"/>
      <c r="AO310" s="54"/>
      <c r="AP310" s="54"/>
      <c r="AQ310" s="54"/>
      <c r="AR310" s="54"/>
      <c r="AS310" s="54"/>
      <c r="AT310" s="54"/>
      <c r="AU310" s="54"/>
      <c r="AV310" s="54"/>
      <c r="AW310" s="54"/>
      <c r="AX310" s="54"/>
      <c r="AY310" s="54"/>
      <c r="AZ310" s="54"/>
      <c r="BA310" s="54"/>
      <c r="BB310" s="54"/>
      <c r="BC310" s="54"/>
      <c r="BD310" s="54"/>
      <c r="BE310" s="54"/>
      <c r="BF310" s="54"/>
      <c r="BG310" s="54"/>
      <c r="BH310" s="54"/>
    </row>
    <row r="311" spans="1:60" x14ac:dyDescent="0.55000000000000004">
      <c r="A311" s="54"/>
      <c r="B311" s="54"/>
      <c r="C311" s="54"/>
      <c r="D311" s="54"/>
      <c r="E311" s="54"/>
      <c r="G311" s="54"/>
      <c r="H311" s="54"/>
      <c r="I311" s="54"/>
      <c r="J311" s="54"/>
      <c r="K311" s="54"/>
      <c r="L311" s="54"/>
      <c r="M311" s="54"/>
      <c r="N311" s="54"/>
      <c r="O311" s="54"/>
      <c r="P311" s="54"/>
      <c r="Q311" s="54"/>
      <c r="R311" s="54"/>
      <c r="S311" s="54"/>
      <c r="T311" s="54"/>
      <c r="U311" s="54"/>
      <c r="V311" s="54"/>
      <c r="W311" s="54"/>
      <c r="X311" s="54"/>
      <c r="Y311" s="54"/>
      <c r="Z311" s="54"/>
      <c r="AA311" s="54"/>
      <c r="AB311" s="54"/>
      <c r="AC311" s="54"/>
      <c r="AD311" s="54"/>
      <c r="AE311" s="54"/>
      <c r="AF311" s="54"/>
      <c r="AG311" s="54"/>
      <c r="AH311" s="54"/>
      <c r="AI311" s="54"/>
      <c r="AJ311" s="54"/>
      <c r="AK311" s="54"/>
      <c r="AL311" s="54"/>
      <c r="AM311" s="54"/>
      <c r="AN311" s="54"/>
      <c r="AO311" s="54"/>
      <c r="AP311" s="54"/>
      <c r="AQ311" s="54"/>
      <c r="AR311" s="54"/>
      <c r="AS311" s="54"/>
      <c r="AT311" s="54"/>
      <c r="AU311" s="54"/>
      <c r="AV311" s="54"/>
      <c r="AW311" s="54"/>
      <c r="AX311" s="54"/>
      <c r="AY311" s="54"/>
      <c r="AZ311" s="54"/>
      <c r="BA311" s="54"/>
      <c r="BB311" s="54"/>
      <c r="BC311" s="54"/>
      <c r="BD311" s="54"/>
      <c r="BE311" s="54"/>
      <c r="BF311" s="54"/>
      <c r="BG311" s="54"/>
      <c r="BH311" s="54"/>
    </row>
    <row r="312" spans="1:60" x14ac:dyDescent="0.55000000000000004">
      <c r="A312" s="54"/>
      <c r="B312" s="54"/>
      <c r="C312" s="54"/>
      <c r="D312" s="54"/>
      <c r="E312" s="54"/>
      <c r="G312" s="54"/>
      <c r="H312" s="54"/>
      <c r="I312" s="54"/>
      <c r="J312" s="54"/>
      <c r="K312" s="54"/>
      <c r="L312" s="54"/>
      <c r="M312" s="54"/>
      <c r="N312" s="54"/>
      <c r="O312" s="54"/>
      <c r="P312" s="54"/>
      <c r="Q312" s="54"/>
      <c r="R312" s="54"/>
      <c r="S312" s="54"/>
      <c r="T312" s="54"/>
      <c r="U312" s="54"/>
      <c r="V312" s="54"/>
      <c r="W312" s="54"/>
      <c r="X312" s="54"/>
      <c r="Y312" s="54"/>
      <c r="Z312" s="54"/>
      <c r="AA312" s="54"/>
      <c r="AB312" s="54"/>
      <c r="AC312" s="54"/>
      <c r="AD312" s="54"/>
      <c r="AE312" s="54"/>
      <c r="AF312" s="54"/>
      <c r="AG312" s="54"/>
      <c r="AH312" s="54"/>
      <c r="AI312" s="54"/>
      <c r="AJ312" s="54"/>
      <c r="AK312" s="54"/>
      <c r="AL312" s="54"/>
      <c r="AM312" s="54"/>
      <c r="AN312" s="54"/>
      <c r="AO312" s="54"/>
      <c r="AP312" s="54"/>
      <c r="AQ312" s="54"/>
      <c r="AR312" s="54"/>
      <c r="AS312" s="54"/>
      <c r="AT312" s="54"/>
      <c r="AU312" s="54"/>
      <c r="AV312" s="54"/>
      <c r="AW312" s="54"/>
      <c r="AX312" s="54"/>
      <c r="AY312" s="54"/>
      <c r="AZ312" s="54"/>
      <c r="BA312" s="54"/>
      <c r="BB312" s="54"/>
      <c r="BC312" s="54"/>
      <c r="BD312" s="54"/>
      <c r="BE312" s="54"/>
      <c r="BF312" s="54"/>
      <c r="BG312" s="54"/>
      <c r="BH312" s="54"/>
    </row>
    <row r="313" spans="1:60" x14ac:dyDescent="0.55000000000000004">
      <c r="A313" s="54"/>
      <c r="B313" s="54"/>
      <c r="C313" s="54"/>
      <c r="D313" s="54"/>
      <c r="E313" s="54"/>
      <c r="G313" s="54"/>
      <c r="H313" s="54"/>
      <c r="I313" s="54"/>
      <c r="J313" s="54"/>
      <c r="K313" s="54"/>
      <c r="L313" s="54"/>
      <c r="M313" s="54"/>
      <c r="N313" s="54"/>
      <c r="O313" s="54"/>
      <c r="P313" s="54"/>
      <c r="Q313" s="54"/>
      <c r="R313" s="54"/>
      <c r="S313" s="54"/>
      <c r="T313" s="54"/>
      <c r="U313" s="54"/>
      <c r="V313" s="54"/>
      <c r="W313" s="54"/>
      <c r="X313" s="54"/>
      <c r="Y313" s="54"/>
      <c r="Z313" s="54"/>
      <c r="AA313" s="54"/>
      <c r="AB313" s="54"/>
      <c r="AC313" s="54"/>
      <c r="AD313" s="54"/>
      <c r="AE313" s="54"/>
      <c r="AF313" s="54"/>
      <c r="AG313" s="54"/>
      <c r="AH313" s="54"/>
      <c r="AI313" s="54"/>
      <c r="AJ313" s="54"/>
      <c r="AK313" s="54"/>
      <c r="AL313" s="54"/>
      <c r="AM313" s="54"/>
      <c r="AN313" s="54"/>
      <c r="AO313" s="54"/>
      <c r="AP313" s="54"/>
      <c r="AQ313" s="54"/>
      <c r="AR313" s="54"/>
      <c r="AS313" s="54"/>
      <c r="AT313" s="54"/>
      <c r="AU313" s="54"/>
      <c r="AV313" s="54"/>
      <c r="AW313" s="54"/>
      <c r="AX313" s="54"/>
      <c r="AY313" s="54"/>
      <c r="AZ313" s="54"/>
      <c r="BA313" s="54"/>
      <c r="BB313" s="54"/>
      <c r="BC313" s="54"/>
      <c r="BD313" s="54"/>
      <c r="BE313" s="54"/>
      <c r="BF313" s="54"/>
      <c r="BG313" s="54"/>
    </row>
  </sheetData>
  <mergeCells count="11">
    <mergeCell ref="BB1:BG1"/>
    <mergeCell ref="H1:K1"/>
    <mergeCell ref="B1:F1"/>
    <mergeCell ref="L1:Q1"/>
    <mergeCell ref="R1:T1"/>
    <mergeCell ref="U1:W1"/>
    <mergeCell ref="X1:AC1"/>
    <mergeCell ref="AD1:AI1"/>
    <mergeCell ref="AJ1:AO1"/>
    <mergeCell ref="AP1:AU1"/>
    <mergeCell ref="AV1:BA1"/>
  </mergeCells>
  <phoneticPr fontId="21" type="noConversion"/>
  <pageMargins left="0.7" right="0.7" top="0.75" bottom="0.75" header="0.3" footer="0.3"/>
  <legacy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b A H X 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s A d 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A H X W i i K R 7 g O A A A A E Q A A A B M A H A B G b 3 J t d W x h c y 9 T Z W N 0 a W 9 u M S 5 t I K I Y A C i g F A A A A A A A A A A A A A A A A A A A A A A A A A A A A C t O T S 7 J z M 9 T C I b Q h t Y A U E s B A i 0 A F A A C A A g A b A H X W i L k O f y j A A A A 9 g A A A B I A A A A A A A A A A A A A A A A A A A A A A E N v b m Z p Z y 9 Q Y W N r Y W d l L n h t b F B L A Q I t A B Q A A g A I A G w B 1 1 o P y u m r p A A A A O k A A A A T A A A A A A A A A A A A A A A A A O 8 A A A B b Q 2 9 u d G V u d F 9 U e X B l c 1 0 u e G 1 s U E s B A i 0 A F A A C A A g A b A H X 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M z B F v F N G x J s a l P y J A 6 7 q A A A A A A A g A A A A A A E G Y A A A A B A A A g A A A A v O P h m p W d W + R K U L X 9 5 / t 3 A 7 Z t O d p 8 L X 8 9 c N / U a w w L D 3 I A A A A A D o A A A A A C A A A g A A A A p d G x m J Z Y e T k 5 s s f b X B g k G H V 9 i 4 L 2 5 / C 2 G Y / 1 o i 1 w O n N Q A A A A y V B 6 w 9 G / 4 m 4 V 9 7 3 z Q + 6 R V 0 H m / 2 G N s F j 7 B I K Z J k 2 t W A 3 N Z w l t Z g J f D H j 9 g H q / 5 j f X K e K K G 3 B 3 R r i v x B J D l f K A 6 g F C 0 e b B + m d E y p y O U r W F A D 9 A A A A A j N H L C p n B l K c F H q P F A L c Q c 8 N Z H L q m Q z d E 7 E W p o d R n y p w / G l T Y W K f o p D I W 5 T l 9 2 W b 4 I W o J p J / x D V x C 8 z G Q W Q o d A Q = = < / D a t a M a s h u p > 
</file>

<file path=customXml/itemProps1.xml><?xml version="1.0" encoding="utf-8"?>
<ds:datastoreItem xmlns:ds="http://schemas.openxmlformats.org/officeDocument/2006/customXml" ds:itemID="{3977FC2F-E9A1-4742-A8C7-4CB9DBEAEE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vt:lpstr>
      <vt:lpstr>User Guide</vt:lpstr>
      <vt:lpstr>Material Modeler</vt:lpstr>
      <vt:lpstr>Material Database</vt:lpstr>
    </vt:vector>
  </TitlesOfParts>
  <Company>Ericsson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Ibrahim</dc:creator>
  <cp:lastModifiedBy>Ahmed Ibrahim</cp:lastModifiedBy>
  <dcterms:created xsi:type="dcterms:W3CDTF">2024-10-04T04:04:47Z</dcterms:created>
  <dcterms:modified xsi:type="dcterms:W3CDTF">2025-06-23T05:51:11Z</dcterms:modified>
</cp:coreProperties>
</file>