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ustomProperty48.bin" ContentType="application/vnd.openxmlformats-officedocument.spreadsheetml.customProperty"/>
  <Override PartName="/xl/customProperty49.bin" ContentType="application/vnd.openxmlformats-officedocument.spreadsheetml.customProperty"/>
  <Override PartName="/xl/customProperty50.bin" ContentType="application/vnd.openxmlformats-officedocument.spreadsheetml.customProperty"/>
  <Override PartName="/xl/customProperty51.bin" ContentType="application/vnd.openxmlformats-officedocument.spreadsheetml.customProperty"/>
  <Override PartName="/xl/customProperty52.bin" ContentType="application/vnd.openxmlformats-officedocument.spreadsheetml.customProperty"/>
  <Override PartName="/xl/customProperty53.bin" ContentType="application/vnd.openxmlformats-officedocument.spreadsheetml.customProperty"/>
  <Override PartName="/xl/customProperty54.bin" ContentType="application/vnd.openxmlformats-officedocument.spreadsheetml.customProperty"/>
  <Override PartName="/xl/customProperty55.bin" ContentType="application/vnd.openxmlformats-officedocument.spreadsheetml.customProperty"/>
  <Override PartName="/xl/customProperty56.bin" ContentType="application/vnd.openxmlformats-officedocument.spreadsheetml.customProperty"/>
  <Override PartName="/xl/customProperty57.bin" ContentType="application/vnd.openxmlformats-officedocument.spreadsheetml.customProperty"/>
  <Override PartName="/xl/customProperty58.bin" ContentType="application/vnd.openxmlformats-officedocument.spreadsheetml.customProperty"/>
  <Override PartName="/xl/customProperty59.bin" ContentType="application/vnd.openxmlformats-officedocument.spreadsheetml.customProperty"/>
  <Override PartName="/xl/customProperty6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eresewang/Desktop/python_excel_project/"/>
    </mc:Choice>
  </mc:AlternateContent>
  <xr:revisionPtr revIDLastSave="0" documentId="13_ncr:1_{6F6D8273-AE9C-6145-BCDC-F0801337AF2C}" xr6:coauthVersionLast="45" xr6:coauthVersionMax="45" xr10:uidLastSave="{00000000-0000-0000-0000-000000000000}"/>
  <bookViews>
    <workbookView xWindow="0" yWindow="460" windowWidth="28800" windowHeight="14100" activeTab="1" xr2:uid="{00000000-000D-0000-FFFF-FFFF00000000}"/>
  </bookViews>
  <sheets>
    <sheet name="input" sheetId="4" r:id="rId1"/>
    <sheet name="Data" sheetId="11" r:id="rId2"/>
    <sheet name="Data_compensation" sheetId="13" r:id="rId3"/>
    <sheet name="AUM and Account metrics" sheetId="1" r:id="rId4"/>
    <sheet name="Capital and Operating" sheetId="2" r:id="rId5"/>
    <sheet name="oldTravel, training and expense" sheetId="3" state="hidden" r:id="rId6"/>
    <sheet name="Travel, training and expense" sheetId="7" r:id="rId7"/>
    <sheet name="Compensation" sheetId="9" r:id="rId8"/>
    <sheet name="Total expenses" sheetId="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1" l="1"/>
  <c r="K2" i="1" l="1"/>
  <c r="G3" i="1"/>
  <c r="H3" i="1"/>
  <c r="I3" i="1"/>
  <c r="J3" i="1"/>
  <c r="K3" i="1"/>
  <c r="G13" i="1"/>
  <c r="H13" i="1"/>
  <c r="P13" i="1" s="1"/>
  <c r="I13" i="1"/>
  <c r="J13" i="1"/>
  <c r="K13" i="1"/>
  <c r="G16" i="1"/>
  <c r="H16" i="1"/>
  <c r="Q13" i="1" s="1"/>
  <c r="I16" i="1"/>
  <c r="J16" i="1"/>
  <c r="K16" i="1"/>
  <c r="G19" i="1"/>
  <c r="H19" i="1"/>
  <c r="R13" i="1" s="1"/>
  <c r="I19" i="1"/>
  <c r="J19" i="1"/>
  <c r="K19" i="1"/>
  <c r="P22" i="1"/>
  <c r="Q22" i="1"/>
  <c r="G25" i="1"/>
  <c r="H25" i="1"/>
  <c r="I25" i="1"/>
  <c r="J25" i="1"/>
  <c r="K25" i="1"/>
  <c r="G31" i="1"/>
  <c r="H31" i="1"/>
  <c r="I31" i="1"/>
  <c r="J31" i="1"/>
  <c r="K31" i="1"/>
  <c r="F2" i="7"/>
  <c r="G2" i="7"/>
  <c r="H2" i="7"/>
  <c r="E18" i="7"/>
  <c r="F18" i="7"/>
  <c r="G18" i="7"/>
  <c r="H18" i="7"/>
  <c r="I18" i="7"/>
  <c r="F2" i="9"/>
  <c r="G2" i="9"/>
  <c r="H2" i="9"/>
  <c r="F2" i="6"/>
  <c r="G2" i="6"/>
  <c r="H2" i="6"/>
  <c r="R19" i="1" l="1"/>
  <c r="R16" i="1"/>
  <c r="Q19" i="1"/>
  <c r="Q16" i="1"/>
  <c r="P19" i="1"/>
  <c r="P16" i="1"/>
  <c r="G13" i="11"/>
  <c r="G12" i="11"/>
  <c r="G15" i="11" l="1"/>
  <c r="F15" i="11"/>
  <c r="E15" i="11"/>
  <c r="D15" i="11"/>
  <c r="C15" i="11"/>
  <c r="G14" i="11"/>
  <c r="F14" i="11"/>
  <c r="E14" i="11"/>
  <c r="D14" i="11"/>
  <c r="C14" i="11"/>
  <c r="C9" i="11" l="1"/>
  <c r="E9" i="11"/>
  <c r="F9" i="11"/>
  <c r="G9" i="11"/>
  <c r="C10" i="11"/>
  <c r="E10" i="11"/>
  <c r="F10" i="11"/>
  <c r="G10" i="11"/>
  <c r="G11" i="11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D2" i="13"/>
  <c r="F2" i="13" s="1"/>
  <c r="C12" i="11"/>
  <c r="C13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D16" i="11"/>
  <c r="E16" i="11"/>
  <c r="F16" i="11"/>
  <c r="G16" i="11"/>
  <c r="C16" i="11"/>
  <c r="D8" i="11" l="1"/>
  <c r="D5" i="11"/>
  <c r="D11" i="11"/>
  <c r="D9" i="11"/>
  <c r="C8" i="11"/>
  <c r="C11" i="11"/>
  <c r="D10" i="11"/>
  <c r="F5" i="11"/>
  <c r="F8" i="11"/>
  <c r="F11" i="11"/>
  <c r="E5" i="11"/>
  <c r="E8" i="11"/>
  <c r="E11" i="11"/>
  <c r="E2" i="13"/>
  <c r="F13" i="11"/>
  <c r="E13" i="11"/>
  <c r="D13" i="11"/>
  <c r="F12" i="11"/>
  <c r="E12" i="11"/>
  <c r="D12" i="11"/>
  <c r="D7" i="11"/>
  <c r="D3" i="11"/>
  <c r="D2" i="11"/>
  <c r="G24" i="11"/>
  <c r="F24" i="11"/>
  <c r="E24" i="11"/>
  <c r="D24" i="11"/>
  <c r="C24" i="11"/>
  <c r="G5" i="11"/>
  <c r="G4" i="11"/>
  <c r="G3" i="11"/>
  <c r="I14" i="4"/>
  <c r="I4" i="4"/>
  <c r="I5" i="4"/>
  <c r="I6" i="4"/>
  <c r="I7" i="4"/>
  <c r="I8" i="4"/>
  <c r="I9" i="4"/>
  <c r="I10" i="4"/>
  <c r="I11" i="4"/>
  <c r="I12" i="4"/>
  <c r="I13" i="4"/>
  <c r="I3" i="4"/>
  <c r="E2" i="7" l="1"/>
  <c r="E2" i="9"/>
  <c r="E2" i="6"/>
  <c r="H2" i="1"/>
  <c r="D2" i="2"/>
  <c r="C2" i="13"/>
  <c r="E2" i="11"/>
  <c r="E3" i="11"/>
  <c r="C7" i="11"/>
  <c r="C4" i="11"/>
  <c r="F3" i="11"/>
  <c r="F7" i="11"/>
  <c r="C6" i="11"/>
  <c r="C3" i="11"/>
  <c r="E7" i="11"/>
  <c r="D4" i="11"/>
  <c r="D6" i="11"/>
  <c r="E4" i="11"/>
  <c r="E6" i="11"/>
  <c r="F4" i="11"/>
  <c r="F6" i="11"/>
  <c r="G8" i="11"/>
  <c r="G6" i="11"/>
  <c r="G7" i="11"/>
  <c r="F2" i="11"/>
  <c r="C2" i="11"/>
  <c r="I19" i="3"/>
  <c r="H19" i="3"/>
  <c r="G19" i="3"/>
  <c r="F19" i="3"/>
  <c r="G2" i="1" l="1"/>
  <c r="C2" i="2"/>
  <c r="J2" i="1"/>
  <c r="F2" i="2"/>
  <c r="I2" i="1"/>
  <c r="E2" i="2"/>
  <c r="F2" i="3"/>
  <c r="G2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Nathan Lombardi</author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# of Accounts not forecasted / budgeted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Nathan Lombardi</author>
  </authors>
  <commentList>
    <comment ref="B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Nathan Lombardi:</t>
        </r>
        <r>
          <rPr>
            <sz val="9"/>
            <color indexed="81"/>
            <rFont val="Tahoma"/>
            <family val="2"/>
          </rPr>
          <t xml:space="preserve">
Total of the 5 lines above</t>
        </r>
      </text>
    </comment>
  </commentList>
</comments>
</file>

<file path=xl/sharedStrings.xml><?xml version="1.0" encoding="utf-8"?>
<sst xmlns="http://schemas.openxmlformats.org/spreadsheetml/2006/main" count="515" uniqueCount="113">
  <si>
    <t>Current Month</t>
  </si>
  <si>
    <t>May</t>
  </si>
  <si>
    <t>Reporting Month</t>
  </si>
  <si>
    <t>Next Month</t>
  </si>
  <si>
    <t>Prior Month</t>
  </si>
  <si>
    <t>Prior Month 2</t>
  </si>
  <si>
    <t>FY</t>
  </si>
  <si>
    <t>Current FY</t>
  </si>
  <si>
    <t>2020-yr</t>
  </si>
  <si>
    <t>November</t>
  </si>
  <si>
    <t>October</t>
  </si>
  <si>
    <t>September</t>
  </si>
  <si>
    <t>2019-yr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</si>
  <si>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</si>
  <si>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</si>
  <si>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</si>
  <si>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</si>
  <si>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</si>
  <si>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</si>
  <si>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</si>
  <si>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</si>
  <si>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Metric</t>
  </si>
  <si>
    <t>Full Year Forecast</t>
  </si>
  <si>
    <t>AUM / FTE (IT and Ops)</t>
  </si>
  <si>
    <t>Accounts / FTE (IT and Ops)</t>
  </si>
  <si>
    <t>Annualized Revenue / FTE (IT and Ops)</t>
  </si>
  <si>
    <t>AUM / FTE (IT only)</t>
  </si>
  <si>
    <t>Accounts / FTE (IT only)</t>
  </si>
  <si>
    <t>Annualized Revenue / FTE (IT only)</t>
  </si>
  <si>
    <t>AUM / FTE (Ops only)</t>
  </si>
  <si>
    <t>Accounts / FTE (Ops only)</t>
  </si>
  <si>
    <t>Annualized Revenue / FTE (Ops only)</t>
  </si>
  <si>
    <t>average comp for Ops*</t>
  </si>
  <si>
    <t>average comp for IT*</t>
  </si>
  <si>
    <t>Equipment and leasehold improvements</t>
  </si>
  <si>
    <t>Total software and systems</t>
  </si>
  <si>
    <t>Total travel</t>
  </si>
  <si>
    <t>Consulting services</t>
  </si>
  <si>
    <t>Software licenses</t>
  </si>
  <si>
    <t>Maintenance and repairs</t>
  </si>
  <si>
    <t>Small equipment</t>
  </si>
  <si>
    <t>Professional development</t>
  </si>
  <si>
    <t>Total professional services</t>
  </si>
  <si>
    <t>Total custody and back office</t>
  </si>
  <si>
    <t>Total all other expenses</t>
  </si>
  <si>
    <t>*FTE metrics include 20 HC related to Seattle infrastructure. AUM/Revenue and account metrics are displayed do not include PPA or ACM</t>
  </si>
  <si>
    <t>Subtotal salaries - base, overtime and temporary help</t>
  </si>
  <si>
    <t>Subtotal payroll taxes</t>
  </si>
  <si>
    <t>Bonus and incentive</t>
  </si>
  <si>
    <t>Benefits</t>
  </si>
  <si>
    <t>Other compensation</t>
  </si>
  <si>
    <t>Compensation and related costs</t>
  </si>
  <si>
    <t>Forecast</t>
  </si>
  <si>
    <t>Actual</t>
  </si>
  <si>
    <t>Monthly View</t>
  </si>
  <si>
    <t>YTD View</t>
  </si>
  <si>
    <t>CompanyCode</t>
  </si>
  <si>
    <t>FundClass</t>
  </si>
  <si>
    <t>Portfolio</t>
  </si>
  <si>
    <t>Source / Priority</t>
  </si>
  <si>
    <t>Custom3</t>
  </si>
  <si>
    <t>CostCenter / TransType</t>
  </si>
  <si>
    <t>AvgYTDAUM-XC</t>
  </si>
  <si>
    <t>Average AUM - YTD</t>
  </si>
  <si>
    <t>T_EV-AF</t>
  </si>
  <si>
    <t>Total Eaton Vance Corp. Manager</t>
  </si>
  <si>
    <t>T_Calvert-AF</t>
  </si>
  <si>
    <t>Revenue / FTE (IT and Ops)</t>
  </si>
  <si>
    <t>017000-XC</t>
  </si>
  <si>
    <t>Total accounts</t>
  </si>
  <si>
    <t>Revenue / FTE (IT only)</t>
  </si>
  <si>
    <t>Revenue-XC</t>
  </si>
  <si>
    <t>Total revenue</t>
  </si>
  <si>
    <t>Revenue / FTE (Ops only)</t>
  </si>
  <si>
    <t>ITOps-CC</t>
  </si>
  <si>
    <t>Total Information Technology and Operations - Shea</t>
  </si>
  <si>
    <t>PermHeadcount-XC</t>
  </si>
  <si>
    <t>Ending permanent employees</t>
  </si>
  <si>
    <t>Affiliate</t>
  </si>
  <si>
    <t>Info_Tech-CC</t>
  </si>
  <si>
    <t>Total Information Technology - Shea</t>
  </si>
  <si>
    <t>5-XC</t>
  </si>
  <si>
    <t>InvestOps-CC</t>
  </si>
  <si>
    <t>Total Investment Operations - Pieroni</t>
  </si>
  <si>
    <t>10000122-CC</t>
  </si>
  <si>
    <t>IT Infrastructure - Seattle</t>
  </si>
  <si>
    <t>Actuals</t>
  </si>
  <si>
    <t>2020</t>
  </si>
  <si>
    <t>EVM plus NextShares</t>
  </si>
  <si>
    <t>Total cost</t>
  </si>
  <si>
    <t>HFM Tracking</t>
  </si>
  <si>
    <t>Vendor</t>
  </si>
  <si>
    <t>On Behalf of</t>
  </si>
  <si>
    <t>Initiatives and service pools total</t>
  </si>
  <si>
    <t>1600-XC</t>
  </si>
  <si>
    <t>73-XC</t>
  </si>
  <si>
    <t>70-XC</t>
  </si>
  <si>
    <t>731X-XC</t>
  </si>
  <si>
    <t>732-XC</t>
  </si>
  <si>
    <t>735-XC</t>
  </si>
  <si>
    <t>736-XC</t>
  </si>
  <si>
    <t>782-XC</t>
  </si>
  <si>
    <t>74-XC</t>
  </si>
  <si>
    <t>751-XC</t>
  </si>
  <si>
    <t>Other expenses</t>
  </si>
  <si>
    <t>7-XC</t>
  </si>
  <si>
    <t>50-XC</t>
  </si>
  <si>
    <t>509-XC</t>
  </si>
  <si>
    <t>51_52-XC</t>
  </si>
  <si>
    <t>53_58-XC</t>
  </si>
  <si>
    <t>59-XC</t>
  </si>
  <si>
    <t>Expense-XC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</si>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</sst>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2" applyFont="1"/>
    <xf numFmtId="164" fontId="0" fillId="0" borderId="0" xfId="0" applyNumberFormat="1"/>
    <xf numFmtId="43" fontId="0" fillId="0" borderId="0" xfId="0" applyNumberFormat="1"/>
    <xf numFmtId="164" fontId="0" fillId="0" borderId="0" xfId="1" applyNumberFormat="1" applyFon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43" fontId="0" fillId="0" borderId="0" xfId="1" applyFont="1"/>
    <xf numFmtId="164" fontId="0" fillId="2" borderId="1" xfId="1" applyNumberFormat="1" applyFont="1" applyFill="1" applyBorder="1" applyAlignment="1">
      <alignment horizontal="center" wrapText="1"/>
    </xf>
    <xf numFmtId="164" fontId="0" fillId="2" borderId="2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164" fontId="0" fillId="2" borderId="4" xfId="1" applyNumberFormat="1" applyFont="1" applyFill="1" applyBorder="1" applyAlignment="1">
      <alignment horizontal="center" wrapText="1"/>
    </xf>
    <xf numFmtId="164" fontId="0" fillId="2" borderId="0" xfId="1" applyNumberFormat="1" applyFont="1" applyFill="1" applyBorder="1" applyAlignment="1">
      <alignment horizontal="center" wrapText="1"/>
    </xf>
    <xf numFmtId="164" fontId="0" fillId="2" borderId="5" xfId="1" applyNumberFormat="1" applyFont="1" applyFill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164" fontId="0" fillId="2" borderId="8" xfId="1" applyNumberFormat="1" applyFont="1" applyFill="1" applyBorder="1"/>
    <xf numFmtId="43" fontId="0" fillId="2" borderId="0" xfId="1" applyFont="1" applyFill="1"/>
    <xf numFmtId="0" fontId="0" fillId="0" borderId="1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164" fontId="0" fillId="0" borderId="11" xfId="1" applyNumberFormat="1" applyFont="1" applyBorder="1"/>
    <xf numFmtId="49" fontId="0" fillId="0" borderId="10" xfId="0" quotePrefix="1" applyNumberFormat="1" applyBorder="1"/>
    <xf numFmtId="164" fontId="0" fillId="0" borderId="13" xfId="1" applyNumberFormat="1" applyFont="1" applyBorder="1"/>
    <xf numFmtId="0" fontId="2" fillId="0" borderId="7" xfId="0" applyFont="1" applyBorder="1"/>
    <xf numFmtId="49" fontId="0" fillId="0" borderId="12" xfId="0" quotePrefix="1" applyNumberFormat="1" applyBorder="1"/>
    <xf numFmtId="0" fontId="0" fillId="0" borderId="14" xfId="0" applyBorder="1"/>
    <xf numFmtId="164" fontId="0" fillId="0" borderId="15" xfId="1" applyNumberFormat="1" applyFont="1" applyBorder="1"/>
    <xf numFmtId="49" fontId="0" fillId="0" borderId="10" xfId="0" applyNumberFormat="1" applyBorder="1"/>
    <xf numFmtId="49" fontId="0" fillId="0" borderId="14" xfId="0" quotePrefix="1" applyNumberFormat="1" applyBorder="1"/>
    <xf numFmtId="164" fontId="0" fillId="0" borderId="11" xfId="1" applyNumberFormat="1" applyFont="1" applyFill="1" applyBorder="1"/>
    <xf numFmtId="164" fontId="0" fillId="4" borderId="0" xfId="1" applyNumberFormat="1" applyFont="1" applyFill="1"/>
    <xf numFmtId="164" fontId="3" fillId="4" borderId="0" xfId="1" applyNumberFormat="1" applyFont="1" applyFill="1"/>
    <xf numFmtId="165" fontId="0" fillId="0" borderId="0" xfId="1" applyNumberFormat="1" applyFont="1"/>
    <xf numFmtId="164" fontId="0" fillId="5" borderId="11" xfId="1" applyNumberFormat="1" applyFont="1" applyFill="1" applyBorder="1"/>
    <xf numFmtId="0" fontId="2" fillId="0" borderId="7" xfId="0" applyFont="1" applyBorder="1" applyAlignment="1">
      <alignment horizontal="center"/>
    </xf>
    <xf numFmtId="49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8.bin"/><Relationship Id="rId3" Type="http://schemas.openxmlformats.org/officeDocument/2006/relationships/customProperty" Target="../customProperty13.bin"/><Relationship Id="rId7" Type="http://schemas.openxmlformats.org/officeDocument/2006/relationships/customProperty" Target="../customProperty17.bin"/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Relationship Id="rId6" Type="http://schemas.openxmlformats.org/officeDocument/2006/relationships/customProperty" Target="../customProperty16.bin"/><Relationship Id="rId5" Type="http://schemas.openxmlformats.org/officeDocument/2006/relationships/customProperty" Target="../customProperty15.bin"/><Relationship Id="rId10" Type="http://schemas.openxmlformats.org/officeDocument/2006/relationships/customProperty" Target="../customProperty20.bin"/><Relationship Id="rId4" Type="http://schemas.openxmlformats.org/officeDocument/2006/relationships/customProperty" Target="../customProperty14.bin"/><Relationship Id="rId9" Type="http://schemas.openxmlformats.org/officeDocument/2006/relationships/customProperty" Target="../customProperty1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7.bin"/><Relationship Id="rId3" Type="http://schemas.openxmlformats.org/officeDocument/2006/relationships/customProperty" Target="../customProperty22.bin"/><Relationship Id="rId7" Type="http://schemas.openxmlformats.org/officeDocument/2006/relationships/customProperty" Target="../customProperty26.bin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5.bin"/><Relationship Id="rId11" Type="http://schemas.openxmlformats.org/officeDocument/2006/relationships/customProperty" Target="../customProperty30.bin"/><Relationship Id="rId5" Type="http://schemas.openxmlformats.org/officeDocument/2006/relationships/customProperty" Target="../customProperty24.bin"/><Relationship Id="rId10" Type="http://schemas.openxmlformats.org/officeDocument/2006/relationships/customProperty" Target="../customProperty29.bin"/><Relationship Id="rId4" Type="http://schemas.openxmlformats.org/officeDocument/2006/relationships/customProperty" Target="../customProperty23.bin"/><Relationship Id="rId9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7.bin"/><Relationship Id="rId3" Type="http://schemas.openxmlformats.org/officeDocument/2006/relationships/customProperty" Target="../customProperty32.bin"/><Relationship Id="rId7" Type="http://schemas.openxmlformats.org/officeDocument/2006/relationships/customProperty" Target="../customProperty36.bin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35.bin"/><Relationship Id="rId11" Type="http://schemas.openxmlformats.org/officeDocument/2006/relationships/customProperty" Target="../customProperty40.bin"/><Relationship Id="rId5" Type="http://schemas.openxmlformats.org/officeDocument/2006/relationships/customProperty" Target="../customProperty34.bin"/><Relationship Id="rId10" Type="http://schemas.openxmlformats.org/officeDocument/2006/relationships/customProperty" Target="../customProperty39.bin"/><Relationship Id="rId4" Type="http://schemas.openxmlformats.org/officeDocument/2006/relationships/customProperty" Target="../customProperty33.bin"/><Relationship Id="rId9" Type="http://schemas.openxmlformats.org/officeDocument/2006/relationships/customProperty" Target="../customProperty3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47.bin"/><Relationship Id="rId3" Type="http://schemas.openxmlformats.org/officeDocument/2006/relationships/customProperty" Target="../customProperty42.bin"/><Relationship Id="rId7" Type="http://schemas.openxmlformats.org/officeDocument/2006/relationships/customProperty" Target="../customProperty46.bin"/><Relationship Id="rId2" Type="http://schemas.openxmlformats.org/officeDocument/2006/relationships/customProperty" Target="../customProperty41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45.bin"/><Relationship Id="rId11" Type="http://schemas.openxmlformats.org/officeDocument/2006/relationships/customProperty" Target="../customProperty50.bin"/><Relationship Id="rId5" Type="http://schemas.openxmlformats.org/officeDocument/2006/relationships/customProperty" Target="../customProperty44.bin"/><Relationship Id="rId10" Type="http://schemas.openxmlformats.org/officeDocument/2006/relationships/customProperty" Target="../customProperty49.bin"/><Relationship Id="rId4" Type="http://schemas.openxmlformats.org/officeDocument/2006/relationships/customProperty" Target="../customProperty43.bin"/><Relationship Id="rId9" Type="http://schemas.openxmlformats.org/officeDocument/2006/relationships/customProperty" Target="../customProperty4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7.bin"/><Relationship Id="rId3" Type="http://schemas.openxmlformats.org/officeDocument/2006/relationships/customProperty" Target="../customProperty52.bin"/><Relationship Id="rId7" Type="http://schemas.openxmlformats.org/officeDocument/2006/relationships/customProperty" Target="../customProperty56.bin"/><Relationship Id="rId2" Type="http://schemas.openxmlformats.org/officeDocument/2006/relationships/customProperty" Target="../customProperty5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55.bin"/><Relationship Id="rId11" Type="http://schemas.openxmlformats.org/officeDocument/2006/relationships/customProperty" Target="../customProperty60.bin"/><Relationship Id="rId5" Type="http://schemas.openxmlformats.org/officeDocument/2006/relationships/customProperty" Target="../customProperty54.bin"/><Relationship Id="rId10" Type="http://schemas.openxmlformats.org/officeDocument/2006/relationships/customProperty" Target="../customProperty59.bin"/><Relationship Id="rId4" Type="http://schemas.openxmlformats.org/officeDocument/2006/relationships/customProperty" Target="../customProperty53.bin"/><Relationship Id="rId9" Type="http://schemas.openxmlformats.org/officeDocument/2006/relationships/customProperty" Target="../customProperty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L14"/>
  <sheetViews>
    <sheetView showGridLines="0" topLeftCell="A2" zoomScale="175" zoomScaleNormal="175" workbookViewId="0">
      <selection activeCell="D7" sqref="D7"/>
    </sheetView>
  </sheetViews>
  <sheetFormatPr baseColWidth="10" defaultColWidth="8.83203125" defaultRowHeight="15" x14ac:dyDescent="0.2"/>
  <cols>
    <col min="1" max="1" width="0.83203125" customWidth="1"/>
    <col min="2" max="2" width="14.1640625" bestFit="1" customWidth="1"/>
    <col min="3" max="3" width="10.5" bestFit="1" customWidth="1"/>
    <col min="8" max="8" width="16.1640625" bestFit="1" customWidth="1"/>
    <col min="9" max="9" width="16.1640625" customWidth="1"/>
    <col min="10" max="10" width="11.5" bestFit="1" customWidth="1"/>
    <col min="11" max="11" width="13.1640625" bestFit="1" customWidth="1"/>
  </cols>
  <sheetData>
    <row r="1" spans="2:12" ht="3.75" customHeight="1" thickBot="1" x14ac:dyDescent="0.25"/>
    <row r="2" spans="2:12" ht="16" thickBot="1" x14ac:dyDescent="0.25">
      <c r="B2" s="22" t="s">
        <v>0</v>
      </c>
      <c r="C2" s="24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2:12" ht="16" thickBot="1" x14ac:dyDescent="0.25">
      <c r="B3" s="23" t="s">
        <v>7</v>
      </c>
      <c r="C3" s="24" t="s">
        <v>8</v>
      </c>
      <c r="H3" t="s">
        <v>9</v>
      </c>
      <c r="I3" t="str">
        <f>H4</f>
        <v>December</v>
      </c>
      <c r="J3" t="s">
        <v>10</v>
      </c>
      <c r="K3" t="s">
        <v>11</v>
      </c>
      <c r="L3" t="s">
        <v>12</v>
      </c>
    </row>
    <row r="4" spans="2:12" x14ac:dyDescent="0.2">
      <c r="H4" t="s">
        <v>13</v>
      </c>
      <c r="I4" t="str">
        <f t="shared" ref="I4:I13" si="0">H5</f>
        <v>January</v>
      </c>
      <c r="J4" t="s">
        <v>9</v>
      </c>
      <c r="K4" t="s">
        <v>10</v>
      </c>
      <c r="L4" t="s">
        <v>12</v>
      </c>
    </row>
    <row r="5" spans="2:12" x14ac:dyDescent="0.2">
      <c r="H5" t="s">
        <v>14</v>
      </c>
      <c r="I5" t="str">
        <f t="shared" si="0"/>
        <v>February</v>
      </c>
      <c r="J5" t="s">
        <v>13</v>
      </c>
      <c r="K5" t="s">
        <v>9</v>
      </c>
      <c r="L5" t="s">
        <v>8</v>
      </c>
    </row>
    <row r="6" spans="2:12" x14ac:dyDescent="0.2">
      <c r="H6" t="s">
        <v>15</v>
      </c>
      <c r="I6" t="str">
        <f t="shared" si="0"/>
        <v>March</v>
      </c>
      <c r="J6" t="s">
        <v>14</v>
      </c>
      <c r="K6" t="s">
        <v>13</v>
      </c>
      <c r="L6" t="s">
        <v>8</v>
      </c>
    </row>
    <row r="7" spans="2:12" x14ac:dyDescent="0.2">
      <c r="H7" t="s">
        <v>16</v>
      </c>
      <c r="I7" t="str">
        <f t="shared" si="0"/>
        <v>April</v>
      </c>
      <c r="J7" t="s">
        <v>15</v>
      </c>
      <c r="K7" t="s">
        <v>14</v>
      </c>
      <c r="L7" t="s">
        <v>8</v>
      </c>
    </row>
    <row r="8" spans="2:12" x14ac:dyDescent="0.2">
      <c r="H8" t="s">
        <v>17</v>
      </c>
      <c r="I8" t="str">
        <f t="shared" si="0"/>
        <v>May</v>
      </c>
      <c r="J8" t="s">
        <v>16</v>
      </c>
      <c r="K8" t="s">
        <v>15</v>
      </c>
      <c r="L8" t="s">
        <v>8</v>
      </c>
    </row>
    <row r="9" spans="2:12" x14ac:dyDescent="0.2">
      <c r="H9" t="s">
        <v>1</v>
      </c>
      <c r="I9" t="str">
        <f t="shared" si="0"/>
        <v>June</v>
      </c>
      <c r="J9" t="s">
        <v>17</v>
      </c>
      <c r="K9" t="s">
        <v>16</v>
      </c>
      <c r="L9" t="s">
        <v>8</v>
      </c>
    </row>
    <row r="10" spans="2:12" x14ac:dyDescent="0.2">
      <c r="H10" t="s">
        <v>18</v>
      </c>
      <c r="I10" t="str">
        <f t="shared" si="0"/>
        <v>July</v>
      </c>
      <c r="J10" t="s">
        <v>1</v>
      </c>
      <c r="K10" t="s">
        <v>17</v>
      </c>
      <c r="L10" t="s">
        <v>8</v>
      </c>
    </row>
    <row r="11" spans="2:12" x14ac:dyDescent="0.2">
      <c r="H11" t="s">
        <v>19</v>
      </c>
      <c r="I11" t="str">
        <f t="shared" si="0"/>
        <v>August</v>
      </c>
      <c r="J11" t="s">
        <v>18</v>
      </c>
      <c r="K11" t="s">
        <v>1</v>
      </c>
      <c r="L11" t="s">
        <v>8</v>
      </c>
    </row>
    <row r="12" spans="2:12" x14ac:dyDescent="0.2">
      <c r="H12" t="s">
        <v>20</v>
      </c>
      <c r="I12" t="str">
        <f t="shared" si="0"/>
        <v>September</v>
      </c>
      <c r="J12" t="s">
        <v>19</v>
      </c>
      <c r="K12" t="s">
        <v>18</v>
      </c>
      <c r="L12" t="s">
        <v>8</v>
      </c>
    </row>
    <row r="13" spans="2:12" x14ac:dyDescent="0.2">
      <c r="H13" t="s">
        <v>11</v>
      </c>
      <c r="I13" t="str">
        <f t="shared" si="0"/>
        <v>October</v>
      </c>
      <c r="J13" t="s">
        <v>20</v>
      </c>
      <c r="K13" t="s">
        <v>19</v>
      </c>
      <c r="L13" t="s">
        <v>8</v>
      </c>
    </row>
    <row r="14" spans="2:12" x14ac:dyDescent="0.2">
      <c r="H14" t="s">
        <v>10</v>
      </c>
      <c r="I14" t="str">
        <f>H3</f>
        <v>November</v>
      </c>
      <c r="J14" t="s">
        <v>11</v>
      </c>
      <c r="K14" t="s">
        <v>20</v>
      </c>
      <c r="L14" t="s">
        <v>8</v>
      </c>
    </row>
  </sheetData>
  <dataValidations count="1">
    <dataValidation type="list" allowBlank="1" showInputMessage="1" showErrorMessage="1" sqref="C2" xr:uid="{00000000-0002-0000-0000-000000000000}">
      <formula1>$H$3:$H$14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G26"/>
  <sheetViews>
    <sheetView showGridLines="0" tabSelected="1" workbookViewId="0">
      <selection activeCell="E7" sqref="E7"/>
    </sheetView>
  </sheetViews>
  <sheetFormatPr baseColWidth="10" defaultColWidth="8.83203125" defaultRowHeight="15" x14ac:dyDescent="0.2"/>
  <cols>
    <col min="1" max="1" width="0.6640625" customWidth="1"/>
    <col min="2" max="2" width="38" bestFit="1" customWidth="1"/>
    <col min="3" max="3" width="14.33203125" bestFit="1" customWidth="1"/>
    <col min="4" max="6" width="14.1640625" customWidth="1"/>
    <col min="7" max="7" width="16.5" bestFit="1" customWidth="1"/>
  </cols>
  <sheetData>
    <row r="1" spans="2:7" ht="3.75" customHeight="1" x14ac:dyDescent="0.2"/>
    <row r="2" spans="2:7" ht="16" thickBot="1" x14ac:dyDescent="0.25">
      <c r="B2" s="29" t="s">
        <v>21</v>
      </c>
      <c r="C2" s="40" t="str">
        <f>VLOOKUP($D$2,input!$H$3:$K$14,2,FALSE)</f>
        <v>June</v>
      </c>
      <c r="D2" s="40" t="str">
        <f>input!$C$2</f>
        <v>May</v>
      </c>
      <c r="E2" s="40" t="str">
        <f>VLOOKUP($D$2,input!$H$3:$K$14,3,FALSE)</f>
        <v>April</v>
      </c>
      <c r="F2" s="40" t="str">
        <f>VLOOKUP($D$2,input!$H$3:$K$14,4,FALSE)</f>
        <v>March</v>
      </c>
      <c r="G2" s="40" t="s">
        <v>22</v>
      </c>
    </row>
    <row r="3" spans="2:7" x14ac:dyDescent="0.2">
      <c r="B3" s="31" t="s">
        <v>23</v>
      </c>
      <c r="C3" s="32">
        <f>'AUM and Account metrics'!G13/'AUM and Account metrics'!G20</f>
        <v>853133257.67212546</v>
      </c>
      <c r="D3" s="32">
        <f>'AUM and Account metrics'!H13/'AUM and Account metrics'!H20</f>
        <v>918272217.57721591</v>
      </c>
      <c r="E3" s="32">
        <f>'AUM and Account metrics'!I13/'AUM and Account metrics'!I20</f>
        <v>918355626.42427266</v>
      </c>
      <c r="F3" s="32">
        <f>'AUM and Account metrics'!J13/'AUM and Account metrics'!J20</f>
        <v>937608054.52356374</v>
      </c>
      <c r="G3" s="32">
        <f>'AUM and Account metrics'!K13/'AUM and Account metrics'!K20</f>
        <v>814973300.29092777</v>
      </c>
    </row>
    <row r="4" spans="2:7" x14ac:dyDescent="0.2">
      <c r="B4" s="25" t="s">
        <v>24</v>
      </c>
      <c r="C4" s="35">
        <f>'AUM and Account metrics'!G16/'AUM and Account metrics'!G20</f>
        <v>0</v>
      </c>
      <c r="D4" s="26">
        <f>'AUM and Account metrics'!H16/'AUM and Account metrics'!H20</f>
        <v>256.4818181818182</v>
      </c>
      <c r="E4" s="26">
        <f>'AUM and Account metrics'!I16/'AUM and Account metrics'!I20</f>
        <v>254.97272727272727</v>
      </c>
      <c r="F4" s="26">
        <f>'AUM and Account metrics'!J16/'AUM and Account metrics'!J20</f>
        <v>258.41474654377879</v>
      </c>
      <c r="G4" s="35">
        <f>'AUM and Account metrics'!K16/'AUM and Account metrics'!K20</f>
        <v>0</v>
      </c>
    </row>
    <row r="5" spans="2:7" x14ac:dyDescent="0.2">
      <c r="B5" s="25" t="s">
        <v>25</v>
      </c>
      <c r="C5" s="26">
        <f>('AUM and Account metrics'!G19*12)/'AUM and Account metrics'!G20</f>
        <v>4665782.8002243107</v>
      </c>
      <c r="D5" s="26">
        <f>('AUM and Account metrics'!H19*12)/'AUM and Account metrics'!H20</f>
        <v>4890286.8569612717</v>
      </c>
      <c r="E5" s="26">
        <f>('AUM and Account metrics'!I19*12)/'AUM and Account metrics'!I20</f>
        <v>4675157.9837487265</v>
      </c>
      <c r="F5" s="26">
        <f>('AUM and Account metrics'!J19*12)/'AUM and Account metrics'!J20</f>
        <v>4856665.9121596301</v>
      </c>
      <c r="G5" s="26">
        <f>'AUM and Account metrics'!K19/'AUM and Account metrics'!K20</f>
        <v>4835438.6647223271</v>
      </c>
    </row>
    <row r="6" spans="2:7" x14ac:dyDescent="0.2">
      <c r="B6" s="25" t="s">
        <v>26</v>
      </c>
      <c r="C6" s="26">
        <f>'AUM and Account metrics'!G13/'AUM and Account metrics'!G24</f>
        <v>1020241833.917181</v>
      </c>
      <c r="D6" s="26">
        <f>'AUM and Account metrics'!H13/'AUM and Account metrics'!H24</f>
        <v>1103933813.4808059</v>
      </c>
      <c r="E6" s="26">
        <f>'AUM and Account metrics'!I13/'AUM and Account metrics'!I24</f>
        <v>1098033901.1594565</v>
      </c>
      <c r="F6" s="26">
        <f>'AUM and Account metrics'!J13/'AUM and Account metrics'!J24</f>
        <v>1130338599.0645185</v>
      </c>
      <c r="G6" s="26">
        <f>'AUM and Account metrics'!K13/'AUM and Account metrics'!K24</f>
        <v>974607245.70873833</v>
      </c>
    </row>
    <row r="7" spans="2:7" x14ac:dyDescent="0.2">
      <c r="B7" s="25" t="s">
        <v>27</v>
      </c>
      <c r="C7" s="35">
        <f>'AUM and Account metrics'!G16/'AUM and Account metrics'!G24</f>
        <v>0</v>
      </c>
      <c r="D7" s="26">
        <f>'AUM and Account metrics'!H16/'AUM and Account metrics'!H24</f>
        <v>308.33879781420762</v>
      </c>
      <c r="E7" s="26">
        <f>'AUM and Account metrics'!I16/'AUM and Account metrics'!I24</f>
        <v>304.85869565217394</v>
      </c>
      <c r="F7" s="26">
        <f>'AUM and Account metrics'!J16/'AUM and Account metrics'!J24</f>
        <v>311.53333333333336</v>
      </c>
      <c r="G7" s="35">
        <f>'AUM and Account metrics'!K16/'AUM and Account metrics'!K24</f>
        <v>0</v>
      </c>
    </row>
    <row r="8" spans="2:7" x14ac:dyDescent="0.2">
      <c r="B8" s="25" t="s">
        <v>28</v>
      </c>
      <c r="C8" s="26">
        <f>('AUM and Account metrics'!G19*12)/'AUM and Account metrics'!G24</f>
        <v>5579699.0188249489</v>
      </c>
      <c r="D8" s="26">
        <f>('AUM and Account metrics'!H19*12)/'AUM and Account metrics'!H24</f>
        <v>5879033.3799534421</v>
      </c>
      <c r="E8" s="26">
        <f>('AUM and Account metrics'!I19*12)/'AUM and Account metrics'!I24</f>
        <v>5589862.8066560859</v>
      </c>
      <c r="F8" s="26">
        <f>('AUM and Account metrics'!J19*12)/'AUM and Account metrics'!J24</f>
        <v>5854980.5718813324</v>
      </c>
      <c r="G8" s="26">
        <f>'AUM and Account metrics'!K19/'AUM and Account metrics'!K24</f>
        <v>5782586.4444102058</v>
      </c>
    </row>
    <row r="9" spans="2:7" x14ac:dyDescent="0.2">
      <c r="B9" s="25" t="s">
        <v>29</v>
      </c>
      <c r="C9" s="35">
        <f>'AUM and Account metrics'!G13/'AUM and Account metrics'!G28</f>
        <v>5208603046.8403444</v>
      </c>
      <c r="D9" s="35">
        <f>'AUM and Account metrics'!H13/'AUM and Account metrics'!H28</f>
        <v>5459996969.3780403</v>
      </c>
      <c r="E9" s="35">
        <f>'AUM and Account metrics'!I13/'AUM and Account metrics'!I28</f>
        <v>5612173272.5927773</v>
      </c>
      <c r="F9" s="35">
        <f>'AUM and Account metrics'!J13/'AUM and Account metrics'!J28</f>
        <v>5498944535.9895496</v>
      </c>
      <c r="G9" s="35">
        <f>'AUM and Account metrics'!K13/'AUM and Account metrics'!K28</f>
        <v>4975626464.9340849</v>
      </c>
    </row>
    <row r="10" spans="2:7" x14ac:dyDescent="0.2">
      <c r="B10" s="25" t="s">
        <v>30</v>
      </c>
      <c r="C10" s="35">
        <f>'AUM and Account metrics'!G16/'AUM and Account metrics'!G28</f>
        <v>0</v>
      </c>
      <c r="D10" s="35">
        <f>'AUM and Account metrics'!H16/'AUM and Account metrics'!H28</f>
        <v>1525.0270270270271</v>
      </c>
      <c r="E10" s="35">
        <f>'AUM and Account metrics'!I16/'AUM and Account metrics'!I28</f>
        <v>1558.1666666666667</v>
      </c>
      <c r="F10" s="35">
        <f>'AUM and Account metrics'!J16/'AUM and Account metrics'!J28</f>
        <v>1515.5675675675675</v>
      </c>
      <c r="G10" s="35">
        <f>'AUM and Account metrics'!K16/'AUM and Account metrics'!K28</f>
        <v>0</v>
      </c>
    </row>
    <row r="11" spans="2:7" x14ac:dyDescent="0.2">
      <c r="B11" s="25" t="s">
        <v>31</v>
      </c>
      <c r="C11" s="35">
        <f>('AUM and Account metrics'!G19*12)/'AUM and Account metrics'!G28</f>
        <v>28485831.83294842</v>
      </c>
      <c r="D11" s="35">
        <f>('AUM and Account metrics'!H19*12)/'AUM and Account metrics'!H28</f>
        <v>29077381.311661616</v>
      </c>
      <c r="E11" s="35">
        <f>('AUM and Account metrics'!I19*12)/'AUM and Account metrics'!I28</f>
        <v>28570409.900686663</v>
      </c>
      <c r="F11" s="35">
        <f>('AUM and Account metrics'!J19*12)/'AUM and Account metrics'!J28</f>
        <v>28483689.268611886</v>
      </c>
      <c r="G11" s="35">
        <f>'AUM and Account metrics'!K19/'AUM and Account metrics'!K28</f>
        <v>29521625.531988949</v>
      </c>
    </row>
    <row r="12" spans="2:7" x14ac:dyDescent="0.2">
      <c r="B12" s="25" t="s">
        <v>32</v>
      </c>
      <c r="C12" s="26">
        <f>('AUM and Account metrics'!G26/'AUM and Account metrics'!G28)*12</f>
        <v>139551.71574631584</v>
      </c>
      <c r="D12" s="26">
        <f>('AUM and Account metrics'!H26/'AUM and Account metrics'!H28)*12</f>
        <v>133818.68599135135</v>
      </c>
      <c r="E12" s="26">
        <f>('AUM and Account metrics'!I26/'AUM and Account metrics'!I28)*12</f>
        <v>124018.32723666666</v>
      </c>
      <c r="F12" s="26">
        <f>('AUM and Account metrics'!J26/'AUM and Account metrics'!J28)*12</f>
        <v>140524.35816324322</v>
      </c>
      <c r="G12" s="39">
        <f>('AUM and Account metrics'!K26/'AUM and Account metrics'!K28)</f>
        <v>146541.85951184211</v>
      </c>
    </row>
    <row r="13" spans="2:7" x14ac:dyDescent="0.2">
      <c r="B13" s="25" t="s">
        <v>33</v>
      </c>
      <c r="C13" s="26">
        <f>('AUM and Account metrics'!G22/'AUM and Account metrics'!G24)*12</f>
        <v>218761.18249113404</v>
      </c>
      <c r="D13" s="26">
        <f>('AUM and Account metrics'!H22/'AUM and Account metrics'!H24)*12</f>
        <v>215574.55275540985</v>
      </c>
      <c r="E13" s="26">
        <f>('AUM and Account metrics'!I22/'AUM and Account metrics'!I24)*12</f>
        <v>207006.24492847821</v>
      </c>
      <c r="F13" s="26">
        <f>('AUM and Account metrics'!J22/'AUM and Account metrics'!J24)*12</f>
        <v>223377.40481800001</v>
      </c>
      <c r="G13" s="39">
        <f>('AUM and Account metrics'!K22/'AUM and Account metrics'!K24)</f>
        <v>210119.78561974224</v>
      </c>
    </row>
    <row r="14" spans="2:7" x14ac:dyDescent="0.2">
      <c r="B14" s="25" t="s">
        <v>34</v>
      </c>
      <c r="C14" s="26">
        <f>'Capital and Operating'!C13</f>
        <v>4529809.66</v>
      </c>
      <c r="D14" s="26">
        <f>'Capital and Operating'!D13</f>
        <v>4037684.83</v>
      </c>
      <c r="E14" s="26">
        <f>'Capital and Operating'!E13</f>
        <v>3569029.0100000002</v>
      </c>
      <c r="F14" s="26">
        <f>'Capital and Operating'!F13</f>
        <v>2476470.1500000004</v>
      </c>
      <c r="G14" s="26">
        <f>'Capital and Operating'!G13</f>
        <v>7001868.9800000004</v>
      </c>
    </row>
    <row r="15" spans="2:7" x14ac:dyDescent="0.2">
      <c r="B15" s="25" t="s">
        <v>35</v>
      </c>
      <c r="C15" s="26">
        <f>'Capital and Operating'!C14</f>
        <v>5164277.6000000006</v>
      </c>
      <c r="D15" s="26">
        <f>'Capital and Operating'!D14</f>
        <v>5019672.1400000006</v>
      </c>
      <c r="E15" s="26">
        <f>'Capital and Operating'!E14</f>
        <v>4401038.5999999996</v>
      </c>
      <c r="F15" s="26">
        <f>'Capital and Operating'!F14</f>
        <v>6125790.3799999999</v>
      </c>
      <c r="G15" s="26">
        <f>'Capital and Operating'!G14</f>
        <v>59774999.830000006</v>
      </c>
    </row>
    <row r="16" spans="2:7" x14ac:dyDescent="0.2">
      <c r="B16" s="27" t="s">
        <v>36</v>
      </c>
      <c r="C16" s="26">
        <f>'Travel, training and expense'!E10</f>
        <v>2612.4460699999959</v>
      </c>
      <c r="D16" s="26">
        <f>'Travel, training and expense'!F10</f>
        <v>6652.4</v>
      </c>
      <c r="E16" s="26">
        <f>'Travel, training and expense'!G10</f>
        <v>4074.6599999999994</v>
      </c>
      <c r="F16" s="26">
        <f>'Travel, training and expense'!H10</f>
        <v>28518.544010000001</v>
      </c>
      <c r="G16" s="26">
        <f>'Travel, training and expense'!I10</f>
        <v>330539.58707000001</v>
      </c>
    </row>
    <row r="17" spans="2:7" x14ac:dyDescent="0.2">
      <c r="B17" s="33" t="s">
        <v>37</v>
      </c>
      <c r="C17" s="26">
        <f>'Travel, training and expense'!E11</f>
        <v>1664405.48</v>
      </c>
      <c r="D17" s="26">
        <f>'Travel, training and expense'!F11</f>
        <v>1573349.8599999999</v>
      </c>
      <c r="E17" s="26">
        <f>'Travel, training and expense'!G11</f>
        <v>1490790.0099999998</v>
      </c>
      <c r="F17" s="26">
        <f>'Travel, training and expense'!H11</f>
        <v>1496997.19</v>
      </c>
      <c r="G17" s="26">
        <f>'Travel, training and expense'!I11</f>
        <v>19187695.760000002</v>
      </c>
    </row>
    <row r="18" spans="2:7" x14ac:dyDescent="0.2">
      <c r="B18" s="27" t="s">
        <v>38</v>
      </c>
      <c r="C18" s="26">
        <f>'Travel, training and expense'!E12</f>
        <v>168332.13999999998</v>
      </c>
      <c r="D18" s="26">
        <f>'Travel, training and expense'!F12</f>
        <v>64223.239999999991</v>
      </c>
      <c r="E18" s="26">
        <f>'Travel, training and expense'!G12</f>
        <v>117212.25</v>
      </c>
      <c r="F18" s="26">
        <f>'Travel, training and expense'!H12</f>
        <v>511089.42000000004</v>
      </c>
      <c r="G18" s="26">
        <f>'Travel, training and expense'!I12</f>
        <v>2195460.1399999997</v>
      </c>
    </row>
    <row r="19" spans="2:7" x14ac:dyDescent="0.2">
      <c r="B19" s="33" t="s">
        <v>39</v>
      </c>
      <c r="C19" s="26">
        <f>'Travel, training and expense'!E13</f>
        <v>1631725.27</v>
      </c>
      <c r="D19" s="26">
        <f>'Travel, training and expense'!F13</f>
        <v>1761368.56436</v>
      </c>
      <c r="E19" s="26">
        <f>'Travel, training and expense'!G13</f>
        <v>1366404.98</v>
      </c>
      <c r="F19" s="26">
        <f>'Travel, training and expense'!H13</f>
        <v>1674353.9929599999</v>
      </c>
      <c r="G19" s="26">
        <f>'Travel, training and expense'!I13</f>
        <v>17827665.752439998</v>
      </c>
    </row>
    <row r="20" spans="2:7" x14ac:dyDescent="0.2">
      <c r="B20" s="27" t="s">
        <v>40</v>
      </c>
      <c r="C20" s="26">
        <f>'Travel, training and expense'!E14</f>
        <v>260775.66999999998</v>
      </c>
      <c r="D20" s="26">
        <f>'Travel, training and expense'!F14</f>
        <v>151625.25029</v>
      </c>
      <c r="E20" s="26">
        <f>'Travel, training and expense'!G14</f>
        <v>124723.73855000001</v>
      </c>
      <c r="F20" s="26">
        <f>'Travel, training and expense'!H14</f>
        <v>671860.58433999994</v>
      </c>
      <c r="G20" s="26">
        <f>'Travel, training and expense'!I14</f>
        <v>2724578.6436799993</v>
      </c>
    </row>
    <row r="21" spans="2:7" x14ac:dyDescent="0.2">
      <c r="B21" s="27" t="s">
        <v>41</v>
      </c>
      <c r="C21" s="26">
        <f>'Travel, training and expense'!E15</f>
        <v>613.35332000000017</v>
      </c>
      <c r="D21" s="26">
        <f>'Travel, training and expense'!F15</f>
        <v>9430.17</v>
      </c>
      <c r="E21" s="26">
        <f>'Travel, training and expense'!G15</f>
        <v>9914.4600000000009</v>
      </c>
      <c r="F21" s="26">
        <f>'Travel, training and expense'!H15</f>
        <v>31484.710999999996</v>
      </c>
      <c r="G21" s="26">
        <f>'Travel, training and expense'!I15</f>
        <v>197801.60582999996</v>
      </c>
    </row>
    <row r="22" spans="2:7" x14ac:dyDescent="0.2">
      <c r="B22" s="33" t="s">
        <v>42</v>
      </c>
      <c r="C22" s="26">
        <f>'Travel, training and expense'!E16</f>
        <v>4320.5966600000011</v>
      </c>
      <c r="D22" s="26">
        <f>'Travel, training and expense'!F16</f>
        <v>67388.09</v>
      </c>
      <c r="E22" s="26">
        <f>'Travel, training and expense'!G16</f>
        <v>9312.76</v>
      </c>
      <c r="F22" s="26">
        <f>'Travel, training and expense'!H16</f>
        <v>18704.760000000002</v>
      </c>
      <c r="G22" s="26">
        <f>'Travel, training and expense'!I16</f>
        <v>197590.56331999999</v>
      </c>
    </row>
    <row r="23" spans="2:7" x14ac:dyDescent="0.2">
      <c r="B23" s="27" t="s">
        <v>43</v>
      </c>
      <c r="C23" s="26">
        <f>'Travel, training and expense'!E17</f>
        <v>335000</v>
      </c>
      <c r="D23" s="26">
        <f>'Travel, training and expense'!F17</f>
        <v>345759.91</v>
      </c>
      <c r="E23" s="26">
        <f>'Travel, training and expense'!G17</f>
        <v>363760.95999999996</v>
      </c>
      <c r="F23" s="26">
        <f>'Travel, training and expense'!H17</f>
        <v>293124.78999999998</v>
      </c>
      <c r="G23" s="26">
        <f>'Travel, training and expense'!I17</f>
        <v>4131265.85</v>
      </c>
    </row>
    <row r="24" spans="2:7" x14ac:dyDescent="0.2">
      <c r="B24" s="30" t="s">
        <v>44</v>
      </c>
      <c r="C24" s="28">
        <f>'Travel, training and expense'!E18</f>
        <v>960728.95137999952</v>
      </c>
      <c r="D24" s="28">
        <f>'Travel, training and expense'!F18</f>
        <v>1041290.2864599982</v>
      </c>
      <c r="E24" s="28">
        <f>'Travel, training and expense'!G18</f>
        <v>986037.06058999989</v>
      </c>
      <c r="F24" s="28">
        <f>'Travel, training and expense'!H18</f>
        <v>1014502.8785900008</v>
      </c>
      <c r="G24" s="28">
        <f>'Travel, training and expense'!I18</f>
        <v>11522456.659169987</v>
      </c>
    </row>
    <row r="26" spans="2:7" x14ac:dyDescent="0.2">
      <c r="B26" s="41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1:G34"/>
  <sheetViews>
    <sheetView showGridLines="0" workbookViewId="0">
      <selection activeCell="G34" sqref="G34"/>
    </sheetView>
  </sheetViews>
  <sheetFormatPr baseColWidth="10" defaultColWidth="8.83203125" defaultRowHeight="15" x14ac:dyDescent="0.2"/>
  <cols>
    <col min="1" max="1" width="0.6640625" customWidth="1"/>
    <col min="2" max="2" width="49.5" bestFit="1" customWidth="1"/>
    <col min="3" max="3" width="14.33203125" bestFit="1" customWidth="1"/>
    <col min="4" max="6" width="14.1640625" customWidth="1"/>
    <col min="7" max="7" width="16.5" bestFit="1" customWidth="1"/>
  </cols>
  <sheetData>
    <row r="1" spans="2:7" ht="3.75" customHeight="1" x14ac:dyDescent="0.2"/>
    <row r="2" spans="2:7" ht="16" thickBot="1" x14ac:dyDescent="0.25">
      <c r="B2" s="29" t="s">
        <v>21</v>
      </c>
      <c r="C2" s="29" t="str">
        <f>VLOOKUP($D$2,input!$H$3:$K$14,2,FALSE)</f>
        <v>June</v>
      </c>
      <c r="D2" s="29" t="str">
        <f>input!$C$2</f>
        <v>May</v>
      </c>
      <c r="E2" s="29" t="str">
        <f>VLOOKUP($D$2,input!$H$3:$K$14,3,FALSE)</f>
        <v>April</v>
      </c>
      <c r="F2" s="29" t="str">
        <f>VLOOKUP($D$2,input!$H$3:$K$14,4,FALSE)</f>
        <v>March</v>
      </c>
      <c r="G2" s="29" t="s">
        <v>22</v>
      </c>
    </row>
    <row r="3" spans="2:7" x14ac:dyDescent="0.2">
      <c r="B3" s="34" t="s">
        <v>46</v>
      </c>
      <c r="C3" s="32">
        <f>Compensation!E10</f>
        <v>2517857.4420300005</v>
      </c>
      <c r="D3" s="32">
        <f>Compensation!F10</f>
        <v>2332970.5863100002</v>
      </c>
      <c r="E3" s="32">
        <f>Compensation!G10</f>
        <v>2383568.8516199999</v>
      </c>
      <c r="F3" s="32">
        <f>Compensation!H10</f>
        <v>2353500.3269699998</v>
      </c>
      <c r="G3" s="32">
        <f>Compensation!I10</f>
        <v>28860424.990270004</v>
      </c>
    </row>
    <row r="4" spans="2:7" x14ac:dyDescent="0.2">
      <c r="B4" s="33" t="s">
        <v>47</v>
      </c>
      <c r="C4" s="26">
        <f>Compensation!E11</f>
        <v>152062.47003</v>
      </c>
      <c r="D4" s="26">
        <f>Compensation!F11</f>
        <v>195623.77492</v>
      </c>
      <c r="E4" s="26">
        <f>Compensation!G11</f>
        <v>202975.85961000001</v>
      </c>
      <c r="F4" s="26">
        <f>Compensation!H11</f>
        <v>202582.69829</v>
      </c>
      <c r="G4" s="26">
        <f>Compensation!I11</f>
        <v>2089079.0174099999</v>
      </c>
    </row>
    <row r="5" spans="2:7" x14ac:dyDescent="0.2">
      <c r="B5" s="27" t="s">
        <v>48</v>
      </c>
      <c r="C5" s="26">
        <f>Compensation!E12</f>
        <v>838864.24940000009</v>
      </c>
      <c r="D5" s="26">
        <f>Compensation!F12</f>
        <v>550904.65708999999</v>
      </c>
      <c r="E5" s="26">
        <f>Compensation!G12</f>
        <v>608033.01883000007</v>
      </c>
      <c r="F5" s="26">
        <f>Compensation!H12</f>
        <v>584067.34126000002</v>
      </c>
      <c r="G5" s="26">
        <f>Compensation!I12</f>
        <v>8318419.8220000006</v>
      </c>
    </row>
    <row r="6" spans="2:7" x14ac:dyDescent="0.2">
      <c r="B6" s="33" t="s">
        <v>49</v>
      </c>
      <c r="C6" s="26">
        <f>Compensation!E13</f>
        <v>614319.42306000006</v>
      </c>
      <c r="D6" s="26">
        <f>Compensation!F13</f>
        <v>620020.52633999987</v>
      </c>
      <c r="E6" s="26">
        <f>Compensation!G13</f>
        <v>346246.23722000007</v>
      </c>
      <c r="F6" s="26">
        <f>Compensation!H13</f>
        <v>628744.14341999998</v>
      </c>
      <c r="G6" s="26">
        <f>Compensation!I13</f>
        <v>7286189.577250001</v>
      </c>
    </row>
    <row r="7" spans="2:7" x14ac:dyDescent="0.2">
      <c r="B7" s="27" t="s">
        <v>50</v>
      </c>
      <c r="C7" s="26">
        <f>Compensation!E14</f>
        <v>-144550.70105</v>
      </c>
      <c r="D7" s="26">
        <f>Compensation!F14</f>
        <v>600</v>
      </c>
      <c r="E7" s="26">
        <f>Compensation!G14</f>
        <v>5326.77</v>
      </c>
      <c r="F7" s="26">
        <f>Compensation!H14</f>
        <v>15050</v>
      </c>
      <c r="G7" s="26">
        <f>Compensation!I14</f>
        <v>-222284.33525000003</v>
      </c>
    </row>
    <row r="8" spans="2:7" x14ac:dyDescent="0.2">
      <c r="B8" s="30" t="s">
        <v>51</v>
      </c>
      <c r="C8" s="28">
        <f>Compensation!E15</f>
        <v>3978552.8834700007</v>
      </c>
      <c r="D8" s="28">
        <f>Compensation!F15</f>
        <v>3700119.5446599997</v>
      </c>
      <c r="E8" s="28">
        <f>Compensation!G15</f>
        <v>3546150.73728</v>
      </c>
      <c r="F8" s="28">
        <f>Compensation!H15</f>
        <v>3783944.5099400003</v>
      </c>
      <c r="G8" s="28">
        <f>Compensation!I15</f>
        <v>46331829.071679994</v>
      </c>
    </row>
    <row r="34" spans="7:7" x14ac:dyDescent="0.2">
      <c r="G34" s="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  <pageSetUpPr fitToPage="1"/>
  </sheetPr>
  <dimension ref="A1:T41"/>
  <sheetViews>
    <sheetView zoomScaleNormal="100" workbookViewId="0">
      <selection activeCell="Q28" sqref="Q28"/>
    </sheetView>
  </sheetViews>
  <sheetFormatPr baseColWidth="10" defaultColWidth="8.83203125" defaultRowHeight="15" outlineLevelRow="1" x14ac:dyDescent="0.2"/>
  <cols>
    <col min="1" max="1" width="18.5" customWidth="1"/>
    <col min="2" max="2" width="48.1640625" bestFit="1" customWidth="1"/>
    <col min="3" max="3" width="13.33203125" hidden="1" customWidth="1"/>
    <col min="4" max="4" width="30" bestFit="1" customWidth="1"/>
    <col min="5" max="5" width="12.83203125" hidden="1" customWidth="1"/>
    <col min="6" max="6" width="30" customWidth="1"/>
    <col min="7" max="8" width="22" bestFit="1" customWidth="1"/>
    <col min="9" max="10" width="22" customWidth="1"/>
    <col min="11" max="11" width="22" bestFit="1" customWidth="1"/>
    <col min="12" max="15" width="2.33203125" customWidth="1"/>
    <col min="16" max="16" width="14.83203125" bestFit="1" customWidth="1"/>
    <col min="17" max="17" width="17.5" bestFit="1" customWidth="1"/>
    <col min="18" max="18" width="17.5" customWidth="1"/>
  </cols>
  <sheetData>
    <row r="1" spans="1:20" x14ac:dyDescent="0.2">
      <c r="G1" t="s">
        <v>52</v>
      </c>
      <c r="H1" t="s">
        <v>53</v>
      </c>
      <c r="I1" t="s">
        <v>53</v>
      </c>
      <c r="J1" t="s">
        <v>53</v>
      </c>
      <c r="K1" t="s">
        <v>52</v>
      </c>
    </row>
    <row r="2" spans="1:20" x14ac:dyDescent="0.2">
      <c r="G2" t="str">
        <f>Data!C2</f>
        <v>June</v>
      </c>
      <c r="H2" t="str">
        <f>Data!D2</f>
        <v>May</v>
      </c>
      <c r="I2" t="str">
        <f>Data!E2</f>
        <v>April</v>
      </c>
      <c r="J2" t="str">
        <f>Data!F2</f>
        <v>March</v>
      </c>
      <c r="K2" t="str">
        <f>input!$H$14</f>
        <v>October</v>
      </c>
    </row>
    <row r="3" spans="1:20" x14ac:dyDescent="0.2">
      <c r="G3" s="7" t="str">
        <f>input!$C$3</f>
        <v>2020-yr</v>
      </c>
      <c r="H3" s="7" t="str">
        <f>input!$C$3</f>
        <v>2020-yr</v>
      </c>
      <c r="I3" s="7" t="str">
        <f>input!$C$3</f>
        <v>2020-yr</v>
      </c>
      <c r="J3" s="7" t="str">
        <f>input!$C$3</f>
        <v>2020-yr</v>
      </c>
      <c r="K3" s="7" t="str">
        <f>input!$C$3</f>
        <v>2020-yr</v>
      </c>
      <c r="L3" s="7"/>
      <c r="M3" s="7"/>
      <c r="N3" s="7"/>
      <c r="O3" s="7"/>
      <c r="P3" s="7"/>
      <c r="Q3" s="7"/>
    </row>
    <row r="4" spans="1:20" x14ac:dyDescent="0.2">
      <c r="G4" t="s">
        <v>54</v>
      </c>
      <c r="H4" t="s">
        <v>54</v>
      </c>
      <c r="I4" t="s">
        <v>54</v>
      </c>
      <c r="J4" t="s">
        <v>54</v>
      </c>
      <c r="K4" t="s">
        <v>55</v>
      </c>
    </row>
    <row r="5" spans="1:20" outlineLevel="1" x14ac:dyDescent="0.2">
      <c r="G5" t="s">
        <v>56</v>
      </c>
      <c r="H5" t="s">
        <v>56</v>
      </c>
      <c r="I5" t="s">
        <v>56</v>
      </c>
      <c r="J5" t="s">
        <v>56</v>
      </c>
      <c r="K5" t="s">
        <v>56</v>
      </c>
    </row>
    <row r="6" spans="1:20" outlineLevel="1" x14ac:dyDescent="0.2"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20" outlineLevel="1" x14ac:dyDescent="0.2">
      <c r="G7" t="s">
        <v>58</v>
      </c>
      <c r="H7" t="s">
        <v>58</v>
      </c>
      <c r="I7" t="s">
        <v>58</v>
      </c>
      <c r="J7" t="s">
        <v>58</v>
      </c>
      <c r="K7" t="s">
        <v>58</v>
      </c>
    </row>
    <row r="8" spans="1:20" outlineLevel="1" x14ac:dyDescent="0.2"/>
    <row r="9" spans="1:20" outlineLevel="1" x14ac:dyDescent="0.2">
      <c r="G9" t="s">
        <v>59</v>
      </c>
      <c r="H9" t="s">
        <v>59</v>
      </c>
      <c r="I9" t="s">
        <v>59</v>
      </c>
      <c r="J9" t="s">
        <v>59</v>
      </c>
      <c r="K9" t="s">
        <v>59</v>
      </c>
    </row>
    <row r="10" spans="1:20" outlineLevel="1" x14ac:dyDescent="0.2"/>
    <row r="11" spans="1:20" ht="16" thickBot="1" x14ac:dyDescent="0.25">
      <c r="A11" s="7" t="s">
        <v>60</v>
      </c>
      <c r="B11" t="s">
        <v>61</v>
      </c>
      <c r="C11" s="5" t="s">
        <v>62</v>
      </c>
      <c r="D11" s="5" t="s">
        <v>63</v>
      </c>
      <c r="E11" s="5" t="s">
        <v>64</v>
      </c>
      <c r="F11" s="5" t="s">
        <v>65</v>
      </c>
      <c r="G11" s="4">
        <v>180091372000.12952</v>
      </c>
      <c r="H11" s="4">
        <v>184835632160.29874</v>
      </c>
      <c r="I11" s="4">
        <v>184953534055.88715</v>
      </c>
      <c r="J11" s="4">
        <v>186379797578.42001</v>
      </c>
      <c r="K11" s="4">
        <v>169227843873.27338</v>
      </c>
      <c r="L11" s="4"/>
      <c r="M11" s="4"/>
      <c r="N11" s="4"/>
      <c r="O11" s="4"/>
      <c r="S11" s="4"/>
      <c r="T11" s="4"/>
    </row>
    <row r="12" spans="1:20" ht="32" x14ac:dyDescent="0.2">
      <c r="A12" s="7" t="s">
        <v>60</v>
      </c>
      <c r="B12" t="s">
        <v>61</v>
      </c>
      <c r="C12" s="5" t="s">
        <v>62</v>
      </c>
      <c r="D12" s="5" t="s">
        <v>63</v>
      </c>
      <c r="E12" s="5" t="s">
        <v>66</v>
      </c>
      <c r="F12" s="5" t="s">
        <v>66</v>
      </c>
      <c r="G12" s="4">
        <v>17835543779.803574</v>
      </c>
      <c r="H12" s="4">
        <v>17184255706.688751</v>
      </c>
      <c r="I12" s="4">
        <v>17084703757.45286</v>
      </c>
      <c r="J12" s="4">
        <v>17081150253.193336</v>
      </c>
      <c r="K12" s="4">
        <v>19845961794.221851</v>
      </c>
      <c r="L12" s="4"/>
      <c r="M12" s="4"/>
      <c r="N12" s="4"/>
      <c r="O12" s="4"/>
      <c r="P12" s="9" t="s">
        <v>23</v>
      </c>
      <c r="Q12" s="10" t="s">
        <v>24</v>
      </c>
      <c r="R12" s="11" t="s">
        <v>67</v>
      </c>
      <c r="S12" s="4"/>
      <c r="T12" s="4"/>
    </row>
    <row r="13" spans="1:20" x14ac:dyDescent="0.2">
      <c r="A13" s="7"/>
      <c r="C13" s="5"/>
      <c r="D13" s="5"/>
      <c r="E13" s="5"/>
      <c r="F13" s="5"/>
      <c r="G13" s="4">
        <f>SUM(G11:G12)</f>
        <v>197926915779.93311</v>
      </c>
      <c r="H13" s="4">
        <f>SUM(H11:H12)</f>
        <v>202019887866.98749</v>
      </c>
      <c r="I13" s="4">
        <f>SUM(I11:I12)</f>
        <v>202038237813.34</v>
      </c>
      <c r="J13" s="4">
        <f>SUM(J11:J12)</f>
        <v>203460947831.61334</v>
      </c>
      <c r="K13" s="4">
        <f>SUM(K11:K12)</f>
        <v>189073805667.49524</v>
      </c>
      <c r="L13" s="4"/>
      <c r="M13" s="4"/>
      <c r="N13" s="4"/>
      <c r="O13" s="4"/>
      <c r="P13" s="12">
        <f>H13/H20</f>
        <v>918272217.57721591</v>
      </c>
      <c r="Q13" s="13">
        <f>H16/H20</f>
        <v>256.4818181818182</v>
      </c>
      <c r="R13" s="14">
        <f>H19/H20</f>
        <v>407523.9047467726</v>
      </c>
      <c r="S13" s="4"/>
      <c r="T13" s="4"/>
    </row>
    <row r="14" spans="1:20" ht="19.5" customHeight="1" x14ac:dyDescent="0.2">
      <c r="A14" s="7" t="s">
        <v>60</v>
      </c>
      <c r="B14" t="s">
        <v>61</v>
      </c>
      <c r="C14" s="6" t="s">
        <v>68</v>
      </c>
      <c r="D14" s="5" t="s">
        <v>69</v>
      </c>
      <c r="E14" s="5" t="s">
        <v>64</v>
      </c>
      <c r="F14" s="5" t="s">
        <v>65</v>
      </c>
      <c r="G14" s="36">
        <v>0</v>
      </c>
      <c r="H14" s="4">
        <v>56288</v>
      </c>
      <c r="I14" s="4">
        <v>55959</v>
      </c>
      <c r="J14" s="4">
        <v>55944</v>
      </c>
      <c r="K14" s="36">
        <v>0</v>
      </c>
      <c r="L14" s="4"/>
      <c r="M14" s="4"/>
      <c r="N14" s="4"/>
      <c r="O14" s="4"/>
      <c r="P14" s="12"/>
      <c r="Q14" s="13"/>
      <c r="R14" s="14"/>
      <c r="S14" s="4"/>
      <c r="T14" s="4"/>
    </row>
    <row r="15" spans="1:20" ht="32" x14ac:dyDescent="0.2">
      <c r="A15" s="7" t="s">
        <v>60</v>
      </c>
      <c r="B15" t="s">
        <v>61</v>
      </c>
      <c r="C15" s="6" t="s">
        <v>68</v>
      </c>
      <c r="D15" s="5" t="s">
        <v>69</v>
      </c>
      <c r="E15" s="5" t="s">
        <v>66</v>
      </c>
      <c r="F15" s="5" t="s">
        <v>66</v>
      </c>
      <c r="G15" s="36">
        <v>0</v>
      </c>
      <c r="H15" s="4">
        <v>138</v>
      </c>
      <c r="I15" s="4">
        <v>135</v>
      </c>
      <c r="J15" s="4">
        <v>132</v>
      </c>
      <c r="K15" s="36">
        <v>0</v>
      </c>
      <c r="L15" s="4"/>
      <c r="M15" s="4"/>
      <c r="N15" s="4"/>
      <c r="O15" s="4"/>
      <c r="P15" s="15" t="s">
        <v>26</v>
      </c>
      <c r="Q15" s="16" t="s">
        <v>27</v>
      </c>
      <c r="R15" s="17" t="s">
        <v>70</v>
      </c>
      <c r="S15" s="4"/>
      <c r="T15" s="4"/>
    </row>
    <row r="16" spans="1:20" x14ac:dyDescent="0.2">
      <c r="A16" s="7"/>
      <c r="C16" s="6"/>
      <c r="D16" s="5"/>
      <c r="E16" s="5"/>
      <c r="F16" s="5"/>
      <c r="G16" s="36">
        <f>SUM(G14:G15)</f>
        <v>0</v>
      </c>
      <c r="H16" s="4">
        <f>SUM(H14:H15)</f>
        <v>56426</v>
      </c>
      <c r="I16" s="4">
        <f>SUM(I14:I15)</f>
        <v>56094</v>
      </c>
      <c r="J16" s="4">
        <f>SUM(J14:J15)</f>
        <v>56076</v>
      </c>
      <c r="K16" s="36">
        <f>SUM(K14:K15)</f>
        <v>0</v>
      </c>
      <c r="L16" s="4"/>
      <c r="M16" s="4"/>
      <c r="N16" s="4"/>
      <c r="O16" s="4"/>
      <c r="P16" s="15">
        <f>H13/H24</f>
        <v>1103933813.4808059</v>
      </c>
      <c r="Q16" s="16">
        <f>H16/H24</f>
        <v>308.33879781420762</v>
      </c>
      <c r="R16" s="17">
        <f>H19/H24</f>
        <v>489919.44832945341</v>
      </c>
      <c r="S16" s="4"/>
      <c r="T16" s="4"/>
    </row>
    <row r="17" spans="1:20" x14ac:dyDescent="0.2">
      <c r="A17" s="7" t="s">
        <v>60</v>
      </c>
      <c r="B17" t="s">
        <v>61</v>
      </c>
      <c r="C17" s="5" t="s">
        <v>71</v>
      </c>
      <c r="D17" s="5" t="s">
        <v>72</v>
      </c>
      <c r="E17" s="5" t="s">
        <v>64</v>
      </c>
      <c r="F17" s="5" t="s">
        <v>65</v>
      </c>
      <c r="G17" s="4">
        <v>78808205.46864</v>
      </c>
      <c r="H17" s="4">
        <v>82057735.490359977</v>
      </c>
      <c r="I17" s="4">
        <v>78762771.023059979</v>
      </c>
      <c r="J17" s="4">
        <v>80719117.198409989</v>
      </c>
      <c r="K17" s="4">
        <v>1007101217.0247999</v>
      </c>
      <c r="L17" s="4"/>
      <c r="M17" s="4"/>
      <c r="N17" s="4"/>
      <c r="O17" s="4"/>
      <c r="P17" s="12"/>
      <c r="Q17" s="13"/>
      <c r="R17" s="14"/>
      <c r="S17" s="4"/>
      <c r="T17" s="4"/>
    </row>
    <row r="18" spans="1:20" ht="32" x14ac:dyDescent="0.2">
      <c r="A18" s="7" t="s">
        <v>60</v>
      </c>
      <c r="B18" t="s">
        <v>61</v>
      </c>
      <c r="C18" s="5" t="s">
        <v>71</v>
      </c>
      <c r="D18" s="5" t="s">
        <v>72</v>
      </c>
      <c r="E18" s="5" t="s">
        <v>66</v>
      </c>
      <c r="F18" s="5" t="s">
        <v>66</v>
      </c>
      <c r="G18" s="4">
        <v>11396928.669030001</v>
      </c>
      <c r="H18" s="4">
        <v>7597523.5539300023</v>
      </c>
      <c r="I18" s="4">
        <v>6948458.6789999995</v>
      </c>
      <c r="J18" s="4">
        <v>7105591.3798099943</v>
      </c>
      <c r="K18" s="4">
        <v>114720553.19077998</v>
      </c>
      <c r="L18" s="4"/>
      <c r="M18" s="4"/>
      <c r="N18" s="4"/>
      <c r="O18" s="4"/>
      <c r="P18" s="15" t="s">
        <v>29</v>
      </c>
      <c r="Q18" s="16" t="s">
        <v>30</v>
      </c>
      <c r="R18" s="17" t="s">
        <v>73</v>
      </c>
      <c r="S18" s="4"/>
      <c r="T18" s="4"/>
    </row>
    <row r="19" spans="1:20" x14ac:dyDescent="0.2">
      <c r="C19" s="6"/>
      <c r="D19" s="5"/>
      <c r="E19" s="5"/>
      <c r="F19" s="5"/>
      <c r="G19" s="4">
        <f>SUM(G17:G18)</f>
        <v>90205134.137669995</v>
      </c>
      <c r="H19" s="4">
        <f>SUM(H17:H18)</f>
        <v>89655259.044289976</v>
      </c>
      <c r="I19" s="4">
        <f>SUM(I17:I18)</f>
        <v>85711229.702059984</v>
      </c>
      <c r="J19" s="4">
        <f>SUM(J17:J18)</f>
        <v>87824708.57821998</v>
      </c>
      <c r="K19" s="4">
        <f>SUM(K17:K18)</f>
        <v>1121821770.21558</v>
      </c>
      <c r="L19" s="4"/>
      <c r="M19" s="4"/>
      <c r="N19" s="4"/>
      <c r="O19" s="4"/>
      <c r="P19" s="15">
        <f>H13/H28</f>
        <v>5459996969.3780403</v>
      </c>
      <c r="Q19" s="16">
        <f>H16/H28</f>
        <v>1525.0270270270271</v>
      </c>
      <c r="R19" s="17">
        <f>H19/H28</f>
        <v>2423115.1093051345</v>
      </c>
      <c r="S19" s="4"/>
      <c r="T19" s="4"/>
    </row>
    <row r="20" spans="1:20" x14ac:dyDescent="0.2">
      <c r="A20" s="6" t="s">
        <v>74</v>
      </c>
      <c r="B20" s="6" t="s">
        <v>75</v>
      </c>
      <c r="C20" s="6" t="s">
        <v>76</v>
      </c>
      <c r="D20" s="6" t="s">
        <v>77</v>
      </c>
      <c r="E20" s="5" t="s">
        <v>78</v>
      </c>
      <c r="F20" s="5" t="s">
        <v>78</v>
      </c>
      <c r="G20" s="4">
        <v>232</v>
      </c>
      <c r="H20" s="4">
        <v>220</v>
      </c>
      <c r="I20" s="4">
        <v>220</v>
      </c>
      <c r="J20" s="4">
        <v>217</v>
      </c>
      <c r="K20" s="4">
        <v>232</v>
      </c>
      <c r="L20" s="4"/>
      <c r="M20" s="4"/>
      <c r="N20" s="4"/>
      <c r="O20" s="4"/>
      <c r="P20" s="12"/>
      <c r="Q20" s="13"/>
      <c r="R20" s="14"/>
      <c r="S20" s="4"/>
      <c r="T20" s="4"/>
    </row>
    <row r="21" spans="1:20" ht="32" x14ac:dyDescent="0.2">
      <c r="C21" s="6"/>
      <c r="D21" s="5"/>
      <c r="E21" s="5"/>
      <c r="F21" s="5"/>
      <c r="G21" s="4"/>
      <c r="H21" s="4"/>
      <c r="I21" s="4"/>
      <c r="J21" s="4"/>
      <c r="K21" s="4"/>
      <c r="L21" s="4"/>
      <c r="P21" s="15" t="s">
        <v>32</v>
      </c>
      <c r="Q21" s="16" t="s">
        <v>33</v>
      </c>
      <c r="R21" s="14"/>
      <c r="S21" s="4"/>
      <c r="T21" s="4"/>
    </row>
    <row r="22" spans="1:20" x14ac:dyDescent="0.2">
      <c r="A22" s="6" t="s">
        <v>79</v>
      </c>
      <c r="B22" s="6" t="s">
        <v>80</v>
      </c>
      <c r="C22" s="6" t="s">
        <v>81</v>
      </c>
      <c r="D22" s="6" t="s">
        <v>51</v>
      </c>
      <c r="E22" s="5" t="s">
        <v>78</v>
      </c>
      <c r="F22" s="5" t="s">
        <v>78</v>
      </c>
      <c r="G22" s="4">
        <v>3536639.1169400001</v>
      </c>
      <c r="H22" s="4">
        <v>3287511.9295200002</v>
      </c>
      <c r="I22" s="4">
        <v>3174095.7555699996</v>
      </c>
      <c r="J22" s="4">
        <v>3350661.0722700004</v>
      </c>
      <c r="K22" s="4">
        <v>40763238.410229996</v>
      </c>
      <c r="L22" s="4"/>
      <c r="P22" s="12">
        <f>(H26/H28)*4</f>
        <v>44606.228663783782</v>
      </c>
      <c r="Q22" s="13">
        <f>(H22/H24)*4</f>
        <v>71858.184251803279</v>
      </c>
      <c r="R22" s="14"/>
      <c r="S22" s="4"/>
      <c r="T22" s="4"/>
    </row>
    <row r="23" spans="1:20" ht="16" thickBot="1" x14ac:dyDescent="0.25">
      <c r="A23" s="5"/>
      <c r="C23" s="6"/>
      <c r="D23" s="5"/>
      <c r="E23" s="5"/>
      <c r="F23" s="5"/>
      <c r="G23" s="4"/>
      <c r="H23" s="4"/>
      <c r="I23" s="4"/>
      <c r="J23" s="4"/>
      <c r="K23" s="4"/>
      <c r="L23" s="4"/>
      <c r="P23" s="18"/>
      <c r="Q23" s="19"/>
      <c r="R23" s="20"/>
      <c r="S23" s="4"/>
      <c r="T23" s="4"/>
    </row>
    <row r="24" spans="1:20" x14ac:dyDescent="0.2">
      <c r="A24" s="6" t="s">
        <v>79</v>
      </c>
      <c r="B24" s="6" t="s">
        <v>80</v>
      </c>
      <c r="C24" s="6" t="s">
        <v>76</v>
      </c>
      <c r="D24" s="6" t="s">
        <v>77</v>
      </c>
      <c r="E24" s="5" t="s">
        <v>78</v>
      </c>
      <c r="F24" s="5" t="s">
        <v>78</v>
      </c>
      <c r="G24" s="4">
        <v>194</v>
      </c>
      <c r="H24" s="4">
        <v>183</v>
      </c>
      <c r="I24" s="4">
        <v>184</v>
      </c>
      <c r="J24" s="4">
        <v>180</v>
      </c>
      <c r="K24" s="4">
        <v>194</v>
      </c>
      <c r="L24" s="4"/>
      <c r="M24" s="4"/>
      <c r="N24" s="4"/>
      <c r="O24" s="4"/>
      <c r="R24" s="4"/>
      <c r="S24" s="4"/>
      <c r="T24" s="4"/>
    </row>
    <row r="25" spans="1:20" x14ac:dyDescent="0.2">
      <c r="G25" s="4">
        <f>G22/G24*12</f>
        <v>218761.18249113404</v>
      </c>
      <c r="H25" s="4">
        <f>H22/H24*12</f>
        <v>215574.55275540985</v>
      </c>
      <c r="I25" s="4">
        <f>I22/I24*12</f>
        <v>207006.24492847821</v>
      </c>
      <c r="J25" s="4">
        <f>J22/J24*12</f>
        <v>223377.40481800001</v>
      </c>
      <c r="K25" s="4">
        <f>K22/K24</f>
        <v>210119.78561974224</v>
      </c>
      <c r="L25" s="4"/>
      <c r="R25" s="4"/>
      <c r="S25" s="4"/>
      <c r="T25" s="4"/>
    </row>
    <row r="26" spans="1:20" x14ac:dyDescent="0.2">
      <c r="A26" s="5" t="s">
        <v>82</v>
      </c>
      <c r="B26" s="5" t="s">
        <v>83</v>
      </c>
      <c r="C26" s="6" t="s">
        <v>81</v>
      </c>
      <c r="D26" s="6" t="s">
        <v>51</v>
      </c>
      <c r="E26" s="5" t="s">
        <v>78</v>
      </c>
      <c r="F26" s="5" t="s">
        <v>78</v>
      </c>
      <c r="G26" s="4">
        <v>441913.76653000014</v>
      </c>
      <c r="H26" s="4">
        <v>412607.61514000001</v>
      </c>
      <c r="I26" s="4">
        <v>372054.98170999996</v>
      </c>
      <c r="J26" s="4">
        <v>433283.43766999996</v>
      </c>
      <c r="K26" s="4">
        <v>5568590.6614500005</v>
      </c>
      <c r="L26" s="4"/>
      <c r="P26" s="4"/>
      <c r="Q26" s="4"/>
      <c r="S26" s="4"/>
      <c r="T26" s="4"/>
    </row>
    <row r="27" spans="1:20" x14ac:dyDescent="0.2">
      <c r="C27" s="6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R27" s="4"/>
    </row>
    <row r="28" spans="1:20" x14ac:dyDescent="0.2">
      <c r="A28" s="5" t="s">
        <v>82</v>
      </c>
      <c r="B28" s="5" t="s">
        <v>83</v>
      </c>
      <c r="C28" s="6" t="s">
        <v>76</v>
      </c>
      <c r="D28" s="6" t="s">
        <v>77</v>
      </c>
      <c r="E28" s="5" t="s">
        <v>78</v>
      </c>
      <c r="F28" s="5" t="s">
        <v>78</v>
      </c>
      <c r="G28" s="3">
        <v>38</v>
      </c>
      <c r="H28" s="3">
        <v>37</v>
      </c>
      <c r="I28" s="4">
        <v>36</v>
      </c>
      <c r="J28" s="4">
        <v>37</v>
      </c>
      <c r="K28" s="3">
        <v>38</v>
      </c>
      <c r="L28" s="4"/>
      <c r="M28" s="4"/>
      <c r="N28" s="4"/>
      <c r="O28" s="4"/>
      <c r="R28" s="4"/>
    </row>
    <row r="29" spans="1:20" x14ac:dyDescent="0.2">
      <c r="G29" s="38"/>
      <c r="H29" s="38"/>
      <c r="I29" s="38"/>
      <c r="J29" s="38"/>
      <c r="K29" s="38"/>
      <c r="L29" s="4"/>
      <c r="M29" s="4"/>
      <c r="N29" s="4"/>
      <c r="O29" s="4"/>
      <c r="P29" s="4"/>
      <c r="Q29" s="4"/>
    </row>
    <row r="30" spans="1:20" x14ac:dyDescent="0.2">
      <c r="I30" s="3"/>
      <c r="J30" s="3"/>
      <c r="L30" s="3"/>
      <c r="M30" s="2"/>
      <c r="N30" s="2"/>
      <c r="O30" s="2"/>
      <c r="P30" s="4"/>
      <c r="Q30" s="4"/>
    </row>
    <row r="31" spans="1:20" x14ac:dyDescent="0.2">
      <c r="G31" s="3">
        <f>G22+G26</f>
        <v>3978552.8834700002</v>
      </c>
      <c r="H31" s="3">
        <f>H22+H26</f>
        <v>3700119.5446600001</v>
      </c>
      <c r="I31" s="3">
        <f>I22+I26</f>
        <v>3546150.7372799995</v>
      </c>
      <c r="J31" s="3">
        <f>J22+J26</f>
        <v>3783944.5099400003</v>
      </c>
      <c r="K31" s="3">
        <f>K22+K26</f>
        <v>46331829.071679994</v>
      </c>
      <c r="P31" s="4"/>
      <c r="Q31" s="4"/>
    </row>
    <row r="32" spans="1:20" x14ac:dyDescent="0.2">
      <c r="G32" s="4"/>
      <c r="H32" s="4"/>
      <c r="I32" s="4"/>
      <c r="J32" s="4"/>
      <c r="K32" s="4"/>
      <c r="M32" s="1"/>
      <c r="N32" s="1"/>
      <c r="O32" s="1"/>
      <c r="P32" s="2"/>
    </row>
    <row r="33" spans="1:20" x14ac:dyDescent="0.2">
      <c r="A33" s="6" t="s">
        <v>84</v>
      </c>
      <c r="B33" s="6" t="s">
        <v>85</v>
      </c>
      <c r="C33" s="6" t="s">
        <v>76</v>
      </c>
      <c r="D33" s="6" t="s">
        <v>77</v>
      </c>
      <c r="E33" s="5" t="s">
        <v>78</v>
      </c>
      <c r="F33" s="5" t="s">
        <v>78</v>
      </c>
      <c r="G33" s="4">
        <v>16</v>
      </c>
      <c r="H33" s="4">
        <v>16</v>
      </c>
      <c r="I33" s="4">
        <v>18</v>
      </c>
      <c r="J33" s="4">
        <v>20</v>
      </c>
      <c r="K33" s="4">
        <v>16</v>
      </c>
      <c r="L33" s="4"/>
      <c r="M33" s="4"/>
      <c r="N33" s="4"/>
      <c r="O33" s="4"/>
      <c r="R33" s="4"/>
      <c r="S33" s="4"/>
      <c r="T33" s="4"/>
    </row>
    <row r="40" spans="1:20" x14ac:dyDescent="0.2">
      <c r="M40" s="1"/>
      <c r="N40" s="1"/>
      <c r="O40" s="1"/>
    </row>
    <row r="41" spans="1:20" x14ac:dyDescent="0.2">
      <c r="M41" s="1"/>
      <c r="N41" s="1"/>
      <c r="O41" s="1"/>
    </row>
  </sheetData>
  <dataValidations count="1">
    <dataValidation type="list" allowBlank="1" showInputMessage="1" sqref="A20:B20 A22:B22 A24:B24 P11:Q11 E20:G20 E22:G22 E24:G24 E26:G26 E28:G28 A11:B18 G3:Q9 E11:F18 G11:G12 G14:G15 G17:G18 E33:G33 A33:B33" xr:uid="{00000000-0002-0000-0300-000000000000}">
      <formula1>"..."</formula1>
    </dataValidation>
  </dataValidations>
  <pageMargins left="0.25" right="0.25" top="0.75" bottom="0.75" header="0.3" footer="0.3"/>
  <pageSetup paperSize="5" scale="64" orientation="landscape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G15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8" bestFit="1" customWidth="1"/>
    <col min="2" max="2" width="38" bestFit="1" customWidth="1"/>
    <col min="3" max="3" width="38" customWidth="1"/>
    <col min="4" max="4" width="38" bestFit="1" customWidth="1"/>
    <col min="5" max="5" width="25.5" customWidth="1"/>
    <col min="6" max="7" width="25.5" bestFit="1" customWidth="1"/>
  </cols>
  <sheetData>
    <row r="1" spans="1:7" x14ac:dyDescent="0.2">
      <c r="C1" t="s">
        <v>52</v>
      </c>
      <c r="D1" t="s">
        <v>86</v>
      </c>
      <c r="E1" t="s">
        <v>86</v>
      </c>
      <c r="F1" t="s">
        <v>86</v>
      </c>
      <c r="G1" t="s">
        <v>52</v>
      </c>
    </row>
    <row r="2" spans="1:7" x14ac:dyDescent="0.2">
      <c r="C2" t="str">
        <f>Data!C2</f>
        <v>June</v>
      </c>
      <c r="D2" t="str">
        <f>Data!D2</f>
        <v>May</v>
      </c>
      <c r="E2" t="str">
        <f>Data!E2</f>
        <v>April</v>
      </c>
      <c r="F2" t="str">
        <f>Data!F2</f>
        <v>March</v>
      </c>
      <c r="G2" t="s">
        <v>10</v>
      </c>
    </row>
    <row r="3" spans="1:7" x14ac:dyDescent="0.2">
      <c r="C3" s="7" t="s">
        <v>87</v>
      </c>
      <c r="D3" s="7" t="s">
        <v>87</v>
      </c>
      <c r="E3" s="7" t="s">
        <v>87</v>
      </c>
      <c r="F3" s="7" t="s">
        <v>87</v>
      </c>
      <c r="G3" s="7" t="s">
        <v>87</v>
      </c>
    </row>
    <row r="4" spans="1:7" x14ac:dyDescent="0.2">
      <c r="C4" t="s">
        <v>54</v>
      </c>
      <c r="D4" t="s">
        <v>54</v>
      </c>
      <c r="E4" t="s">
        <v>54</v>
      </c>
      <c r="F4" t="s">
        <v>54</v>
      </c>
      <c r="G4" t="s">
        <v>55</v>
      </c>
    </row>
    <row r="5" spans="1:7" x14ac:dyDescent="0.2">
      <c r="C5" t="s">
        <v>61</v>
      </c>
      <c r="D5" t="s">
        <v>61</v>
      </c>
      <c r="E5" t="s">
        <v>61</v>
      </c>
      <c r="F5" t="s">
        <v>61</v>
      </c>
      <c r="G5" t="s">
        <v>61</v>
      </c>
    </row>
    <row r="6" spans="1:7" x14ac:dyDescent="0.2">
      <c r="C6" s="5" t="s">
        <v>88</v>
      </c>
      <c r="D6" s="5" t="s">
        <v>88</v>
      </c>
      <c r="E6" s="5" t="s">
        <v>88</v>
      </c>
      <c r="F6" s="5" t="s">
        <v>88</v>
      </c>
      <c r="G6" s="5" t="s">
        <v>88</v>
      </c>
    </row>
    <row r="7" spans="1:7" x14ac:dyDescent="0.2">
      <c r="C7" t="s">
        <v>89</v>
      </c>
      <c r="D7" t="s">
        <v>89</v>
      </c>
      <c r="E7" t="s">
        <v>89</v>
      </c>
      <c r="F7" t="s">
        <v>89</v>
      </c>
      <c r="G7" t="s">
        <v>89</v>
      </c>
    </row>
    <row r="8" spans="1:7" x14ac:dyDescent="0.2">
      <c r="C8" t="s">
        <v>90</v>
      </c>
      <c r="D8" t="s">
        <v>90</v>
      </c>
      <c r="E8" t="s">
        <v>90</v>
      </c>
      <c r="F8" t="s">
        <v>90</v>
      </c>
      <c r="G8" t="s">
        <v>90</v>
      </c>
    </row>
    <row r="9" spans="1:7" x14ac:dyDescent="0.2">
      <c r="C9" t="s">
        <v>91</v>
      </c>
      <c r="D9" t="s">
        <v>91</v>
      </c>
      <c r="E9" t="s">
        <v>91</v>
      </c>
      <c r="F9" t="s">
        <v>91</v>
      </c>
      <c r="G9" t="s">
        <v>91</v>
      </c>
    </row>
    <row r="10" spans="1:7" x14ac:dyDescent="0.2">
      <c r="C10" t="s">
        <v>92</v>
      </c>
      <c r="D10" t="s">
        <v>92</v>
      </c>
      <c r="E10" t="s">
        <v>92</v>
      </c>
      <c r="F10" t="s">
        <v>92</v>
      </c>
      <c r="G10" t="s">
        <v>92</v>
      </c>
    </row>
    <row r="11" spans="1:7" x14ac:dyDescent="0.2">
      <c r="E11" s="5"/>
      <c r="F11" s="5"/>
      <c r="G11" s="5"/>
    </row>
    <row r="12" spans="1:7" x14ac:dyDescent="0.2"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</row>
    <row r="13" spans="1:7" x14ac:dyDescent="0.2">
      <c r="A13" s="7" t="s">
        <v>94</v>
      </c>
      <c r="B13" t="s">
        <v>34</v>
      </c>
      <c r="C13" s="8">
        <v>4529809.66</v>
      </c>
      <c r="D13" s="8">
        <v>4037684.83</v>
      </c>
      <c r="E13" s="8">
        <v>3569029.0100000002</v>
      </c>
      <c r="F13" s="8">
        <v>2476470.1500000004</v>
      </c>
      <c r="G13" s="8">
        <v>7001868.9800000004</v>
      </c>
    </row>
    <row r="14" spans="1:7" x14ac:dyDescent="0.2">
      <c r="A14" s="7" t="s">
        <v>95</v>
      </c>
      <c r="B14" t="s">
        <v>35</v>
      </c>
      <c r="C14" s="8">
        <v>5164277.6000000006</v>
      </c>
      <c r="D14" s="8">
        <v>5019672.1400000006</v>
      </c>
      <c r="E14" s="8">
        <v>4401038.5999999996</v>
      </c>
      <c r="F14" s="8">
        <v>6125790.3799999999</v>
      </c>
      <c r="G14" s="8">
        <v>59774999.830000006</v>
      </c>
    </row>
    <row r="15" spans="1:7" x14ac:dyDescent="0.2">
      <c r="A15" s="7"/>
      <c r="C15" s="8"/>
      <c r="D15" s="21"/>
      <c r="E15" s="21"/>
      <c r="F15" s="21"/>
      <c r="G15" s="21"/>
    </row>
  </sheetData>
  <dataValidations count="1">
    <dataValidation type="list" allowBlank="1" showInputMessage="1" sqref="C3:G10" xr:uid="{00000000-0002-0000-0400-000000000000}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4"/>
  <sheetViews>
    <sheetView workbookViewId="0">
      <selection activeCell="D10" sqref="D10"/>
    </sheetView>
  </sheetViews>
  <sheetFormatPr baseColWidth="10" defaultColWidth="8.83203125" defaultRowHeight="15" outlineLevelRow="1" x14ac:dyDescent="0.2"/>
  <cols>
    <col min="1" max="1" width="26.83203125" customWidth="1"/>
    <col min="2" max="2" width="48.1640625" bestFit="1" customWidth="1"/>
    <col min="3" max="3" width="18.5" customWidth="1"/>
    <col min="4" max="4" width="30" bestFit="1" customWidth="1"/>
    <col min="5" max="5" width="30" customWidth="1"/>
    <col min="6" max="6" width="22" bestFit="1" customWidth="1"/>
    <col min="7" max="9" width="22" customWidth="1"/>
    <col min="10" max="10" width="3.33203125" customWidth="1"/>
    <col min="11" max="11" width="14.33203125" bestFit="1" customWidth="1"/>
    <col min="12" max="13" width="17.5" bestFit="1" customWidth="1"/>
  </cols>
  <sheetData>
    <row r="1" spans="1:15" x14ac:dyDescent="0.2">
      <c r="F1" t="s">
        <v>53</v>
      </c>
      <c r="G1" t="s">
        <v>53</v>
      </c>
      <c r="H1" t="s">
        <v>53</v>
      </c>
      <c r="I1" t="s">
        <v>52</v>
      </c>
    </row>
    <row r="2" spans="1:15" x14ac:dyDescent="0.2">
      <c r="F2" t="str">
        <f>input!$C$2</f>
        <v>May</v>
      </c>
      <c r="G2" t="str">
        <f>VLOOKUP(input!$C$2,input!$H$2:$K$14,2,FALSE)</f>
        <v>June</v>
      </c>
      <c r="H2" t="str">
        <f>VLOOKUP(input!$C$2,input!$H$2:$K$14,3,FALSE)</f>
        <v>April</v>
      </c>
      <c r="I2" t="s">
        <v>10</v>
      </c>
    </row>
    <row r="3" spans="1:15" x14ac:dyDescent="0.2">
      <c r="F3" s="7" t="s">
        <v>87</v>
      </c>
      <c r="G3" s="7" t="s">
        <v>87</v>
      </c>
      <c r="H3" s="7" t="s">
        <v>87</v>
      </c>
      <c r="I3" s="7" t="s">
        <v>87</v>
      </c>
      <c r="J3" s="7"/>
      <c r="K3" s="7"/>
      <c r="L3" s="7"/>
    </row>
    <row r="4" spans="1:15" x14ac:dyDescent="0.2">
      <c r="F4" t="s">
        <v>54</v>
      </c>
      <c r="G4" t="s">
        <v>54</v>
      </c>
      <c r="H4" t="s">
        <v>54</v>
      </c>
      <c r="I4" t="s">
        <v>55</v>
      </c>
    </row>
    <row r="5" spans="1:15" outlineLevel="1" x14ac:dyDescent="0.2">
      <c r="F5" t="s">
        <v>56</v>
      </c>
      <c r="G5" t="s">
        <v>56</v>
      </c>
      <c r="H5" t="s">
        <v>56</v>
      </c>
      <c r="I5" t="s">
        <v>56</v>
      </c>
    </row>
    <row r="6" spans="1:15" outlineLevel="1" x14ac:dyDescent="0.2">
      <c r="F6" t="s">
        <v>57</v>
      </c>
      <c r="G6" t="s">
        <v>57</v>
      </c>
      <c r="H6" t="s">
        <v>57</v>
      </c>
      <c r="I6" t="s">
        <v>57</v>
      </c>
    </row>
    <row r="7" spans="1:15" outlineLevel="1" x14ac:dyDescent="0.2">
      <c r="F7" t="s">
        <v>58</v>
      </c>
      <c r="G7" t="s">
        <v>58</v>
      </c>
      <c r="H7" t="s">
        <v>58</v>
      </c>
      <c r="I7" t="s">
        <v>58</v>
      </c>
    </row>
    <row r="8" spans="1:15" outlineLevel="1" x14ac:dyDescent="0.2">
      <c r="F8" s="5" t="s">
        <v>78</v>
      </c>
      <c r="G8" s="5" t="s">
        <v>78</v>
      </c>
      <c r="H8" s="5" t="s">
        <v>78</v>
      </c>
      <c r="I8" s="5" t="s">
        <v>78</v>
      </c>
      <c r="J8" s="5"/>
      <c r="K8" s="5"/>
      <c r="L8" s="5"/>
    </row>
    <row r="9" spans="1:15" outlineLevel="1" x14ac:dyDescent="0.2">
      <c r="F9" t="s">
        <v>59</v>
      </c>
      <c r="G9" t="s">
        <v>59</v>
      </c>
      <c r="H9" t="s">
        <v>59</v>
      </c>
      <c r="I9" t="s">
        <v>59</v>
      </c>
    </row>
    <row r="10" spans="1:15" x14ac:dyDescent="0.2">
      <c r="A10" s="6" t="s">
        <v>74</v>
      </c>
      <c r="B10" s="6" t="s">
        <v>75</v>
      </c>
      <c r="C10" s="6" t="s">
        <v>81</v>
      </c>
      <c r="D10" s="5" t="s">
        <v>51</v>
      </c>
      <c r="E10" s="5"/>
      <c r="F10" s="4">
        <v>4194740.8744199993</v>
      </c>
      <c r="G10" s="4">
        <v>3772907.5959399999</v>
      </c>
      <c r="H10" s="4">
        <v>3822603.8196899993</v>
      </c>
      <c r="I10" s="4">
        <v>46679596.038029991</v>
      </c>
    </row>
    <row r="11" spans="1:15" x14ac:dyDescent="0.2">
      <c r="A11" s="6" t="s">
        <v>74</v>
      </c>
      <c r="B11" s="6" t="s">
        <v>75</v>
      </c>
      <c r="C11" s="6" t="s">
        <v>96</v>
      </c>
      <c r="D11" s="6" t="s">
        <v>36</v>
      </c>
      <c r="E11" s="6"/>
      <c r="F11" s="4">
        <v>81566.655459999994</v>
      </c>
      <c r="G11" s="4">
        <v>58314.728159999999</v>
      </c>
      <c r="H11" s="4">
        <v>61947.537639999995</v>
      </c>
      <c r="I11" s="4">
        <v>594273.13352999999</v>
      </c>
      <c r="M11" s="4"/>
      <c r="N11" s="4"/>
      <c r="O11" s="4"/>
    </row>
    <row r="12" spans="1:15" x14ac:dyDescent="0.2">
      <c r="A12" s="6" t="s">
        <v>74</v>
      </c>
      <c r="B12" s="6" t="s">
        <v>75</v>
      </c>
      <c r="C12" s="6" t="s">
        <v>97</v>
      </c>
      <c r="D12" s="6" t="s">
        <v>37</v>
      </c>
      <c r="E12" s="6"/>
      <c r="F12" s="4">
        <v>1241490.92</v>
      </c>
      <c r="G12" s="4">
        <v>916988.81</v>
      </c>
      <c r="H12" s="4">
        <v>945833.07000000007</v>
      </c>
      <c r="I12" s="4">
        <v>17208992.769999996</v>
      </c>
      <c r="M12" s="4"/>
      <c r="N12" s="4"/>
      <c r="O12" s="4"/>
    </row>
    <row r="13" spans="1:15" x14ac:dyDescent="0.2">
      <c r="A13" s="6" t="s">
        <v>74</v>
      </c>
      <c r="B13" s="6" t="s">
        <v>75</v>
      </c>
      <c r="C13" s="6" t="s">
        <v>98</v>
      </c>
      <c r="D13" s="5" t="s">
        <v>38</v>
      </c>
      <c r="E13" s="5"/>
      <c r="F13" s="4">
        <v>117191.18</v>
      </c>
      <c r="G13" s="4">
        <v>125919.43000000001</v>
      </c>
      <c r="H13" s="4">
        <v>88438.13</v>
      </c>
      <c r="I13" s="4">
        <v>2624646.7499999995</v>
      </c>
      <c r="J13" s="4"/>
      <c r="K13" s="4"/>
      <c r="L13" s="4"/>
      <c r="M13" s="4"/>
      <c r="N13" s="4"/>
      <c r="O13" s="4"/>
    </row>
    <row r="14" spans="1:15" x14ac:dyDescent="0.2">
      <c r="A14" s="6" t="s">
        <v>74</v>
      </c>
      <c r="B14" s="6" t="s">
        <v>75</v>
      </c>
      <c r="C14" s="6" t="s">
        <v>99</v>
      </c>
      <c r="D14" s="5" t="s">
        <v>39</v>
      </c>
      <c r="E14" s="5"/>
      <c r="F14" s="4">
        <v>1244871.0194600001</v>
      </c>
      <c r="G14" s="4">
        <v>1238105.81</v>
      </c>
      <c r="H14" s="4">
        <v>1222114.99566</v>
      </c>
      <c r="I14" s="4">
        <v>13686733.945119999</v>
      </c>
      <c r="J14" s="1"/>
    </row>
    <row r="15" spans="1:15" x14ac:dyDescent="0.2">
      <c r="A15" s="6" t="s">
        <v>74</v>
      </c>
      <c r="B15" s="6" t="s">
        <v>75</v>
      </c>
      <c r="C15" s="6" t="s">
        <v>100</v>
      </c>
      <c r="D15" s="6" t="s">
        <v>40</v>
      </c>
      <c r="E15" s="6"/>
      <c r="F15" s="4">
        <v>78782.580390000003</v>
      </c>
      <c r="G15" s="4">
        <v>52611.991519999996</v>
      </c>
      <c r="H15" s="4">
        <v>77511.549449999991</v>
      </c>
      <c r="I15" s="4">
        <v>2825681.7404999989</v>
      </c>
    </row>
    <row r="16" spans="1:15" x14ac:dyDescent="0.2">
      <c r="A16" s="6" t="s">
        <v>74</v>
      </c>
      <c r="B16" s="6" t="s">
        <v>75</v>
      </c>
      <c r="C16" s="6" t="s">
        <v>101</v>
      </c>
      <c r="D16" s="6" t="s">
        <v>41</v>
      </c>
      <c r="E16" s="6"/>
      <c r="F16" s="4">
        <v>22915.559999999998</v>
      </c>
      <c r="G16" s="4">
        <v>11394.57</v>
      </c>
      <c r="H16" s="4">
        <v>12914.109999999999</v>
      </c>
      <c r="I16" s="4">
        <v>319782.12640999997</v>
      </c>
    </row>
    <row r="17" spans="1:10" x14ac:dyDescent="0.2">
      <c r="A17" s="6" t="s">
        <v>74</v>
      </c>
      <c r="B17" s="6" t="s">
        <v>75</v>
      </c>
      <c r="C17" s="6" t="s">
        <v>102</v>
      </c>
      <c r="D17" s="5" t="s">
        <v>42</v>
      </c>
      <c r="E17" s="5"/>
      <c r="F17" s="4">
        <v>-924.28</v>
      </c>
      <c r="G17" s="4">
        <v>8242</v>
      </c>
      <c r="H17" s="4">
        <v>2810</v>
      </c>
      <c r="I17" s="4">
        <v>192929.77328999998</v>
      </c>
    </row>
    <row r="18" spans="1:10" x14ac:dyDescent="0.2">
      <c r="A18" s="6" t="s">
        <v>74</v>
      </c>
      <c r="B18" s="6" t="s">
        <v>75</v>
      </c>
      <c r="C18" s="6" t="s">
        <v>103</v>
      </c>
      <c r="D18" s="5" t="s">
        <v>43</v>
      </c>
      <c r="E18" s="5"/>
      <c r="F18" s="4">
        <v>326616.41000000003</v>
      </c>
      <c r="G18" s="4">
        <v>308972.13</v>
      </c>
      <c r="H18" s="4">
        <v>346861.8</v>
      </c>
      <c r="I18" s="4">
        <v>4133620.19</v>
      </c>
    </row>
    <row r="19" spans="1:10" x14ac:dyDescent="0.2">
      <c r="A19" s="6"/>
      <c r="B19" s="6"/>
      <c r="C19" s="5"/>
      <c r="D19" s="5" t="s">
        <v>104</v>
      </c>
      <c r="E19" s="5"/>
      <c r="F19" s="4">
        <f>'Total expenses'!F10-SUM('oldTravel, training and expense'!F10:F18)</f>
        <v>1413956.39604</v>
      </c>
      <c r="G19" s="4">
        <f>'Total expenses'!G10-SUM('oldTravel, training and expense'!G10:G18)</f>
        <v>1524924.5508000003</v>
      </c>
      <c r="H19" s="4">
        <f>'Total expenses'!H10-SUM('oldTravel, training and expense'!H10:H18)</f>
        <v>2943546.368400001</v>
      </c>
      <c r="I19" s="4">
        <f>'Total expenses'!I10-SUM('oldTravel, training and expense'!I10:I18)</f>
        <v>16380627.166310027</v>
      </c>
    </row>
    <row r="20" spans="1:10" x14ac:dyDescent="0.2">
      <c r="A20" s="6"/>
      <c r="B20" s="6"/>
      <c r="C20" s="5"/>
      <c r="D20" s="5"/>
      <c r="E20" s="5"/>
      <c r="F20" s="4"/>
      <c r="G20" s="4"/>
      <c r="H20" s="4"/>
      <c r="I20" s="4"/>
    </row>
    <row r="21" spans="1:10" x14ac:dyDescent="0.2">
      <c r="A21" s="6"/>
      <c r="B21" s="6"/>
      <c r="C21" s="5"/>
      <c r="D21" s="5"/>
      <c r="E21" s="5"/>
      <c r="F21" s="4"/>
      <c r="G21" s="4"/>
      <c r="H21" s="4"/>
      <c r="I21" s="4"/>
    </row>
    <row r="22" spans="1:10" x14ac:dyDescent="0.2">
      <c r="A22" s="6"/>
      <c r="B22" s="6"/>
      <c r="C22" s="5"/>
      <c r="D22" s="5"/>
      <c r="E22" s="5"/>
      <c r="F22" s="4"/>
      <c r="G22" s="4"/>
      <c r="H22" s="4"/>
      <c r="I22" s="4"/>
    </row>
    <row r="23" spans="1:10" x14ac:dyDescent="0.2">
      <c r="A23" s="6"/>
      <c r="B23" s="6"/>
      <c r="C23" s="5"/>
      <c r="D23" s="5"/>
      <c r="E23" s="5"/>
      <c r="F23" s="4"/>
      <c r="G23" s="4"/>
      <c r="H23" s="4"/>
      <c r="I23" s="4"/>
      <c r="J23" s="1"/>
    </row>
    <row r="24" spans="1:10" x14ac:dyDescent="0.2">
      <c r="J24" s="1"/>
    </row>
  </sheetData>
  <dataValidations count="1">
    <dataValidation type="list" allowBlank="1" showInputMessage="1" sqref="F3:L9 A10:B23" xr:uid="{00000000-0002-0000-0500-000000000000}">
      <formula1>"..."</formula1>
    </dataValidation>
  </dataValidations>
  <pageMargins left="0.25" right="0.25" top="0.75" bottom="0.75" header="0.3" footer="0.3"/>
  <pageSetup paperSize="5" scale="64" orientation="landscape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  <pageSetUpPr fitToPage="1"/>
  </sheetPr>
  <dimension ref="A1:O23"/>
  <sheetViews>
    <sheetView showGridLines="0" workbookViewId="0">
      <selection activeCell="H18" sqref="H18"/>
    </sheetView>
  </sheetViews>
  <sheetFormatPr baseColWidth="10" defaultColWidth="8.83203125" defaultRowHeight="15" outlineLevelRow="1" x14ac:dyDescent="0.2"/>
  <cols>
    <col min="1" max="1" width="26.83203125" customWidth="1"/>
    <col min="2" max="2" width="48.1640625" bestFit="1" customWidth="1"/>
    <col min="3" max="3" width="18.5" customWidth="1"/>
    <col min="4" max="4" width="30" bestFit="1" customWidth="1"/>
    <col min="5" max="5" width="30" customWidth="1"/>
    <col min="6" max="6" width="22" bestFit="1" customWidth="1"/>
    <col min="7" max="9" width="22" customWidth="1"/>
    <col min="10" max="10" width="3.33203125" customWidth="1"/>
    <col min="11" max="11" width="14.33203125" bestFit="1" customWidth="1"/>
    <col min="12" max="13" width="17.5" bestFit="1" customWidth="1"/>
  </cols>
  <sheetData>
    <row r="1" spans="1:15" x14ac:dyDescent="0.2">
      <c r="E1" t="s">
        <v>52</v>
      </c>
      <c r="F1" t="s">
        <v>53</v>
      </c>
      <c r="G1" t="s">
        <v>53</v>
      </c>
      <c r="H1" t="s">
        <v>53</v>
      </c>
      <c r="I1" t="s">
        <v>52</v>
      </c>
    </row>
    <row r="2" spans="1:15" x14ac:dyDescent="0.2">
      <c r="E2" t="str">
        <f>VLOOKUP(input!$C$2,input!$H$3:$L$14,2,FALSE)</f>
        <v>June</v>
      </c>
      <c r="F2" t="str">
        <f>VLOOKUP(input!$C$2,input!$H$3:$L$14,1,FALSE)</f>
        <v>May</v>
      </c>
      <c r="G2" t="str">
        <f>VLOOKUP(input!$C$2,input!$H$3:$L$14,3,FALSE)</f>
        <v>April</v>
      </c>
      <c r="H2" t="str">
        <f>VLOOKUP(input!$C$2,input!$H$3:$L$14,4,FALSE)</f>
        <v>March</v>
      </c>
      <c r="I2" t="s">
        <v>10</v>
      </c>
    </row>
    <row r="3" spans="1:15" x14ac:dyDescent="0.2">
      <c r="E3" s="7" t="s">
        <v>87</v>
      </c>
      <c r="F3" s="7" t="s">
        <v>87</v>
      </c>
      <c r="G3" s="7" t="s">
        <v>87</v>
      </c>
      <c r="H3" s="7" t="s">
        <v>87</v>
      </c>
      <c r="I3" s="7" t="s">
        <v>87</v>
      </c>
      <c r="J3" s="7"/>
      <c r="K3" s="7"/>
      <c r="L3" s="7"/>
    </row>
    <row r="4" spans="1:15" x14ac:dyDescent="0.2">
      <c r="E4" t="s">
        <v>54</v>
      </c>
      <c r="F4" t="s">
        <v>54</v>
      </c>
      <c r="G4" t="s">
        <v>54</v>
      </c>
      <c r="H4" t="s">
        <v>54</v>
      </c>
      <c r="I4" t="s">
        <v>55</v>
      </c>
    </row>
    <row r="5" spans="1:15" outlineLevel="1" x14ac:dyDescent="0.2">
      <c r="E5" t="s">
        <v>56</v>
      </c>
      <c r="F5" t="s">
        <v>56</v>
      </c>
      <c r="G5" t="s">
        <v>56</v>
      </c>
      <c r="H5" t="s">
        <v>56</v>
      </c>
      <c r="I5" t="s">
        <v>56</v>
      </c>
    </row>
    <row r="6" spans="1:15" outlineLevel="1" x14ac:dyDescent="0.2">
      <c r="E6" t="s">
        <v>57</v>
      </c>
      <c r="F6" t="s">
        <v>57</v>
      </c>
      <c r="G6" t="s">
        <v>57</v>
      </c>
      <c r="H6" t="s">
        <v>57</v>
      </c>
      <c r="I6" t="s">
        <v>57</v>
      </c>
    </row>
    <row r="7" spans="1:15" outlineLevel="1" x14ac:dyDescent="0.2">
      <c r="E7" t="s">
        <v>58</v>
      </c>
      <c r="F7" t="s">
        <v>58</v>
      </c>
      <c r="G7" t="s">
        <v>58</v>
      </c>
      <c r="H7" t="s">
        <v>58</v>
      </c>
      <c r="I7" t="s">
        <v>58</v>
      </c>
    </row>
    <row r="8" spans="1:15" outlineLevel="1" x14ac:dyDescent="0.2">
      <c r="E8" s="5" t="s">
        <v>78</v>
      </c>
      <c r="F8" s="5" t="s">
        <v>78</v>
      </c>
      <c r="G8" s="5" t="s">
        <v>78</v>
      </c>
      <c r="H8" s="5" t="s">
        <v>78</v>
      </c>
      <c r="I8" s="5" t="s">
        <v>78</v>
      </c>
      <c r="J8" s="5"/>
      <c r="K8" s="5"/>
      <c r="L8" s="5"/>
    </row>
    <row r="9" spans="1:15" outlineLevel="1" x14ac:dyDescent="0.2">
      <c r="E9" t="s">
        <v>59</v>
      </c>
      <c r="F9" t="s">
        <v>59</v>
      </c>
      <c r="G9" t="s">
        <v>59</v>
      </c>
      <c r="H9" t="s">
        <v>59</v>
      </c>
      <c r="I9" t="s">
        <v>59</v>
      </c>
    </row>
    <row r="10" spans="1:15" x14ac:dyDescent="0.2">
      <c r="A10" s="6" t="s">
        <v>74</v>
      </c>
      <c r="B10" s="6" t="s">
        <v>75</v>
      </c>
      <c r="C10" s="6" t="s">
        <v>96</v>
      </c>
      <c r="D10" s="6" t="s">
        <v>36</v>
      </c>
      <c r="E10" s="4">
        <v>2612.4460699999959</v>
      </c>
      <c r="F10" s="4">
        <v>6652.4</v>
      </c>
      <c r="G10" s="4">
        <v>4074.6599999999994</v>
      </c>
      <c r="H10" s="4">
        <v>28518.544010000001</v>
      </c>
      <c r="I10" s="4">
        <v>330539.58707000001</v>
      </c>
      <c r="M10" s="4"/>
      <c r="N10" s="4"/>
      <c r="O10" s="4"/>
    </row>
    <row r="11" spans="1:15" x14ac:dyDescent="0.2">
      <c r="A11" s="6" t="s">
        <v>74</v>
      </c>
      <c r="B11" s="6" t="s">
        <v>75</v>
      </c>
      <c r="C11" s="6" t="s">
        <v>97</v>
      </c>
      <c r="D11" s="6" t="s">
        <v>37</v>
      </c>
      <c r="E11" s="4">
        <v>1664405.48</v>
      </c>
      <c r="F11" s="4">
        <v>1573349.8599999999</v>
      </c>
      <c r="G11" s="4">
        <v>1490790.0099999998</v>
      </c>
      <c r="H11" s="4">
        <v>1496997.19</v>
      </c>
      <c r="I11" s="4">
        <v>19187695.760000002</v>
      </c>
      <c r="M11" s="4"/>
      <c r="N11" s="4"/>
      <c r="O11" s="4"/>
    </row>
    <row r="12" spans="1:15" x14ac:dyDescent="0.2">
      <c r="A12" s="6" t="s">
        <v>74</v>
      </c>
      <c r="B12" s="6" t="s">
        <v>75</v>
      </c>
      <c r="C12" s="6" t="s">
        <v>98</v>
      </c>
      <c r="D12" s="5" t="s">
        <v>38</v>
      </c>
      <c r="E12" s="4">
        <v>168332.13999999998</v>
      </c>
      <c r="F12" s="4">
        <v>64223.239999999991</v>
      </c>
      <c r="G12" s="4">
        <v>117212.25</v>
      </c>
      <c r="H12" s="4">
        <v>511089.42000000004</v>
      </c>
      <c r="I12" s="4">
        <v>2195460.1399999997</v>
      </c>
      <c r="J12" s="4"/>
      <c r="K12" s="4"/>
      <c r="L12" s="4"/>
      <c r="M12" s="4"/>
      <c r="N12" s="4"/>
      <c r="O12" s="4"/>
    </row>
    <row r="13" spans="1:15" x14ac:dyDescent="0.2">
      <c r="A13" s="6" t="s">
        <v>74</v>
      </c>
      <c r="B13" s="6" t="s">
        <v>75</v>
      </c>
      <c r="C13" s="6" t="s">
        <v>99</v>
      </c>
      <c r="D13" s="5" t="s">
        <v>39</v>
      </c>
      <c r="E13" s="4">
        <v>1631725.27</v>
      </c>
      <c r="F13" s="4">
        <v>1761368.56436</v>
      </c>
      <c r="G13" s="4">
        <v>1366404.98</v>
      </c>
      <c r="H13" s="4">
        <v>1674353.9929599999</v>
      </c>
      <c r="I13" s="4">
        <v>17827665.752439998</v>
      </c>
      <c r="J13" s="1"/>
    </row>
    <row r="14" spans="1:15" x14ac:dyDescent="0.2">
      <c r="A14" s="6" t="s">
        <v>74</v>
      </c>
      <c r="B14" s="6" t="s">
        <v>75</v>
      </c>
      <c r="C14" s="6" t="s">
        <v>100</v>
      </c>
      <c r="D14" s="6" t="s">
        <v>40</v>
      </c>
      <c r="E14" s="4">
        <v>260775.66999999998</v>
      </c>
      <c r="F14" s="4">
        <v>151625.25029</v>
      </c>
      <c r="G14" s="4">
        <v>124723.73855000001</v>
      </c>
      <c r="H14" s="4">
        <v>671860.58433999994</v>
      </c>
      <c r="I14" s="4">
        <v>2724578.6436799993</v>
      </c>
    </row>
    <row r="15" spans="1:15" x14ac:dyDescent="0.2">
      <c r="A15" s="6" t="s">
        <v>74</v>
      </c>
      <c r="B15" s="6" t="s">
        <v>75</v>
      </c>
      <c r="C15" s="6" t="s">
        <v>101</v>
      </c>
      <c r="D15" s="6" t="s">
        <v>41</v>
      </c>
      <c r="E15" s="4">
        <v>613.35332000000017</v>
      </c>
      <c r="F15" s="4">
        <v>9430.17</v>
      </c>
      <c r="G15" s="4">
        <v>9914.4600000000009</v>
      </c>
      <c r="H15" s="4">
        <v>31484.710999999996</v>
      </c>
      <c r="I15" s="4">
        <v>197801.60582999996</v>
      </c>
    </row>
    <row r="16" spans="1:15" x14ac:dyDescent="0.2">
      <c r="A16" s="6" t="s">
        <v>74</v>
      </c>
      <c r="B16" s="6" t="s">
        <v>75</v>
      </c>
      <c r="C16" s="6" t="s">
        <v>102</v>
      </c>
      <c r="D16" s="5" t="s">
        <v>42</v>
      </c>
      <c r="E16" s="4">
        <v>4320.5966600000011</v>
      </c>
      <c r="F16" s="4">
        <v>67388.09</v>
      </c>
      <c r="G16" s="4">
        <v>9312.76</v>
      </c>
      <c r="H16" s="4">
        <v>18704.760000000002</v>
      </c>
      <c r="I16" s="4">
        <v>197590.56331999999</v>
      </c>
    </row>
    <row r="17" spans="1:10" x14ac:dyDescent="0.2">
      <c r="A17" s="6" t="s">
        <v>74</v>
      </c>
      <c r="B17" s="6" t="s">
        <v>75</v>
      </c>
      <c r="C17" s="6" t="s">
        <v>103</v>
      </c>
      <c r="D17" s="5" t="s">
        <v>43</v>
      </c>
      <c r="E17" s="4">
        <v>335000</v>
      </c>
      <c r="F17" s="4">
        <v>345759.91</v>
      </c>
      <c r="G17" s="4">
        <v>363760.95999999996</v>
      </c>
      <c r="H17" s="4">
        <v>293124.78999999998</v>
      </c>
      <c r="I17" s="4">
        <v>4131265.85</v>
      </c>
    </row>
    <row r="18" spans="1:10" x14ac:dyDescent="0.2">
      <c r="A18" s="6" t="s">
        <v>74</v>
      </c>
      <c r="B18" s="6" t="s">
        <v>75</v>
      </c>
      <c r="C18" s="6" t="s">
        <v>105</v>
      </c>
      <c r="D18" s="5" t="s">
        <v>104</v>
      </c>
      <c r="E18" s="37">
        <f>'Total expenses'!E10-SUM(Compensation!E15,'Travel, training and expense'!E10:E17)</f>
        <v>960728.95137999952</v>
      </c>
      <c r="F18" s="37">
        <f>'Total expenses'!F10-SUM(Compensation!F15,'Travel, training and expense'!F10:F17)</f>
        <v>1041290.2864599982</v>
      </c>
      <c r="G18" s="37">
        <f>'Total expenses'!G10-SUM(Compensation!G15,'Travel, training and expense'!G10:G17)</f>
        <v>986037.06058999989</v>
      </c>
      <c r="H18" s="37">
        <f>'Total expenses'!H10-SUM(Compensation!H15,'Travel, training and expense'!H10:H17)</f>
        <v>1014502.8785900008</v>
      </c>
      <c r="I18" s="37">
        <f>'Total expenses'!I10-SUM(Compensation!I15,'Travel, training and expense'!I10:I17)</f>
        <v>11522456.659169987</v>
      </c>
    </row>
    <row r="19" spans="1:10" x14ac:dyDescent="0.2">
      <c r="A19" s="6"/>
      <c r="B19" s="6"/>
      <c r="C19" s="5"/>
      <c r="D19" s="5"/>
      <c r="E19" s="1"/>
      <c r="F19" s="1"/>
      <c r="G19" s="1"/>
      <c r="H19" s="1"/>
      <c r="I19" s="1"/>
    </row>
    <row r="20" spans="1:10" x14ac:dyDescent="0.2">
      <c r="A20" s="6"/>
      <c r="B20" s="6"/>
      <c r="C20" s="5"/>
      <c r="D20" s="5"/>
      <c r="E20" s="5"/>
      <c r="F20" s="4"/>
      <c r="G20" s="4"/>
      <c r="H20" s="4"/>
      <c r="I20" s="4"/>
    </row>
    <row r="21" spans="1:10" x14ac:dyDescent="0.2">
      <c r="A21" s="6"/>
      <c r="B21" s="6"/>
      <c r="C21" s="5"/>
      <c r="D21" s="5"/>
      <c r="E21" s="5"/>
      <c r="F21" s="4"/>
      <c r="G21" s="4"/>
      <c r="H21" s="4"/>
      <c r="I21" s="4"/>
    </row>
    <row r="22" spans="1:10" x14ac:dyDescent="0.2">
      <c r="A22" s="6"/>
      <c r="B22" s="6"/>
      <c r="C22" s="5"/>
      <c r="D22" s="5"/>
      <c r="E22" s="5"/>
      <c r="F22" s="4"/>
      <c r="G22" s="4"/>
      <c r="H22" s="4"/>
      <c r="I22" s="4"/>
      <c r="J22" s="1"/>
    </row>
    <row r="23" spans="1:10" x14ac:dyDescent="0.2">
      <c r="J23" s="1"/>
    </row>
  </sheetData>
  <dataValidations count="1">
    <dataValidation type="list" allowBlank="1" showInputMessage="1" sqref="E3:L9 A10:B22" xr:uid="{00000000-0002-0000-0600-000000000000}">
      <formula1>"..."</formula1>
    </dataValidation>
  </dataValidations>
  <pageMargins left="0.25" right="0.25" top="0.75" bottom="0.75" header="0.3" footer="0.3"/>
  <pageSetup paperSize="5" scale="64" orientation="landscape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  <pageSetUpPr fitToPage="1"/>
  </sheetPr>
  <dimension ref="A1:O29"/>
  <sheetViews>
    <sheetView showGridLines="0" workbookViewId="0">
      <selection activeCell="G12" sqref="G12"/>
    </sheetView>
  </sheetViews>
  <sheetFormatPr baseColWidth="10" defaultColWidth="8.83203125" defaultRowHeight="15" outlineLevelRow="1" x14ac:dyDescent="0.2"/>
  <cols>
    <col min="1" max="1" width="26.83203125" customWidth="1"/>
    <col min="2" max="2" width="48.1640625" bestFit="1" customWidth="1"/>
    <col min="3" max="3" width="18.5" customWidth="1"/>
    <col min="4" max="4" width="30" bestFit="1" customWidth="1"/>
    <col min="5" max="5" width="30" customWidth="1"/>
    <col min="6" max="6" width="22" bestFit="1" customWidth="1"/>
    <col min="7" max="9" width="22" customWidth="1"/>
    <col min="10" max="10" width="3.33203125" customWidth="1"/>
    <col min="11" max="11" width="14.33203125" bestFit="1" customWidth="1"/>
    <col min="12" max="13" width="17.5" bestFit="1" customWidth="1"/>
  </cols>
  <sheetData>
    <row r="1" spans="1:15" x14ac:dyDescent="0.2">
      <c r="E1" t="s">
        <v>52</v>
      </c>
      <c r="F1" t="s">
        <v>53</v>
      </c>
      <c r="G1" t="s">
        <v>53</v>
      </c>
      <c r="H1" t="s">
        <v>53</v>
      </c>
      <c r="I1" t="s">
        <v>52</v>
      </c>
    </row>
    <row r="2" spans="1:15" x14ac:dyDescent="0.2">
      <c r="E2" t="str">
        <f>VLOOKUP(input!C2,input!$H$2:$I$14,2,FALSE)</f>
        <v>June</v>
      </c>
      <c r="F2" t="str">
        <f>input!$C$2</f>
        <v>May</v>
      </c>
      <c r="G2" t="str">
        <f>VLOOKUP(input!$C$2,input!$H$2:$K$14,3,FALSE)</f>
        <v>April</v>
      </c>
      <c r="H2" t="str">
        <f>VLOOKUP(input!$C$2,input!$H$2:$K$14,4,FALSE)</f>
        <v>March</v>
      </c>
      <c r="I2" t="s">
        <v>10</v>
      </c>
    </row>
    <row r="3" spans="1:15" x14ac:dyDescent="0.2">
      <c r="E3" s="7" t="s">
        <v>87</v>
      </c>
      <c r="F3" s="7" t="s">
        <v>87</v>
      </c>
      <c r="G3" s="7" t="s">
        <v>87</v>
      </c>
      <c r="H3" s="7" t="s">
        <v>87</v>
      </c>
      <c r="I3" s="7" t="s">
        <v>87</v>
      </c>
      <c r="J3" s="7"/>
      <c r="K3" s="7"/>
      <c r="L3" s="7"/>
    </row>
    <row r="4" spans="1:15" x14ac:dyDescent="0.2">
      <c r="E4" t="s">
        <v>54</v>
      </c>
      <c r="F4" t="s">
        <v>54</v>
      </c>
      <c r="G4" t="s">
        <v>54</v>
      </c>
      <c r="H4" t="s">
        <v>54</v>
      </c>
      <c r="I4" t="s">
        <v>55</v>
      </c>
    </row>
    <row r="5" spans="1:15" outlineLevel="1" x14ac:dyDescent="0.2">
      <c r="E5" t="s">
        <v>56</v>
      </c>
      <c r="F5" t="s">
        <v>56</v>
      </c>
      <c r="G5" t="s">
        <v>56</v>
      </c>
      <c r="H5" t="s">
        <v>56</v>
      </c>
      <c r="I5" t="s">
        <v>56</v>
      </c>
    </row>
    <row r="6" spans="1:15" outlineLevel="1" x14ac:dyDescent="0.2">
      <c r="E6" t="s">
        <v>57</v>
      </c>
      <c r="F6" t="s">
        <v>57</v>
      </c>
      <c r="G6" t="s">
        <v>57</v>
      </c>
      <c r="H6" t="s">
        <v>57</v>
      </c>
      <c r="I6" t="s">
        <v>57</v>
      </c>
    </row>
    <row r="7" spans="1:15" outlineLevel="1" x14ac:dyDescent="0.2">
      <c r="E7" t="s">
        <v>58</v>
      </c>
      <c r="F7" t="s">
        <v>58</v>
      </c>
      <c r="G7" t="s">
        <v>58</v>
      </c>
      <c r="H7" t="s">
        <v>58</v>
      </c>
      <c r="I7" t="s">
        <v>58</v>
      </c>
    </row>
    <row r="8" spans="1:15" outlineLevel="1" x14ac:dyDescent="0.2">
      <c r="E8" s="5" t="s">
        <v>78</v>
      </c>
      <c r="F8" s="5" t="s">
        <v>78</v>
      </c>
      <c r="G8" s="5" t="s">
        <v>78</v>
      </c>
      <c r="H8" s="5" t="s">
        <v>78</v>
      </c>
      <c r="I8" s="5" t="s">
        <v>78</v>
      </c>
      <c r="J8" s="5"/>
      <c r="K8" s="5"/>
      <c r="L8" s="5"/>
    </row>
    <row r="9" spans="1:15" outlineLevel="1" x14ac:dyDescent="0.2">
      <c r="E9" t="s">
        <v>59</v>
      </c>
      <c r="F9" t="s">
        <v>59</v>
      </c>
      <c r="G9" t="s">
        <v>59</v>
      </c>
      <c r="H9" t="s">
        <v>59</v>
      </c>
      <c r="I9" t="s">
        <v>59</v>
      </c>
    </row>
    <row r="10" spans="1:15" outlineLevel="1" x14ac:dyDescent="0.2">
      <c r="A10" s="6" t="s">
        <v>74</v>
      </c>
      <c r="B10" s="6" t="s">
        <v>75</v>
      </c>
      <c r="C10" s="6" t="s">
        <v>106</v>
      </c>
      <c r="D10" s="5" t="s">
        <v>46</v>
      </c>
      <c r="E10" s="4">
        <v>2517857.4420300005</v>
      </c>
      <c r="F10" s="4">
        <v>2332970.5863100002</v>
      </c>
      <c r="G10" s="4">
        <v>2383568.8516199999</v>
      </c>
      <c r="H10" s="4">
        <v>2353500.3269699998</v>
      </c>
      <c r="I10" s="4">
        <v>28860424.990270004</v>
      </c>
    </row>
    <row r="11" spans="1:15" outlineLevel="1" x14ac:dyDescent="0.2">
      <c r="A11" s="6" t="s">
        <v>74</v>
      </c>
      <c r="B11" s="6" t="s">
        <v>75</v>
      </c>
      <c r="C11" s="6" t="s">
        <v>107</v>
      </c>
      <c r="D11" s="5" t="s">
        <v>47</v>
      </c>
      <c r="E11" s="4">
        <v>152062.47003</v>
      </c>
      <c r="F11" s="4">
        <v>195623.77492</v>
      </c>
      <c r="G11" s="4">
        <v>202975.85961000001</v>
      </c>
      <c r="H11" s="4">
        <v>202582.69829</v>
      </c>
      <c r="I11" s="4">
        <v>2089079.0174099999</v>
      </c>
    </row>
    <row r="12" spans="1:15" outlineLevel="1" x14ac:dyDescent="0.2">
      <c r="A12" s="6" t="s">
        <v>74</v>
      </c>
      <c r="B12" s="6" t="s">
        <v>75</v>
      </c>
      <c r="C12" s="6" t="s">
        <v>108</v>
      </c>
      <c r="D12" s="5" t="s">
        <v>48</v>
      </c>
      <c r="E12" s="4">
        <v>838864.24940000009</v>
      </c>
      <c r="F12" s="4">
        <v>550904.65708999999</v>
      </c>
      <c r="G12" s="4">
        <v>608033.01883000007</v>
      </c>
      <c r="H12" s="4">
        <v>584067.34126000002</v>
      </c>
      <c r="I12" s="4">
        <v>8318419.8220000006</v>
      </c>
    </row>
    <row r="13" spans="1:15" outlineLevel="1" x14ac:dyDescent="0.2">
      <c r="A13" s="6" t="s">
        <v>74</v>
      </c>
      <c r="B13" s="6" t="s">
        <v>75</v>
      </c>
      <c r="C13" s="6" t="s">
        <v>109</v>
      </c>
      <c r="D13" s="5" t="s">
        <v>49</v>
      </c>
      <c r="E13" s="4">
        <v>614319.42306000006</v>
      </c>
      <c r="F13" s="4">
        <v>620020.52633999987</v>
      </c>
      <c r="G13" s="4">
        <v>346246.23722000007</v>
      </c>
      <c r="H13" s="4">
        <v>628744.14341999998</v>
      </c>
      <c r="I13" s="4">
        <v>7286189.577250001</v>
      </c>
    </row>
    <row r="14" spans="1:15" outlineLevel="1" x14ac:dyDescent="0.2">
      <c r="A14" s="6" t="s">
        <v>74</v>
      </c>
      <c r="B14" s="6" t="s">
        <v>75</v>
      </c>
      <c r="C14" s="6" t="s">
        <v>110</v>
      </c>
      <c r="D14" s="5" t="s">
        <v>50</v>
      </c>
      <c r="E14" s="4">
        <v>-144550.70105</v>
      </c>
      <c r="F14" s="4">
        <v>600</v>
      </c>
      <c r="G14" s="4">
        <v>5326.77</v>
      </c>
      <c r="H14" s="4">
        <v>15050</v>
      </c>
      <c r="I14" s="4">
        <v>-222284.33525000003</v>
      </c>
    </row>
    <row r="15" spans="1:15" x14ac:dyDescent="0.2">
      <c r="A15" s="6" t="s">
        <v>74</v>
      </c>
      <c r="B15" s="6" t="s">
        <v>75</v>
      </c>
      <c r="C15" s="6" t="s">
        <v>81</v>
      </c>
      <c r="D15" s="5" t="s">
        <v>51</v>
      </c>
      <c r="E15" s="4">
        <v>3978552.8834700007</v>
      </c>
      <c r="F15" s="4">
        <v>3700119.5446599997</v>
      </c>
      <c r="G15" s="4">
        <v>3546150.73728</v>
      </c>
      <c r="H15" s="4">
        <v>3783944.5099400003</v>
      </c>
      <c r="I15" s="4">
        <v>46331829.071679994</v>
      </c>
    </row>
    <row r="16" spans="1:15" x14ac:dyDescent="0.2">
      <c r="A16" s="6"/>
      <c r="B16" s="6"/>
      <c r="C16" s="6"/>
      <c r="D16" s="6"/>
      <c r="E16" s="4"/>
      <c r="F16" s="4"/>
      <c r="G16" s="4"/>
      <c r="H16" s="4"/>
      <c r="I16" s="4"/>
      <c r="M16" s="4"/>
      <c r="N16" s="4"/>
      <c r="O16" s="4"/>
    </row>
    <row r="17" spans="1:15" x14ac:dyDescent="0.2">
      <c r="A17" s="6"/>
      <c r="B17" s="6"/>
      <c r="C17" s="6"/>
      <c r="D17" s="6"/>
      <c r="E17" s="4"/>
      <c r="F17" s="4"/>
      <c r="G17" s="4"/>
      <c r="H17" s="4"/>
      <c r="I17" s="4"/>
      <c r="M17" s="4"/>
      <c r="N17" s="4"/>
      <c r="O17" s="4"/>
    </row>
    <row r="18" spans="1:15" x14ac:dyDescent="0.2">
      <c r="A18" s="6"/>
      <c r="B18" s="6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A19" s="6"/>
      <c r="B19" s="6"/>
      <c r="C19" s="6"/>
      <c r="D19" s="5"/>
      <c r="E19" s="4"/>
      <c r="F19" s="4"/>
      <c r="G19" s="4"/>
      <c r="H19" s="4"/>
      <c r="I19" s="4"/>
      <c r="J19" s="1"/>
    </row>
    <row r="20" spans="1:15" x14ac:dyDescent="0.2">
      <c r="A20" s="6"/>
      <c r="B20" s="6"/>
      <c r="C20" s="6"/>
      <c r="D20" s="6"/>
      <c r="E20" s="4"/>
      <c r="F20" s="4"/>
      <c r="G20" s="4"/>
      <c r="H20" s="4"/>
      <c r="I20" s="4"/>
    </row>
    <row r="21" spans="1:15" x14ac:dyDescent="0.2">
      <c r="A21" s="6"/>
      <c r="B21" s="6"/>
      <c r="C21" s="6"/>
      <c r="D21" s="6"/>
      <c r="E21" s="4"/>
      <c r="F21" s="4"/>
      <c r="G21" s="4"/>
      <c r="H21" s="4"/>
      <c r="I21" s="4"/>
    </row>
    <row r="22" spans="1:15" x14ac:dyDescent="0.2">
      <c r="A22" s="6"/>
      <c r="B22" s="6"/>
      <c r="C22" s="6"/>
      <c r="D22" s="5"/>
      <c r="E22" s="4"/>
      <c r="F22" s="4"/>
      <c r="G22" s="4"/>
      <c r="H22" s="4"/>
      <c r="I22" s="4"/>
    </row>
    <row r="23" spans="1:15" x14ac:dyDescent="0.2">
      <c r="A23" s="6"/>
      <c r="B23" s="6"/>
      <c r="C23" s="6"/>
      <c r="D23" s="5"/>
      <c r="E23" s="4"/>
      <c r="F23" s="4"/>
      <c r="G23" s="4"/>
      <c r="H23" s="4"/>
      <c r="I23" s="4"/>
    </row>
    <row r="24" spans="1:15" x14ac:dyDescent="0.2">
      <c r="A24" s="6"/>
      <c r="B24" s="6"/>
      <c r="C24" s="6"/>
      <c r="D24" s="5"/>
      <c r="E24" s="4"/>
      <c r="F24" s="4"/>
      <c r="G24" s="4"/>
      <c r="H24" s="4"/>
      <c r="I24" s="4"/>
    </row>
    <row r="25" spans="1:15" x14ac:dyDescent="0.2">
      <c r="A25" s="6"/>
      <c r="B25" s="6"/>
      <c r="C25" s="5"/>
      <c r="D25" s="5"/>
      <c r="E25" s="5"/>
      <c r="F25" s="4"/>
      <c r="G25" s="4"/>
      <c r="H25" s="4"/>
      <c r="I25" s="4"/>
    </row>
    <row r="26" spans="1:15" x14ac:dyDescent="0.2">
      <c r="A26" s="6"/>
      <c r="B26" s="6"/>
      <c r="C26" s="5"/>
      <c r="D26" s="5"/>
      <c r="E26" s="5"/>
      <c r="F26" s="4"/>
      <c r="G26" s="4"/>
      <c r="H26" s="4"/>
      <c r="I26" s="4"/>
    </row>
    <row r="27" spans="1:15" x14ac:dyDescent="0.2">
      <c r="A27" s="6"/>
      <c r="B27" s="6"/>
      <c r="C27" s="5"/>
      <c r="D27" s="5"/>
      <c r="E27" s="5"/>
      <c r="F27" s="4"/>
      <c r="G27" s="4"/>
      <c r="H27" s="4"/>
      <c r="I27" s="4"/>
    </row>
    <row r="28" spans="1:15" x14ac:dyDescent="0.2">
      <c r="A28" s="6"/>
      <c r="B28" s="6"/>
      <c r="C28" s="5"/>
      <c r="D28" s="5"/>
      <c r="E28" s="5"/>
      <c r="F28" s="4"/>
      <c r="G28" s="4"/>
      <c r="H28" s="4"/>
      <c r="I28" s="4"/>
      <c r="J28" s="1"/>
    </row>
    <row r="29" spans="1:15" x14ac:dyDescent="0.2">
      <c r="J29" s="1"/>
    </row>
  </sheetData>
  <dataValidations disablePrompts="1" count="1">
    <dataValidation type="list" allowBlank="1" showInputMessage="1" sqref="J3:L14 E3:I9 A10:B28" xr:uid="{00000000-0002-0000-0700-000000000000}">
      <formula1>"..."</formula1>
    </dataValidation>
  </dataValidations>
  <pageMargins left="0.25" right="0.25" top="0.75" bottom="0.75" header="0.3" footer="0.3"/>
  <pageSetup paperSize="5" scale="64" orientation="landscape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  <pageSetUpPr fitToPage="1"/>
  </sheetPr>
  <dimension ref="A1:L15"/>
  <sheetViews>
    <sheetView topLeftCell="B1" workbookViewId="0">
      <selection activeCell="G14" sqref="G14"/>
    </sheetView>
  </sheetViews>
  <sheetFormatPr baseColWidth="10" defaultColWidth="8.83203125" defaultRowHeight="15" outlineLevelRow="1" x14ac:dyDescent="0.2"/>
  <cols>
    <col min="1" max="1" width="26.83203125" customWidth="1"/>
    <col min="2" max="2" width="48.1640625" bestFit="1" customWidth="1"/>
    <col min="3" max="3" width="18.5" customWidth="1"/>
    <col min="4" max="4" width="30" bestFit="1" customWidth="1"/>
    <col min="5" max="5" width="30" customWidth="1"/>
    <col min="6" max="6" width="22" bestFit="1" customWidth="1"/>
    <col min="7" max="9" width="22" customWidth="1"/>
    <col min="10" max="10" width="3.33203125" customWidth="1"/>
    <col min="11" max="11" width="14.33203125" bestFit="1" customWidth="1"/>
    <col min="12" max="13" width="17.5" bestFit="1" customWidth="1"/>
  </cols>
  <sheetData>
    <row r="1" spans="1:12" x14ac:dyDescent="0.2">
      <c r="E1" t="s">
        <v>52</v>
      </c>
      <c r="F1" t="s">
        <v>53</v>
      </c>
      <c r="G1" t="s">
        <v>53</v>
      </c>
      <c r="H1" t="s">
        <v>53</v>
      </c>
      <c r="I1" t="s">
        <v>52</v>
      </c>
    </row>
    <row r="2" spans="1:12" x14ac:dyDescent="0.2">
      <c r="E2" t="str">
        <f>VLOOKUP(input!$C$2,input!$H$3:$L$14,2,FALSE)</f>
        <v>June</v>
      </c>
      <c r="F2" t="str">
        <f>VLOOKUP(input!$C$2,input!$H$3:$L$14,1,FALSE)</f>
        <v>May</v>
      </c>
      <c r="G2" t="str">
        <f>VLOOKUP(input!$C$2,input!$H$3:$L$14,3,FALSE)</f>
        <v>April</v>
      </c>
      <c r="H2" t="str">
        <f>VLOOKUP(input!$C$2,input!$H$3:$L$14,4,FALSE)</f>
        <v>March</v>
      </c>
      <c r="I2" t="s">
        <v>10</v>
      </c>
    </row>
    <row r="3" spans="1:12" x14ac:dyDescent="0.2">
      <c r="E3" s="7" t="s">
        <v>87</v>
      </c>
      <c r="F3" s="7" t="s">
        <v>87</v>
      </c>
      <c r="G3" s="7" t="s">
        <v>87</v>
      </c>
      <c r="H3" s="7" t="s">
        <v>87</v>
      </c>
      <c r="I3" s="7" t="s">
        <v>87</v>
      </c>
      <c r="J3" s="7"/>
      <c r="K3" s="7"/>
      <c r="L3" s="7"/>
    </row>
    <row r="4" spans="1:12" x14ac:dyDescent="0.2">
      <c r="E4" t="s">
        <v>54</v>
      </c>
      <c r="F4" t="s">
        <v>54</v>
      </c>
      <c r="G4" t="s">
        <v>54</v>
      </c>
      <c r="H4" t="s">
        <v>54</v>
      </c>
      <c r="I4" t="s">
        <v>55</v>
      </c>
    </row>
    <row r="5" spans="1:12" outlineLevel="1" x14ac:dyDescent="0.2">
      <c r="E5" t="s">
        <v>56</v>
      </c>
      <c r="F5" t="s">
        <v>56</v>
      </c>
      <c r="G5" t="s">
        <v>56</v>
      </c>
      <c r="H5" t="s">
        <v>56</v>
      </c>
      <c r="I5" t="s">
        <v>56</v>
      </c>
    </row>
    <row r="6" spans="1:12" outlineLevel="1" x14ac:dyDescent="0.2">
      <c r="E6" t="s">
        <v>57</v>
      </c>
      <c r="F6" t="s">
        <v>57</v>
      </c>
      <c r="G6" t="s">
        <v>57</v>
      </c>
      <c r="H6" t="s">
        <v>57</v>
      </c>
      <c r="I6" t="s">
        <v>57</v>
      </c>
    </row>
    <row r="7" spans="1:12" outlineLevel="1" x14ac:dyDescent="0.2">
      <c r="E7" t="s">
        <v>58</v>
      </c>
      <c r="F7" t="s">
        <v>58</v>
      </c>
      <c r="G7" t="s">
        <v>58</v>
      </c>
      <c r="H7" t="s">
        <v>58</v>
      </c>
      <c r="I7" t="s">
        <v>58</v>
      </c>
    </row>
    <row r="8" spans="1:12" outlineLevel="1" x14ac:dyDescent="0.2">
      <c r="E8" s="5" t="s">
        <v>78</v>
      </c>
      <c r="F8" s="5" t="s">
        <v>78</v>
      </c>
      <c r="G8" s="5" t="s">
        <v>78</v>
      </c>
      <c r="H8" s="5" t="s">
        <v>78</v>
      </c>
      <c r="I8" s="5" t="s">
        <v>78</v>
      </c>
      <c r="J8" s="5"/>
      <c r="K8" s="5"/>
      <c r="L8" s="5"/>
    </row>
    <row r="9" spans="1:12" outlineLevel="1" x14ac:dyDescent="0.2">
      <c r="E9" t="s">
        <v>59</v>
      </c>
      <c r="F9" t="s">
        <v>59</v>
      </c>
      <c r="G9" t="s">
        <v>59</v>
      </c>
      <c r="H9" t="s">
        <v>59</v>
      </c>
      <c r="I9" t="s">
        <v>59</v>
      </c>
    </row>
    <row r="10" spans="1:12" x14ac:dyDescent="0.2">
      <c r="A10" s="6" t="s">
        <v>74</v>
      </c>
      <c r="B10" s="6" t="s">
        <v>75</v>
      </c>
      <c r="C10" s="5" t="s">
        <v>111</v>
      </c>
      <c r="D10" s="5" t="s">
        <v>112</v>
      </c>
      <c r="E10" s="4">
        <v>9007066.7908999994</v>
      </c>
      <c r="F10" s="4">
        <v>8721207.3157699984</v>
      </c>
      <c r="G10" s="4">
        <v>8018381.6164199999</v>
      </c>
      <c r="H10" s="4">
        <v>9524581.3808399998</v>
      </c>
      <c r="I10" s="4">
        <v>104646883.63318999</v>
      </c>
    </row>
    <row r="11" spans="1:12" x14ac:dyDescent="0.2">
      <c r="A11" s="6"/>
      <c r="B11" s="6"/>
      <c r="C11" s="5"/>
      <c r="D11" s="5"/>
      <c r="E11" s="5"/>
      <c r="F11" s="4"/>
      <c r="G11" s="4"/>
      <c r="H11" s="4"/>
      <c r="I11" s="4"/>
    </row>
    <row r="12" spans="1:12" x14ac:dyDescent="0.2">
      <c r="A12" s="6"/>
      <c r="B12" s="6"/>
      <c r="C12" s="5"/>
      <c r="D12" s="5"/>
      <c r="E12" s="5"/>
      <c r="F12" s="4"/>
      <c r="G12" s="4"/>
      <c r="H12" s="4"/>
      <c r="I12" s="4"/>
    </row>
    <row r="13" spans="1:12" x14ac:dyDescent="0.2">
      <c r="A13" s="6"/>
      <c r="B13" s="6"/>
      <c r="C13" s="5"/>
      <c r="D13" s="5"/>
      <c r="E13" s="5"/>
      <c r="F13" s="4"/>
      <c r="G13" s="4"/>
      <c r="H13" s="4"/>
      <c r="I13" s="4"/>
    </row>
    <row r="14" spans="1:12" x14ac:dyDescent="0.2">
      <c r="A14" s="6"/>
      <c r="B14" s="6"/>
      <c r="C14" s="5"/>
      <c r="D14" s="5"/>
      <c r="E14" s="5"/>
      <c r="F14" s="4"/>
      <c r="G14" s="4"/>
      <c r="H14" s="4"/>
      <c r="I14" s="4"/>
      <c r="J14" s="1"/>
    </row>
    <row r="15" spans="1:12" x14ac:dyDescent="0.2">
      <c r="J15" s="1"/>
    </row>
  </sheetData>
  <dataValidations disablePrompts="1" count="1">
    <dataValidation type="list" allowBlank="1" showInputMessage="1" sqref="E3:L9 A10:B14" xr:uid="{00000000-0002-0000-0800-000000000000}">
      <formula1>"..."</formula1>
    </dataValidation>
  </dataValidations>
  <pageMargins left="0.25" right="0.25" top="0.75" bottom="0.75" header="0.3" footer="0.3"/>
  <pageSetup paperSize="5" scale="64" orientation="landscape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Data</vt:lpstr>
      <vt:lpstr>Data_compensation</vt:lpstr>
      <vt:lpstr>AUM and Account metrics</vt:lpstr>
      <vt:lpstr>Capital and Operating</vt:lpstr>
      <vt:lpstr>oldTravel, training and expense</vt:lpstr>
      <vt:lpstr>Travel, training and expense</vt:lpstr>
      <vt:lpstr>Compensation</vt:lpstr>
      <vt:lpstr>Total expenses</vt:lpstr>
    </vt:vector>
  </TitlesOfParts>
  <Manager/>
  <Company>Eaton Vance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Lombardi</dc:creator>
  <cp:keywords/>
  <dc:description/>
  <cp:lastModifiedBy>Microsoft Office User</cp:lastModifiedBy>
  <cp:revision/>
  <dcterms:created xsi:type="dcterms:W3CDTF">2020-02-27T16:54:47Z</dcterms:created>
  <dcterms:modified xsi:type="dcterms:W3CDTF">2020-07-16T22:44:27Z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