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Эксплуатационные расходы" sheetId="1" r:id="rId1"/>
    <sheet name="Капитальные вложения" sheetId="2" r:id="rId2"/>
    <sheet name="Экономический эффект" sheetId="3" r:id="rId3"/>
    <sheet name="Диаграмма 1" sheetId="4" r:id="rId4"/>
    <sheet name="Диаграмма 2" sheetId="5" r:id="rId5"/>
  </sheets>
  <calcPr calcId="145621"/>
  <fileRecoveryPr dataExtractLoad="1"/>
</workbook>
</file>

<file path=xl/calcChain.xml><?xml version="1.0" encoding="utf-8"?>
<calcChain xmlns="http://schemas.openxmlformats.org/spreadsheetml/2006/main">
  <c r="G4" i="2" l="1"/>
  <c r="G2" i="2" s="1"/>
  <c r="G5" i="2"/>
  <c r="G7" i="2"/>
  <c r="G8" i="2"/>
  <c r="G8" i="3"/>
  <c r="G9" i="3"/>
  <c r="G10" i="3"/>
  <c r="G12" i="3"/>
  <c r="G13" i="3"/>
  <c r="A45" i="3" s="1"/>
  <c r="G14" i="3"/>
  <c r="G7" i="3" s="1"/>
  <c r="R5" i="1"/>
  <c r="R8" i="1" s="1"/>
  <c r="G12" i="1" s="1"/>
  <c r="R6" i="1"/>
  <c r="R7" i="1"/>
  <c r="G9" i="1"/>
  <c r="E3" i="1" s="1"/>
  <c r="E2" i="1" s="1"/>
  <c r="G10" i="1"/>
  <c r="R14" i="1"/>
  <c r="R17" i="1" s="1"/>
  <c r="R15" i="1"/>
  <c r="R16" i="1"/>
  <c r="G22" i="1"/>
  <c r="G20" i="1" s="1"/>
  <c r="G13" i="1" s="1"/>
  <c r="G5" i="3" l="1"/>
  <c r="O3" i="3"/>
  <c r="A49" i="3" s="1"/>
  <c r="O4" i="3"/>
  <c r="A50" i="3" s="1"/>
  <c r="O2" i="3"/>
  <c r="A48" i="3" s="1"/>
  <c r="B45" i="3"/>
</calcChain>
</file>

<file path=xl/sharedStrings.xml><?xml version="1.0" encoding="utf-8"?>
<sst xmlns="http://schemas.openxmlformats.org/spreadsheetml/2006/main" count="160" uniqueCount="119">
  <si>
    <t>Рассчет эксплуатационных расходов</t>
  </si>
  <si>
    <t>Таблица 1, стоимость оборудования</t>
  </si>
  <si>
    <t>Сэвм=С/(T*n)</t>
  </si>
  <si>
    <t>Состав оборудования</t>
  </si>
  <si>
    <t>Количество, шт</t>
  </si>
  <si>
    <t>первоначальная стоимость, руб</t>
  </si>
  <si>
    <t>Общая стоимость,руб</t>
  </si>
  <si>
    <t>С=Сзп+Ссф+Сн+Сам+Срем+Сэл+См</t>
  </si>
  <si>
    <t>Офисный ПК</t>
  </si>
  <si>
    <t>Затраты на содержание и обслуживание ЭВМ</t>
  </si>
  <si>
    <t>Заработная плата</t>
  </si>
  <si>
    <t>Сзп</t>
  </si>
  <si>
    <t>руб.</t>
  </si>
  <si>
    <t>Итого:</t>
  </si>
  <si>
    <t>Отчисления в фонд социального страхования</t>
  </si>
  <si>
    <t>Ссф</t>
  </si>
  <si>
    <t>Накладные расходы</t>
  </si>
  <si>
    <t>Сн</t>
  </si>
  <si>
    <t>Таблица 2, общая мощность оборудования</t>
  </si>
  <si>
    <t>Амортизационные отчисления</t>
  </si>
  <si>
    <t>Сам</t>
  </si>
  <si>
    <t>Мощность, КВт/ч</t>
  </si>
  <si>
    <t>Общая мощность, КВт/ч</t>
  </si>
  <si>
    <t>Затраты на ремонт оборудования</t>
  </si>
  <si>
    <t>Срем</t>
  </si>
  <si>
    <t>Затраты на электричество</t>
  </si>
  <si>
    <t>Сэл</t>
  </si>
  <si>
    <t>Затраты на материалы</t>
  </si>
  <si>
    <t>См</t>
  </si>
  <si>
    <t>Процент отчислений в фонд соц.страхования</t>
  </si>
  <si>
    <t>Рсф</t>
  </si>
  <si>
    <t>%</t>
  </si>
  <si>
    <t>Процент накладных расходов</t>
  </si>
  <si>
    <t>Н</t>
  </si>
  <si>
    <t>Годовая норма амортизационных отчислений</t>
  </si>
  <si>
    <t>А</t>
  </si>
  <si>
    <t>Годовые затраты на ремонт</t>
  </si>
  <si>
    <t>Ррем</t>
  </si>
  <si>
    <t>Полезный фонд времени работы ЭВМ</t>
  </si>
  <si>
    <t>Т</t>
  </si>
  <si>
    <t>час</t>
  </si>
  <si>
    <t>Цена за КВт/ч</t>
  </si>
  <si>
    <t>Z</t>
  </si>
  <si>
    <t>Режимный фонд времени</t>
  </si>
  <si>
    <t>Треж</t>
  </si>
  <si>
    <t>Среднее количество рабочих дней в месяце</t>
  </si>
  <si>
    <t>РД</t>
  </si>
  <si>
    <t>день</t>
  </si>
  <si>
    <t>Продолжительность рабочего дня</t>
  </si>
  <si>
    <t xml:space="preserve">ПРд </t>
  </si>
  <si>
    <t>Количество предпразднечных дней</t>
  </si>
  <si>
    <t>ППД</t>
  </si>
  <si>
    <t>Плановые потери на профилактику и ремонт</t>
  </si>
  <si>
    <t>Трем</t>
  </si>
  <si>
    <t>Рассчет капитальных вложений</t>
  </si>
  <si>
    <t>Sо=Зпрук+ЗПст+Ссф+Тотл*Сэвм+См+Сн</t>
  </si>
  <si>
    <t>Зарплата руководителя</t>
  </si>
  <si>
    <t>Зпрук</t>
  </si>
  <si>
    <t>Зарплата студенту</t>
  </si>
  <si>
    <t>ЗПст</t>
  </si>
  <si>
    <t>Взносы в фонд социального страхования</t>
  </si>
  <si>
    <t>Затраты времени на отладку программы</t>
  </si>
  <si>
    <t>Тотл</t>
  </si>
  <si>
    <t>Сумма накладных расходов</t>
  </si>
  <si>
    <t>Время на консультацию по ВКР</t>
  </si>
  <si>
    <t>t</t>
  </si>
  <si>
    <t>Тарифная ставка руководителя в час</t>
  </si>
  <si>
    <t>Тч</t>
  </si>
  <si>
    <t>Зарплата студента</t>
  </si>
  <si>
    <t>Сч</t>
  </si>
  <si>
    <t>Средняя занятость в день</t>
  </si>
  <si>
    <t>s</t>
  </si>
  <si>
    <t>Количество дней для отладки программы</t>
  </si>
  <si>
    <t>d</t>
  </si>
  <si>
    <t>Рассчет экономического эффекта</t>
  </si>
  <si>
    <t>Экономия средств за счет автоматизации</t>
  </si>
  <si>
    <t>ЭЭ=Р-S0</t>
  </si>
  <si>
    <t>Экономия средств за 1 год</t>
  </si>
  <si>
    <t>Экономия средств за 2 год</t>
  </si>
  <si>
    <t>Экономия средств за 3 год</t>
  </si>
  <si>
    <t>Стоимостная оценка результатов за период</t>
  </si>
  <si>
    <t>T,P</t>
  </si>
  <si>
    <t>Стоимостная оценка результатов года</t>
  </si>
  <si>
    <t>Pt</t>
  </si>
  <si>
    <t>Дисконтирующая функция за 1 год</t>
  </si>
  <si>
    <t>at</t>
  </si>
  <si>
    <t>Дисконтирующая функция за 2 год</t>
  </si>
  <si>
    <t>Дисконтирующая функция за 3 год</t>
  </si>
  <si>
    <t>Коэффициент дисконтирования</t>
  </si>
  <si>
    <t>p</t>
  </si>
  <si>
    <t>Экономия за счет введения автоматизации (год)</t>
  </si>
  <si>
    <t>Затраты на ручную обработку информации</t>
  </si>
  <si>
    <t>3p</t>
  </si>
  <si>
    <t>Затраты на автоматизированную обработку</t>
  </si>
  <si>
    <t>3a</t>
  </si>
  <si>
    <t>Объем обрабатываемы данных за год</t>
  </si>
  <si>
    <t>Ои</t>
  </si>
  <si>
    <t>Стоимость одного часа работы</t>
  </si>
  <si>
    <t>Ц</t>
  </si>
  <si>
    <t>Коэф.на доп.затраты времени</t>
  </si>
  <si>
    <t>Гд</t>
  </si>
  <si>
    <t>Норма выработки</t>
  </si>
  <si>
    <t>Нв</t>
  </si>
  <si>
    <t>Время автоматической обработки</t>
  </si>
  <si>
    <t>ta</t>
  </si>
  <si>
    <t>Стоимость часа машинного времени</t>
  </si>
  <si>
    <t>Цм</t>
  </si>
  <si>
    <t>Время работы оператора</t>
  </si>
  <si>
    <t>to</t>
  </si>
  <si>
    <t>Стоимость часа работы оператора</t>
  </si>
  <si>
    <t>Цо</t>
  </si>
  <si>
    <t xml:space="preserve">Экономический эффект </t>
  </si>
  <si>
    <t>Эг</t>
  </si>
  <si>
    <t>Эффективность разработки</t>
  </si>
  <si>
    <t>Эр</t>
  </si>
  <si>
    <t>Данные</t>
  </si>
  <si>
    <t>Сумма по полю Затраты на ручную обработку информации</t>
  </si>
  <si>
    <t>Сумма по полю Затраты на автоматизированную обработку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</si>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</sst>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G13" sqref="G13"/>
    </sheetView>
  </sheetViews>
  <sheetFormatPr defaultRowHeight="15" x14ac:dyDescent="0.25"/>
  <sheetData>
    <row r="1" spans="1:18" x14ac:dyDescent="0.25">
      <c r="A1" t="s">
        <v>0</v>
      </c>
      <c r="L1" t="s">
        <v>1</v>
      </c>
    </row>
    <row r="2" spans="1:18" x14ac:dyDescent="0.25">
      <c r="A2" t="s">
        <v>2</v>
      </c>
      <c r="E2">
        <f>E3/(G20*N5)</f>
        <v>355.86403940886697</v>
      </c>
      <c r="L2" t="s">
        <v>3</v>
      </c>
      <c r="N2" t="s">
        <v>4</v>
      </c>
      <c r="P2" t="s">
        <v>5</v>
      </c>
      <c r="R2" t="s">
        <v>6</v>
      </c>
    </row>
    <row r="3" spans="1:18" x14ac:dyDescent="0.25">
      <c r="A3" t="s">
        <v>7</v>
      </c>
      <c r="E3">
        <f>SUM(G8:G14)</f>
        <v>43344.24</v>
      </c>
    </row>
    <row r="5" spans="1:18" x14ac:dyDescent="0.25">
      <c r="L5" t="s">
        <v>8</v>
      </c>
      <c r="N5">
        <v>1</v>
      </c>
      <c r="P5">
        <v>25000</v>
      </c>
      <c r="R5">
        <f>P5*N5</f>
        <v>25000</v>
      </c>
    </row>
    <row r="6" spans="1:18" x14ac:dyDescent="0.25">
      <c r="A6" t="s">
        <v>9</v>
      </c>
      <c r="N6">
        <v>0</v>
      </c>
      <c r="P6">
        <v>0</v>
      </c>
      <c r="R6">
        <f>P6*N6</f>
        <v>0</v>
      </c>
    </row>
    <row r="7" spans="1:18" x14ac:dyDescent="0.25">
      <c r="A7" t="s">
        <v>7</v>
      </c>
      <c r="N7">
        <v>0</v>
      </c>
      <c r="P7">
        <v>0</v>
      </c>
      <c r="R7">
        <f>P7*N7</f>
        <v>0</v>
      </c>
    </row>
    <row r="8" spans="1:18" x14ac:dyDescent="0.25">
      <c r="A8" t="s">
        <v>10</v>
      </c>
      <c r="F8" t="s">
        <v>11</v>
      </c>
      <c r="G8">
        <v>30000</v>
      </c>
      <c r="H8" t="s">
        <v>12</v>
      </c>
      <c r="L8" t="s">
        <v>13</v>
      </c>
      <c r="R8">
        <f>R5+R6+R7</f>
        <v>25000</v>
      </c>
    </row>
    <row r="9" spans="1:18" x14ac:dyDescent="0.25">
      <c r="A9" t="s">
        <v>14</v>
      </c>
      <c r="F9" t="s">
        <v>15</v>
      </c>
      <c r="G9">
        <f>(G8*G16)/100</f>
        <v>9000</v>
      </c>
      <c r="H9" t="s">
        <v>12</v>
      </c>
    </row>
    <row r="10" spans="1:18" x14ac:dyDescent="0.25">
      <c r="A10" t="s">
        <v>16</v>
      </c>
      <c r="F10" t="s">
        <v>17</v>
      </c>
      <c r="G10">
        <f>(G8*G17)/100</f>
        <v>3000</v>
      </c>
      <c r="H10" t="s">
        <v>12</v>
      </c>
      <c r="L10" t="s">
        <v>18</v>
      </c>
    </row>
    <row r="11" spans="1:18" x14ac:dyDescent="0.25">
      <c r="A11" t="s">
        <v>19</v>
      </c>
      <c r="F11" t="s">
        <v>20</v>
      </c>
      <c r="H11" t="s">
        <v>12</v>
      </c>
      <c r="L11" t="s">
        <v>3</v>
      </c>
      <c r="N11" t="s">
        <v>4</v>
      </c>
      <c r="P11" t="s">
        <v>21</v>
      </c>
      <c r="R11" t="s">
        <v>22</v>
      </c>
    </row>
    <row r="12" spans="1:18" x14ac:dyDescent="0.25">
      <c r="A12" t="s">
        <v>23</v>
      </c>
      <c r="F12" t="s">
        <v>24</v>
      </c>
      <c r="G12">
        <f>(R8*G19)/(100*12)</f>
        <v>625</v>
      </c>
      <c r="H12" t="s">
        <v>12</v>
      </c>
    </row>
    <row r="13" spans="1:18" x14ac:dyDescent="0.25">
      <c r="A13" t="s">
        <v>25</v>
      </c>
      <c r="F13" t="s">
        <v>26</v>
      </c>
      <c r="G13">
        <f>P14*G20*G21</f>
        <v>219.24</v>
      </c>
      <c r="H13" t="s">
        <v>12</v>
      </c>
    </row>
    <row r="14" spans="1:18" x14ac:dyDescent="0.25">
      <c r="A14" t="s">
        <v>27</v>
      </c>
      <c r="F14" t="s">
        <v>28</v>
      </c>
      <c r="G14">
        <v>500</v>
      </c>
      <c r="H14" t="s">
        <v>12</v>
      </c>
      <c r="L14" t="s">
        <v>8</v>
      </c>
      <c r="N14">
        <v>1</v>
      </c>
      <c r="P14">
        <v>0.4</v>
      </c>
      <c r="R14">
        <f>P14*N14</f>
        <v>0.4</v>
      </c>
    </row>
    <row r="15" spans="1:18" x14ac:dyDescent="0.25">
      <c r="N15">
        <v>0</v>
      </c>
      <c r="P15">
        <v>0</v>
      </c>
      <c r="R15">
        <f>P15*N15</f>
        <v>0</v>
      </c>
    </row>
    <row r="16" spans="1:18" x14ac:dyDescent="0.25">
      <c r="A16" t="s">
        <v>29</v>
      </c>
      <c r="F16" t="s">
        <v>30</v>
      </c>
      <c r="G16">
        <v>30</v>
      </c>
      <c r="H16" t="s">
        <v>31</v>
      </c>
      <c r="N16">
        <v>0</v>
      </c>
      <c r="P16">
        <v>0</v>
      </c>
      <c r="R16">
        <f>P16*N16</f>
        <v>0</v>
      </c>
    </row>
    <row r="17" spans="1:18" x14ac:dyDescent="0.25">
      <c r="A17" t="s">
        <v>32</v>
      </c>
      <c r="F17" t="s">
        <v>33</v>
      </c>
      <c r="G17">
        <v>10</v>
      </c>
      <c r="H17" t="s">
        <v>31</v>
      </c>
      <c r="L17" t="s">
        <v>13</v>
      </c>
      <c r="R17">
        <f>R14+R15+R16</f>
        <v>0.4</v>
      </c>
    </row>
    <row r="18" spans="1:18" x14ac:dyDescent="0.25">
      <c r="A18" t="s">
        <v>34</v>
      </c>
      <c r="F18" t="s">
        <v>35</v>
      </c>
      <c r="G18">
        <v>12.5</v>
      </c>
      <c r="H18" t="s">
        <v>31</v>
      </c>
    </row>
    <row r="19" spans="1:18" x14ac:dyDescent="0.25">
      <c r="A19" t="s">
        <v>36</v>
      </c>
      <c r="F19" t="s">
        <v>37</v>
      </c>
      <c r="G19">
        <v>30</v>
      </c>
      <c r="H19" t="s">
        <v>31</v>
      </c>
    </row>
    <row r="20" spans="1:18" x14ac:dyDescent="0.25">
      <c r="A20" t="s">
        <v>38</v>
      </c>
      <c r="F20" t="s">
        <v>39</v>
      </c>
      <c r="G20">
        <f>G22-(G22*G19)/100</f>
        <v>121.8</v>
      </c>
      <c r="H20" t="s">
        <v>40</v>
      </c>
    </row>
    <row r="21" spans="1:18" x14ac:dyDescent="0.25">
      <c r="A21" t="s">
        <v>41</v>
      </c>
      <c r="F21" t="s">
        <v>42</v>
      </c>
      <c r="G21">
        <v>4.5</v>
      </c>
      <c r="H21" t="s">
        <v>12</v>
      </c>
    </row>
    <row r="22" spans="1:18" x14ac:dyDescent="0.25">
      <c r="A22" t="s">
        <v>43</v>
      </c>
      <c r="F22" t="s">
        <v>44</v>
      </c>
      <c r="G22">
        <f>G23*G24-(G25*1)</f>
        <v>174</v>
      </c>
      <c r="H22" t="s">
        <v>40</v>
      </c>
    </row>
    <row r="23" spans="1:18" x14ac:dyDescent="0.25">
      <c r="A23" t="s">
        <v>45</v>
      </c>
      <c r="F23" t="s">
        <v>46</v>
      </c>
      <c r="G23">
        <v>22</v>
      </c>
      <c r="H23" t="s">
        <v>47</v>
      </c>
    </row>
    <row r="24" spans="1:18" x14ac:dyDescent="0.25">
      <c r="A24" t="s">
        <v>48</v>
      </c>
      <c r="F24" t="s">
        <v>49</v>
      </c>
      <c r="G24">
        <v>8</v>
      </c>
      <c r="H24" t="s">
        <v>40</v>
      </c>
    </row>
    <row r="25" spans="1:18" x14ac:dyDescent="0.25">
      <c r="A25" t="s">
        <v>50</v>
      </c>
      <c r="F25" t="s">
        <v>51</v>
      </c>
      <c r="G25">
        <v>2</v>
      </c>
      <c r="H25" t="s">
        <v>47</v>
      </c>
    </row>
    <row r="26" spans="1:18" x14ac:dyDescent="0.25">
      <c r="A26" t="s">
        <v>52</v>
      </c>
      <c r="F26" t="s">
        <v>53</v>
      </c>
      <c r="G26">
        <v>10</v>
      </c>
      <c r="H2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54</v>
      </c>
    </row>
    <row r="2" spans="1:8" x14ac:dyDescent="0.25">
      <c r="A2" t="s">
        <v>55</v>
      </c>
      <c r="G2">
        <f>SUM(G4:G8)</f>
        <v>3724</v>
      </c>
      <c r="H2" t="s">
        <v>12</v>
      </c>
    </row>
    <row r="4" spans="1:8" x14ac:dyDescent="0.25">
      <c r="A4" t="s">
        <v>56</v>
      </c>
      <c r="F4" t="s">
        <v>57</v>
      </c>
      <c r="G4">
        <f>G10*G11</f>
        <v>1400</v>
      </c>
      <c r="H4" t="s">
        <v>12</v>
      </c>
    </row>
    <row r="5" spans="1:8" x14ac:dyDescent="0.25">
      <c r="A5" t="s">
        <v>58</v>
      </c>
      <c r="F5" t="s">
        <v>59</v>
      </c>
      <c r="G5">
        <f>G13*G14*G12</f>
        <v>1960</v>
      </c>
      <c r="H5" t="s">
        <v>12</v>
      </c>
    </row>
    <row r="6" spans="1:8" x14ac:dyDescent="0.25">
      <c r="A6" t="s">
        <v>60</v>
      </c>
      <c r="F6" t="s">
        <v>15</v>
      </c>
      <c r="H6" t="s">
        <v>12</v>
      </c>
    </row>
    <row r="7" spans="1:8" x14ac:dyDescent="0.25">
      <c r="A7" t="s">
        <v>61</v>
      </c>
      <c r="F7" t="s">
        <v>62</v>
      </c>
      <c r="G7">
        <f>G13*G14</f>
        <v>28</v>
      </c>
      <c r="H7" t="s">
        <v>12</v>
      </c>
    </row>
    <row r="8" spans="1:8" x14ac:dyDescent="0.25">
      <c r="A8" t="s">
        <v>63</v>
      </c>
      <c r="F8" t="s">
        <v>17</v>
      </c>
      <c r="G8">
        <f>((G4+G5)*G15)/100</f>
        <v>336</v>
      </c>
      <c r="H8" t="s">
        <v>12</v>
      </c>
    </row>
    <row r="10" spans="1:8" x14ac:dyDescent="0.25">
      <c r="A10" t="s">
        <v>64</v>
      </c>
      <c r="F10" t="s">
        <v>65</v>
      </c>
      <c r="G10">
        <v>10</v>
      </c>
      <c r="H10" t="s">
        <v>40</v>
      </c>
    </row>
    <row r="11" spans="1:8" x14ac:dyDescent="0.25">
      <c r="A11" t="s">
        <v>66</v>
      </c>
      <c r="F11" t="s">
        <v>67</v>
      </c>
      <c r="G11">
        <v>140</v>
      </c>
      <c r="H11" t="s">
        <v>12</v>
      </c>
    </row>
    <row r="12" spans="1:8" x14ac:dyDescent="0.25">
      <c r="A12" t="s">
        <v>68</v>
      </c>
      <c r="F12" t="s">
        <v>69</v>
      </c>
      <c r="G12">
        <v>70</v>
      </c>
      <c r="H12" t="s">
        <v>12</v>
      </c>
    </row>
    <row r="13" spans="1:8" x14ac:dyDescent="0.25">
      <c r="A13" t="s">
        <v>70</v>
      </c>
      <c r="F13" t="s">
        <v>71</v>
      </c>
      <c r="G13">
        <v>4</v>
      </c>
      <c r="H13" t="s">
        <v>40</v>
      </c>
    </row>
    <row r="14" spans="1:8" x14ac:dyDescent="0.25">
      <c r="A14" t="s">
        <v>72</v>
      </c>
      <c r="F14" t="s">
        <v>73</v>
      </c>
      <c r="G14">
        <v>7</v>
      </c>
      <c r="H14" t="s">
        <v>47</v>
      </c>
    </row>
    <row r="15" spans="1:8" x14ac:dyDescent="0.25">
      <c r="A15" t="s">
        <v>32</v>
      </c>
      <c r="F15" t="s">
        <v>33</v>
      </c>
      <c r="G15">
        <v>10</v>
      </c>
      <c r="H15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O2" sqref="O2"/>
    </sheetView>
  </sheetViews>
  <sheetFormatPr defaultRowHeight="15" x14ac:dyDescent="0.25"/>
  <sheetData>
    <row r="1" spans="1:15" x14ac:dyDescent="0.25">
      <c r="A1" t="s">
        <v>74</v>
      </c>
      <c r="J1" t="s">
        <v>75</v>
      </c>
    </row>
    <row r="2" spans="1:15" x14ac:dyDescent="0.25">
      <c r="A2" t="s">
        <v>76</v>
      </c>
      <c r="J2" t="s">
        <v>77</v>
      </c>
      <c r="O2">
        <f>G7*G8</f>
        <v>275658.95652173914</v>
      </c>
    </row>
    <row r="3" spans="1:15" x14ac:dyDescent="0.25">
      <c r="J3" t="s">
        <v>78</v>
      </c>
      <c r="O3">
        <f>G7*G9</f>
        <v>239703.44045368623</v>
      </c>
    </row>
    <row r="4" spans="1:15" x14ac:dyDescent="0.25">
      <c r="J4" t="s">
        <v>79</v>
      </c>
      <c r="O4">
        <f>G7*G10</f>
        <v>208437.77430755325</v>
      </c>
    </row>
    <row r="5" spans="1:15" x14ac:dyDescent="0.25">
      <c r="A5" t="s">
        <v>80</v>
      </c>
      <c r="F5" t="s">
        <v>81</v>
      </c>
      <c r="G5">
        <f>G7*G8+G7*G9+G7*G10</f>
        <v>723800.17128297861</v>
      </c>
    </row>
    <row r="7" spans="1:15" x14ac:dyDescent="0.25">
      <c r="A7" t="s">
        <v>82</v>
      </c>
      <c r="F7" t="s">
        <v>83</v>
      </c>
      <c r="G7">
        <f>G13-G14</f>
        <v>317007.8</v>
      </c>
    </row>
    <row r="8" spans="1:15" x14ac:dyDescent="0.25">
      <c r="A8" t="s">
        <v>84</v>
      </c>
      <c r="F8" t="s">
        <v>85</v>
      </c>
      <c r="G8">
        <f>1/+POWER(1+G11,1)</f>
        <v>0.86956521739130443</v>
      </c>
    </row>
    <row r="9" spans="1:15" x14ac:dyDescent="0.25">
      <c r="A9" t="s">
        <v>86</v>
      </c>
      <c r="F9" t="s">
        <v>85</v>
      </c>
      <c r="G9">
        <f>1/POWER(1+G11,2)</f>
        <v>0.7561436672967865</v>
      </c>
    </row>
    <row r="10" spans="1:15" x14ac:dyDescent="0.25">
      <c r="A10" t="s">
        <v>87</v>
      </c>
      <c r="F10" t="s">
        <v>85</v>
      </c>
      <c r="G10">
        <f>1/POWER(1+G11,3)</f>
        <v>0.65751623243198831</v>
      </c>
    </row>
    <row r="11" spans="1:15" x14ac:dyDescent="0.25">
      <c r="A11" t="s">
        <v>88</v>
      </c>
      <c r="F11" t="s">
        <v>89</v>
      </c>
      <c r="G11">
        <v>0.15</v>
      </c>
    </row>
    <row r="12" spans="1:15" x14ac:dyDescent="0.25">
      <c r="A12" t="s">
        <v>90</v>
      </c>
      <c r="F12" t="s">
        <v>83</v>
      </c>
      <c r="G12">
        <f>G13-G14</f>
        <v>317007.8</v>
      </c>
    </row>
    <row r="13" spans="1:15" x14ac:dyDescent="0.25">
      <c r="A13" t="s">
        <v>91</v>
      </c>
      <c r="F13" t="s">
        <v>92</v>
      </c>
      <c r="G13">
        <f>G15*G22*(G17/G18)</f>
        <v>426125</v>
      </c>
    </row>
    <row r="14" spans="1:15" x14ac:dyDescent="0.25">
      <c r="A14" t="s">
        <v>93</v>
      </c>
      <c r="F14" t="s">
        <v>94</v>
      </c>
      <c r="G14">
        <f>G19*G20+G21*(G20+G22)</f>
        <v>109117.20000000001</v>
      </c>
    </row>
    <row r="15" spans="1:15" x14ac:dyDescent="0.25">
      <c r="A15" t="s">
        <v>95</v>
      </c>
      <c r="F15" t="s">
        <v>96</v>
      </c>
      <c r="G15">
        <v>20</v>
      </c>
    </row>
    <row r="16" spans="1:15" x14ac:dyDescent="0.25">
      <c r="A16" t="s">
        <v>97</v>
      </c>
      <c r="F16" t="s">
        <v>98</v>
      </c>
      <c r="G16">
        <v>170.45</v>
      </c>
    </row>
    <row r="17" spans="1:7" x14ac:dyDescent="0.25">
      <c r="A17" t="s">
        <v>99</v>
      </c>
      <c r="F17" t="s">
        <v>100</v>
      </c>
      <c r="G17">
        <v>2.5</v>
      </c>
    </row>
    <row r="18" spans="1:7" x14ac:dyDescent="0.25">
      <c r="A18" t="s">
        <v>101</v>
      </c>
      <c r="F18" t="s">
        <v>102</v>
      </c>
      <c r="G18">
        <v>0.02</v>
      </c>
    </row>
    <row r="19" spans="1:7" x14ac:dyDescent="0.25">
      <c r="A19" t="s">
        <v>103</v>
      </c>
      <c r="F19" t="s">
        <v>104</v>
      </c>
      <c r="G19">
        <v>45</v>
      </c>
    </row>
    <row r="20" spans="1:7" x14ac:dyDescent="0.25">
      <c r="A20" t="s">
        <v>105</v>
      </c>
      <c r="F20" t="s">
        <v>106</v>
      </c>
      <c r="G20">
        <v>358</v>
      </c>
    </row>
    <row r="21" spans="1:7" x14ac:dyDescent="0.25">
      <c r="A21" t="s">
        <v>107</v>
      </c>
      <c r="F21" t="s">
        <v>108</v>
      </c>
      <c r="G21">
        <v>176</v>
      </c>
    </row>
    <row r="22" spans="1:7" x14ac:dyDescent="0.25">
      <c r="A22" t="s">
        <v>109</v>
      </c>
      <c r="F22" t="s">
        <v>110</v>
      </c>
      <c r="G22">
        <v>170.45</v>
      </c>
    </row>
    <row r="23" spans="1:7" x14ac:dyDescent="0.25">
      <c r="A23" t="s">
        <v>111</v>
      </c>
      <c r="F23" t="s">
        <v>112</v>
      </c>
    </row>
    <row r="24" spans="1:7" x14ac:dyDescent="0.25">
      <c r="A24" t="s">
        <v>113</v>
      </c>
      <c r="F24" t="s">
        <v>114</v>
      </c>
    </row>
    <row r="44" spans="1:2" x14ac:dyDescent="0.25">
      <c r="A44" t="s">
        <v>91</v>
      </c>
      <c r="B44" t="s">
        <v>93</v>
      </c>
    </row>
    <row r="45" spans="1:2" x14ac:dyDescent="0.25">
      <c r="A45">
        <f>G13</f>
        <v>426125</v>
      </c>
      <c r="B45">
        <f>G14</f>
        <v>109117.20000000001</v>
      </c>
    </row>
    <row r="47" spans="1:2" x14ac:dyDescent="0.25">
      <c r="A47" t="s">
        <v>75</v>
      </c>
    </row>
    <row r="48" spans="1:2" x14ac:dyDescent="0.25">
      <c r="A48">
        <f>O2</f>
        <v>275658.95652173914</v>
      </c>
    </row>
    <row r="49" spans="1:1" x14ac:dyDescent="0.25">
      <c r="A49">
        <f>O3</f>
        <v>239703.44045368623</v>
      </c>
    </row>
    <row r="50" spans="1:1" x14ac:dyDescent="0.25">
      <c r="A50">
        <f>O4</f>
        <v>208437.77430755325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B1" t="s">
        <v>115</v>
      </c>
    </row>
    <row r="2" spans="1:3" x14ac:dyDescent="0.25">
      <c r="B2" t="s">
        <v>116</v>
      </c>
      <c r="C2" t="s">
        <v>117</v>
      </c>
    </row>
    <row r="3" spans="1:3" x14ac:dyDescent="0.25">
      <c r="A3" t="s">
        <v>118</v>
      </c>
      <c r="B3">
        <v>426125</v>
      </c>
      <c r="C3">
        <v>109117.20000000001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Эксплуатационные расходы</vt:lpstr>
      <vt:lpstr>Капитальные вложения</vt:lpstr>
      <vt:lpstr>Экономический эффект</vt:lpstr>
      <vt:lpstr>Диаграмма 1</vt:lpstr>
      <vt:lpstr>Диаграмма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2020-01-21T11:07:11Z</dcterms:created>
  <dcterms:modified xsi:type="dcterms:W3CDTF">2020-01-21T11:07:34Z</dcterms:modified>
</cp:coreProperties>
</file>