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vinh\Git\File-Sharing\input\"/>
    </mc:Choice>
  </mc:AlternateContent>
  <xr:revisionPtr revIDLastSave="0" documentId="13_ncr:1_{73534CA1-9503-468C-B414-91B3F5159166}" xr6:coauthVersionLast="47" xr6:coauthVersionMax="47" xr10:uidLastSave="{00000000-0000-0000-0000-000000000000}"/>
  <bookViews>
    <workbookView xWindow="-28920" yWindow="-120" windowWidth="29040" windowHeight="15720" tabRatio="781" activeTab="3" xr2:uid="{00000000-000D-0000-FFFF-FFFF00000000}"/>
  </bookViews>
  <sheets>
    <sheet name="General information" sheetId="6" r:id="rId1"/>
    <sheet name="Metrics Table" sheetId="18" r:id="rId2"/>
    <sheet name="Fertiliser Applied - Input" sheetId="8" r:id="rId3"/>
    <sheet name="Chemical Applied - Input" sheetId="9" r:id="rId4"/>
    <sheet name="Lime Product - Input" sheetId="11" r:id="rId5"/>
    <sheet name="Fuel Usage - Input" sheetId="10" r:id="rId6"/>
    <sheet name="Fuel Uasge (Formula)" sheetId="17" r:id="rId7"/>
    <sheet name="Vegetation - Input" sheetId="12" r:id="rId8"/>
    <sheet name="Farm Data - Grains" sheetId="5" r:id="rId9"/>
    <sheet name="Emission factor" sheetId="2" r:id="rId10"/>
    <sheet name="Fert Comp" sheetId="4" r:id="rId11"/>
    <sheet name="Chemical compounds" sheetId="3" r:id="rId12"/>
    <sheet name="Fuel Formula &amp; Constant" sheetId="15" r:id="rId13"/>
    <sheet name="Raw table (Hide)" sheetId="16" state="hidden" r:id="rId14"/>
    <sheet name="Lookup Value (HIDE)" sheetId="13" r:id="rId15"/>
  </sheets>
  <definedNames>
    <definedName name="_xlnm._FilterDatabase" localSheetId="11" hidden="1">'Chemical compounds'!$A$1:$O$1</definedName>
    <definedName name="_xlnm._FilterDatabase" localSheetId="2" hidden="1">'Fertiliser Applied - Input'!$A$1:$O$1</definedName>
    <definedName name="Cblr">'Fuel Formula &amp; Constant'!$C$5</definedName>
    <definedName name="Cbt_large">'Fuel Formula &amp; Constant'!$C$7</definedName>
    <definedName name="Cbt_round">'Fuel Formula &amp; Constant'!$C$8</definedName>
    <definedName name="Cbt_small">'Fuel Formula &amp; Constant'!$C$6</definedName>
    <definedName name="Ccch">'Fuel Formula &amp; Constant'!$C$9</definedName>
    <definedName name="Cch">'Fuel Formula &amp; Constant'!$C$10</definedName>
    <definedName name="Cdrft">'Fuel Formula &amp; Constant'!$C$13</definedName>
    <definedName name="Ceh">'Fuel Formula &amp; Constant'!$C$11</definedName>
    <definedName name="Csw">'Fuel Formula &amp; Constant'!$C$14</definedName>
    <definedName name="Cy">'Fuel Formula &amp; Constant'!$C$12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8" i="6" l="1"/>
  <c r="M49" i="6"/>
  <c r="M50" i="6"/>
  <c r="M51" i="6"/>
  <c r="M52" i="6"/>
  <c r="M53" i="6"/>
  <c r="M54" i="6"/>
  <c r="M55" i="6"/>
  <c r="M56" i="6"/>
  <c r="M57" i="6"/>
  <c r="M58" i="6"/>
  <c r="M47" i="6"/>
  <c r="L48" i="6"/>
  <c r="L49" i="6"/>
  <c r="L50" i="6"/>
  <c r="L51" i="6"/>
  <c r="L52" i="6"/>
  <c r="L53" i="6"/>
  <c r="L54" i="6"/>
  <c r="L55" i="6"/>
  <c r="L56" i="6"/>
  <c r="L57" i="6"/>
  <c r="L58" i="6"/>
  <c r="L47" i="6"/>
  <c r="K48" i="6"/>
  <c r="K49" i="6"/>
  <c r="K50" i="6"/>
  <c r="K51" i="6"/>
  <c r="K52" i="6"/>
  <c r="K53" i="6"/>
  <c r="K54" i="6"/>
  <c r="K55" i="6"/>
  <c r="K56" i="6"/>
  <c r="K57" i="6"/>
  <c r="K58" i="6"/>
  <c r="K47" i="6"/>
  <c r="J48" i="6"/>
  <c r="J49" i="6"/>
  <c r="J50" i="6"/>
  <c r="J51" i="6"/>
  <c r="J52" i="6"/>
  <c r="J53" i="6"/>
  <c r="J54" i="6"/>
  <c r="J55" i="6"/>
  <c r="J56" i="6"/>
  <c r="J57" i="6"/>
  <c r="J58" i="6"/>
  <c r="J47" i="6"/>
  <c r="B44" i="6"/>
  <c r="B40" i="6"/>
  <c r="B36" i="6"/>
  <c r="B25" i="5" l="1"/>
  <c r="M25" i="5"/>
  <c r="C25" i="5"/>
  <c r="D25" i="5"/>
  <c r="E25" i="5"/>
  <c r="F25" i="5"/>
  <c r="G25" i="5"/>
  <c r="H25" i="5"/>
  <c r="I25" i="5"/>
  <c r="J25" i="5"/>
  <c r="K25" i="5"/>
  <c r="L25" i="5"/>
  <c r="C24" i="5"/>
  <c r="D24" i="5"/>
  <c r="F24" i="5"/>
  <c r="G24" i="5"/>
  <c r="H24" i="5"/>
  <c r="I24" i="5"/>
  <c r="J24" i="5"/>
  <c r="K24" i="5"/>
  <c r="L24" i="5"/>
  <c r="M24" i="5"/>
  <c r="C23" i="5"/>
  <c r="D23" i="5"/>
  <c r="E23" i="5"/>
  <c r="F23" i="5"/>
  <c r="G23" i="5"/>
  <c r="H23" i="5"/>
  <c r="I23" i="5"/>
  <c r="J23" i="5"/>
  <c r="K23" i="5"/>
  <c r="L23" i="5"/>
  <c r="M23" i="5"/>
  <c r="B23" i="5"/>
  <c r="C22" i="5"/>
  <c r="D22" i="5"/>
  <c r="E22" i="5"/>
  <c r="F22" i="5"/>
  <c r="G22" i="5"/>
  <c r="H22" i="5"/>
  <c r="I22" i="5"/>
  <c r="J22" i="5"/>
  <c r="K22" i="5"/>
  <c r="L22" i="5"/>
  <c r="M22" i="5"/>
  <c r="B22" i="5"/>
  <c r="C21" i="5"/>
  <c r="D21" i="5"/>
  <c r="E21" i="5"/>
  <c r="F21" i="5"/>
  <c r="G21" i="5"/>
  <c r="H21" i="5"/>
  <c r="I21" i="5"/>
  <c r="J21" i="5"/>
  <c r="K21" i="5"/>
  <c r="L21" i="5"/>
  <c r="M21" i="5"/>
  <c r="B21" i="5"/>
  <c r="C20" i="5"/>
  <c r="D20" i="5"/>
  <c r="E20" i="5"/>
  <c r="F20" i="5"/>
  <c r="G20" i="5"/>
  <c r="H20" i="5"/>
  <c r="I20" i="5"/>
  <c r="J20" i="5"/>
  <c r="K20" i="5"/>
  <c r="L20" i="5"/>
  <c r="M20" i="5"/>
  <c r="B20" i="5"/>
  <c r="C17" i="5"/>
  <c r="C23" i="18" s="1"/>
  <c r="D17" i="5"/>
  <c r="E17" i="5"/>
  <c r="E23" i="18" s="1"/>
  <c r="F17" i="5"/>
  <c r="F23" i="18" s="1"/>
  <c r="G17" i="5"/>
  <c r="G23" i="18" s="1"/>
  <c r="H17" i="5"/>
  <c r="H23" i="18" s="1"/>
  <c r="I17" i="5"/>
  <c r="I23" i="18" s="1"/>
  <c r="J17" i="5"/>
  <c r="J23" i="18" s="1"/>
  <c r="K17" i="5"/>
  <c r="K23" i="18" s="1"/>
  <c r="L17" i="5"/>
  <c r="L23" i="18" s="1"/>
  <c r="M17" i="5"/>
  <c r="M23" i="18" s="1"/>
  <c r="B17" i="5"/>
  <c r="B23" i="18" s="1"/>
  <c r="C16" i="5"/>
  <c r="C29" i="18" s="1"/>
  <c r="D16" i="5"/>
  <c r="D29" i="18" s="1"/>
  <c r="E16" i="5"/>
  <c r="E29" i="18" s="1"/>
  <c r="F16" i="5"/>
  <c r="F29" i="18" s="1"/>
  <c r="G16" i="5"/>
  <c r="G29" i="18" s="1"/>
  <c r="H16" i="5"/>
  <c r="H29" i="18" s="1"/>
  <c r="I16" i="5"/>
  <c r="I29" i="18" s="1"/>
  <c r="J16" i="5"/>
  <c r="J29" i="18" s="1"/>
  <c r="K16" i="5"/>
  <c r="K29" i="18" s="1"/>
  <c r="L16" i="5"/>
  <c r="L29" i="18" s="1"/>
  <c r="M16" i="5"/>
  <c r="M29" i="18" s="1"/>
  <c r="B16" i="5"/>
  <c r="B29" i="18" s="1"/>
  <c r="I12" i="5"/>
  <c r="I6" i="18" s="1"/>
  <c r="C3" i="5"/>
  <c r="C4" i="18" s="1"/>
  <c r="D3" i="5"/>
  <c r="D4" i="18" s="1"/>
  <c r="D15" i="18" s="1"/>
  <c r="E3" i="5"/>
  <c r="E4" i="18" s="1"/>
  <c r="E15" i="18" s="1"/>
  <c r="F3" i="5"/>
  <c r="F4" i="18" s="1"/>
  <c r="F15" i="18" s="1"/>
  <c r="G3" i="5"/>
  <c r="G4" i="18" s="1"/>
  <c r="G16" i="18" s="1"/>
  <c r="H3" i="5"/>
  <c r="H4" i="18" s="1"/>
  <c r="H16" i="18" s="1"/>
  <c r="I3" i="5"/>
  <c r="I4" i="18" s="1"/>
  <c r="J3" i="5"/>
  <c r="J4" i="18" s="1"/>
  <c r="K3" i="5"/>
  <c r="K4" i="18" s="1"/>
  <c r="K16" i="18" s="1"/>
  <c r="L3" i="5"/>
  <c r="L4" i="18" s="1"/>
  <c r="M3" i="5"/>
  <c r="M4" i="18" s="1"/>
  <c r="M16" i="18" s="1"/>
  <c r="B3" i="5"/>
  <c r="B4" i="18" s="1"/>
  <c r="B20" i="18" s="1"/>
  <c r="C2" i="5"/>
  <c r="C3" i="18" s="1"/>
  <c r="D2" i="5"/>
  <c r="D3" i="18" s="1"/>
  <c r="E2" i="5"/>
  <c r="E3" i="18" s="1"/>
  <c r="F2" i="5"/>
  <c r="F3" i="18" s="1"/>
  <c r="G2" i="5"/>
  <c r="G3" i="18" s="1"/>
  <c r="H2" i="5"/>
  <c r="H3" i="18" s="1"/>
  <c r="I2" i="5"/>
  <c r="I3" i="18" s="1"/>
  <c r="J2" i="5"/>
  <c r="J3" i="18" s="1"/>
  <c r="K2" i="5"/>
  <c r="K3" i="18" s="1"/>
  <c r="L2" i="5"/>
  <c r="L3" i="18" s="1"/>
  <c r="M2" i="5"/>
  <c r="M3" i="18" s="1"/>
  <c r="B2" i="5"/>
  <c r="B3" i="18" s="1"/>
  <c r="C15" i="5"/>
  <c r="C28" i="18" s="1"/>
  <c r="D15" i="5"/>
  <c r="D28" i="18" s="1"/>
  <c r="E15" i="5"/>
  <c r="E28" i="18" s="1"/>
  <c r="F15" i="5"/>
  <c r="F28" i="18" s="1"/>
  <c r="G15" i="5"/>
  <c r="G28" i="18" s="1"/>
  <c r="H15" i="5"/>
  <c r="H28" i="18" s="1"/>
  <c r="I15" i="5"/>
  <c r="I28" i="18" s="1"/>
  <c r="J15" i="5"/>
  <c r="J28" i="18" s="1"/>
  <c r="K15" i="5"/>
  <c r="K28" i="18" s="1"/>
  <c r="L15" i="5"/>
  <c r="L28" i="18" s="1"/>
  <c r="M15" i="5"/>
  <c r="M28" i="18" s="1"/>
  <c r="B15" i="5"/>
  <c r="B28" i="18" s="1"/>
  <c r="H48" i="6"/>
  <c r="C12" i="5" s="1"/>
  <c r="C6" i="18" s="1"/>
  <c r="H49" i="6"/>
  <c r="D12" i="5" s="1"/>
  <c r="D6" i="18" s="1"/>
  <c r="H50" i="6"/>
  <c r="E12" i="5" s="1"/>
  <c r="E6" i="18" s="1"/>
  <c r="H51" i="6"/>
  <c r="F12" i="5" s="1"/>
  <c r="F6" i="18" s="1"/>
  <c r="H52" i="6"/>
  <c r="G12" i="5" s="1"/>
  <c r="G6" i="18" s="1"/>
  <c r="H53" i="6"/>
  <c r="H12" i="5" s="1"/>
  <c r="H6" i="18" s="1"/>
  <c r="H54" i="6"/>
  <c r="H55" i="6"/>
  <c r="J12" i="5" s="1"/>
  <c r="J6" i="18" s="1"/>
  <c r="H56" i="6"/>
  <c r="K12" i="5" s="1"/>
  <c r="K6" i="18" s="1"/>
  <c r="H57" i="6"/>
  <c r="L12" i="5" s="1"/>
  <c r="L6" i="18" s="1"/>
  <c r="H58" i="6"/>
  <c r="M12" i="5" s="1"/>
  <c r="M6" i="18" s="1"/>
  <c r="H47" i="6"/>
  <c r="B12" i="5" s="1"/>
  <c r="B6" i="18" s="1"/>
  <c r="I39" i="18"/>
  <c r="N37" i="18"/>
  <c r="N35" i="18"/>
  <c r="E34" i="18"/>
  <c r="D34" i="18"/>
  <c r="C34" i="18"/>
  <c r="A29" i="18"/>
  <c r="A28" i="18"/>
  <c r="D23" i="18"/>
  <c r="A4" i="18"/>
  <c r="A3" i="18"/>
  <c r="M1" i="18"/>
  <c r="L1" i="18"/>
  <c r="L34" i="18" s="1"/>
  <c r="K1" i="18"/>
  <c r="K34" i="18" s="1"/>
  <c r="J1" i="18"/>
  <c r="J34" i="18" s="1"/>
  <c r="I1" i="18"/>
  <c r="I34" i="18" s="1"/>
  <c r="H1" i="18"/>
  <c r="H34" i="18" s="1"/>
  <c r="G1" i="18"/>
  <c r="G41" i="18" s="1"/>
  <c r="F1" i="18"/>
  <c r="E1" i="18"/>
  <c r="D1" i="18"/>
  <c r="C1" i="18"/>
  <c r="B1" i="18"/>
  <c r="B34" i="18" s="1"/>
  <c r="N31" i="18"/>
  <c r="N26" i="18"/>
  <c r="N25" i="18"/>
  <c r="N12" i="18"/>
  <c r="N5" i="18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I16" i="18" l="1"/>
  <c r="I17" i="18"/>
  <c r="J16" i="18"/>
  <c r="J17" i="18"/>
  <c r="K17" i="18"/>
  <c r="F19" i="18"/>
  <c r="I20" i="18"/>
  <c r="K20" i="18"/>
  <c r="E24" i="5"/>
  <c r="N23" i="18"/>
  <c r="N28" i="18"/>
  <c r="N29" i="18" s="1"/>
  <c r="L16" i="18"/>
  <c r="L18" i="18"/>
  <c r="L19" i="18"/>
  <c r="L20" i="18"/>
  <c r="L17" i="18"/>
  <c r="C16" i="18"/>
  <c r="C19" i="18"/>
  <c r="C20" i="18"/>
  <c r="C18" i="18"/>
  <c r="F18" i="18"/>
  <c r="G19" i="18"/>
  <c r="I19" i="18"/>
  <c r="E18" i="18"/>
  <c r="J19" i="18"/>
  <c r="K19" i="18"/>
  <c r="G18" i="18"/>
  <c r="I18" i="18"/>
  <c r="E17" i="18"/>
  <c r="J18" i="18"/>
  <c r="E20" i="18"/>
  <c r="F17" i="18"/>
  <c r="K18" i="18"/>
  <c r="F20" i="18"/>
  <c r="G17" i="18"/>
  <c r="G20" i="18"/>
  <c r="E19" i="18"/>
  <c r="J20" i="18"/>
  <c r="N3" i="18"/>
  <c r="B24" i="5"/>
  <c r="G34" i="18"/>
  <c r="I15" i="18"/>
  <c r="F16" i="18"/>
  <c r="B15" i="18"/>
  <c r="B16" i="18"/>
  <c r="B17" i="18"/>
  <c r="M34" i="18"/>
  <c r="C15" i="18"/>
  <c r="D17" i="18"/>
  <c r="D18" i="18"/>
  <c r="D19" i="18"/>
  <c r="D20" i="18"/>
  <c r="D16" i="18"/>
  <c r="E16" i="18"/>
  <c r="F39" i="18"/>
  <c r="G15" i="18"/>
  <c r="H17" i="18"/>
  <c r="H18" i="18"/>
  <c r="H19" i="18"/>
  <c r="H20" i="18"/>
  <c r="F34" i="18"/>
  <c r="G39" i="18"/>
  <c r="H15" i="18"/>
  <c r="H39" i="18"/>
  <c r="J15" i="18"/>
  <c r="J39" i="18"/>
  <c r="K15" i="18"/>
  <c r="F40" i="18"/>
  <c r="L15" i="18"/>
  <c r="M17" i="18"/>
  <c r="M18" i="18"/>
  <c r="M19" i="18"/>
  <c r="M20" i="18"/>
  <c r="F41" i="18"/>
  <c r="M15" i="18"/>
  <c r="B18" i="18"/>
  <c r="B19" i="18"/>
  <c r="N4" i="18"/>
  <c r="N6" i="18" s="1"/>
  <c r="N36" i="18" l="1"/>
  <c r="N15" i="18"/>
  <c r="N18" i="18"/>
  <c r="N17" i="18"/>
  <c r="N19" i="18"/>
  <c r="N20" i="18"/>
  <c r="N16" i="18"/>
  <c r="D3" i="9" l="1" a="1"/>
  <c r="D3" i="9" s="1"/>
  <c r="D4" i="9" a="1"/>
  <c r="D4" i="9"/>
  <c r="D5" i="9" a="1"/>
  <c r="D5" i="9" s="1"/>
  <c r="D6" i="9" a="1"/>
  <c r="D6" i="9" s="1"/>
  <c r="D7" i="9" a="1"/>
  <c r="D7" i="9" s="1"/>
  <c r="D8" i="9" a="1"/>
  <c r="D8" i="9"/>
  <c r="D9" i="9" a="1"/>
  <c r="D9" i="9" s="1"/>
  <c r="D10" i="9" a="1"/>
  <c r="D10" i="9"/>
  <c r="D11" i="9" a="1"/>
  <c r="D11" i="9" s="1"/>
  <c r="D12" i="9" a="1"/>
  <c r="D12" i="9"/>
  <c r="D13" i="9" a="1"/>
  <c r="D13" i="9" s="1"/>
  <c r="D14" i="9" a="1"/>
  <c r="D14" i="9" s="1"/>
  <c r="D15" i="9" a="1"/>
  <c r="D15" i="9" s="1"/>
  <c r="D16" i="9" a="1"/>
  <c r="D16" i="9"/>
  <c r="D17" i="9" a="1"/>
  <c r="D17" i="9" s="1"/>
  <c r="D18" i="9" a="1"/>
  <c r="D18" i="9"/>
  <c r="D19" i="9" a="1"/>
  <c r="D19" i="9" s="1"/>
  <c r="D20" i="9" a="1"/>
  <c r="D20" i="9"/>
  <c r="D21" i="9" a="1"/>
  <c r="D21" i="9" s="1"/>
  <c r="D22" i="9" a="1"/>
  <c r="D22" i="9" s="1"/>
  <c r="D23" i="9" a="1"/>
  <c r="D23" i="9" s="1"/>
  <c r="D24" i="9" a="1"/>
  <c r="D24" i="9"/>
  <c r="D25" i="9" a="1"/>
  <c r="D25" i="9" s="1"/>
  <c r="D26" i="9" a="1"/>
  <c r="D26" i="9"/>
  <c r="D27" i="9" a="1"/>
  <c r="D27" i="9" s="1"/>
  <c r="D28" i="9" a="1"/>
  <c r="D28" i="9"/>
  <c r="D29" i="9" a="1"/>
  <c r="D29" i="9" s="1"/>
  <c r="D30" i="9" a="1"/>
  <c r="D30" i="9" s="1"/>
  <c r="D31" i="9" a="1"/>
  <c r="D31" i="9" s="1"/>
  <c r="D32" i="9" a="1"/>
  <c r="D32" i="9"/>
  <c r="D33" i="9" a="1"/>
  <c r="D33" i="9" s="1"/>
  <c r="D34" i="9" a="1"/>
  <c r="D34" i="9"/>
  <c r="D35" i="9" a="1"/>
  <c r="D35" i="9" s="1"/>
  <c r="D36" i="9" a="1"/>
  <c r="D36" i="9"/>
  <c r="D37" i="9" a="1"/>
  <c r="D37" i="9" s="1"/>
  <c r="D38" i="9" a="1"/>
  <c r="D38" i="9" s="1"/>
  <c r="D39" i="9" a="1"/>
  <c r="D39" i="9" s="1"/>
  <c r="D40" i="9" a="1"/>
  <c r="D40" i="9"/>
  <c r="D41" i="9" a="1"/>
  <c r="D41" i="9" s="1"/>
  <c r="D42" i="9" a="1"/>
  <c r="D42" i="9"/>
  <c r="D43" i="9" a="1"/>
  <c r="D43" i="9" s="1"/>
  <c r="D44" i="9" a="1"/>
  <c r="D44" i="9"/>
  <c r="D45" i="9" a="1"/>
  <c r="D45" i="9" s="1"/>
  <c r="D46" i="9" a="1"/>
  <c r="D46" i="9" s="1"/>
  <c r="D47" i="9" a="1"/>
  <c r="D47" i="9" s="1"/>
  <c r="D48" i="9" a="1"/>
  <c r="D48" i="9"/>
  <c r="D49" i="9" a="1"/>
  <c r="D49" i="9" s="1"/>
  <c r="D50" i="9" a="1"/>
  <c r="D50" i="9"/>
  <c r="D51" i="9" a="1"/>
  <c r="D51" i="9" s="1"/>
  <c r="D52" i="9" a="1"/>
  <c r="D52" i="9"/>
  <c r="D53" i="9" a="1"/>
  <c r="D53" i="9" s="1"/>
  <c r="D54" i="9" a="1"/>
  <c r="D54" i="9" s="1"/>
  <c r="D55" i="9" a="1"/>
  <c r="D55" i="9" s="1"/>
  <c r="D56" i="9" a="1"/>
  <c r="D56" i="9"/>
  <c r="D57" i="9" a="1"/>
  <c r="D57" i="9" s="1"/>
  <c r="D58" i="9" a="1"/>
  <c r="D58" i="9"/>
  <c r="D59" i="9" a="1"/>
  <c r="D59" i="9" s="1"/>
  <c r="D60" i="9" a="1"/>
  <c r="D60" i="9"/>
  <c r="D61" i="9" a="1"/>
  <c r="D61" i="9" s="1"/>
  <c r="D62" i="9" a="1"/>
  <c r="D62" i="9" s="1"/>
  <c r="D63" i="9" a="1"/>
  <c r="D63" i="9" s="1"/>
  <c r="D64" i="9" a="1"/>
  <c r="D64" i="9"/>
  <c r="D65" i="9" a="1"/>
  <c r="D65" i="9" s="1"/>
  <c r="D66" i="9" a="1"/>
  <c r="D66" i="9"/>
  <c r="D67" i="9" a="1"/>
  <c r="D67" i="9" s="1"/>
  <c r="D68" i="9" a="1"/>
  <c r="D68" i="9"/>
  <c r="D69" i="9" a="1"/>
  <c r="D69" i="9" s="1"/>
  <c r="D70" i="9" a="1"/>
  <c r="D70" i="9" s="1"/>
  <c r="D71" i="9" a="1"/>
  <c r="D71" i="9" s="1"/>
  <c r="D72" i="9" a="1"/>
  <c r="D72" i="9"/>
  <c r="D73" i="9" a="1"/>
  <c r="D73" i="9" s="1"/>
  <c r="D74" i="9" a="1"/>
  <c r="D74" i="9"/>
  <c r="D75" i="9" a="1"/>
  <c r="D75" i="9" s="1"/>
  <c r="D76" i="9" a="1"/>
  <c r="D76" i="9"/>
  <c r="D77" i="9" a="1"/>
  <c r="D77" i="9" s="1"/>
  <c r="D2" i="9" a="1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2" i="17"/>
  <c r="Q5" i="17"/>
  <c r="R5" i="17" s="1"/>
  <c r="Q2" i="17"/>
  <c r="R2" i="17" s="1"/>
  <c r="E4" i="17"/>
  <c r="Q4" i="17" s="1"/>
  <c r="R4" i="17" s="1"/>
  <c r="E3" i="17"/>
  <c r="E5" i="17"/>
  <c r="E2" i="17"/>
  <c r="B1" i="15"/>
  <c r="D2" i="9" l="1"/>
  <c r="B19" i="5" a="1"/>
  <c r="B19" i="5" s="1"/>
  <c r="C18" i="5" a="1"/>
  <c r="C18" i="5" s="1"/>
  <c r="C22" i="18" s="1"/>
  <c r="B18" i="5" a="1"/>
  <c r="B18" i="5" s="1"/>
  <c r="B22" i="18" s="1"/>
  <c r="M18" i="5" a="1"/>
  <c r="M18" i="5" s="1"/>
  <c r="M22" i="18" s="1"/>
  <c r="L18" i="5" a="1"/>
  <c r="L18" i="5" s="1"/>
  <c r="L22" i="18" s="1"/>
  <c r="K18" i="5" a="1"/>
  <c r="K18" i="5" s="1"/>
  <c r="K22" i="18" s="1"/>
  <c r="H18" i="5" a="1"/>
  <c r="H18" i="5" s="1"/>
  <c r="H22" i="18" s="1"/>
  <c r="F18" i="5" a="1"/>
  <c r="F18" i="5" s="1"/>
  <c r="F22" i="18" s="1"/>
  <c r="D18" i="5" a="1"/>
  <c r="D18" i="5" s="1"/>
  <c r="D22" i="18" s="1"/>
  <c r="J18" i="5" a="1"/>
  <c r="J18" i="5" s="1"/>
  <c r="J22" i="18" s="1"/>
  <c r="G18" i="5" a="1"/>
  <c r="G18" i="5" s="1"/>
  <c r="G22" i="18" s="1"/>
  <c r="I18" i="5" a="1"/>
  <c r="I18" i="5" s="1"/>
  <c r="I22" i="18" s="1"/>
  <c r="E18" i="5" a="1"/>
  <c r="E18" i="5" s="1"/>
  <c r="E22" i="18" s="1"/>
  <c r="J3" i="10"/>
  <c r="K3" i="10" s="1"/>
  <c r="L3" i="10" s="1"/>
  <c r="N3" i="10" s="1"/>
  <c r="P3" i="10" s="1"/>
  <c r="J4" i="10"/>
  <c r="K4" i="10" s="1"/>
  <c r="L4" i="10" s="1"/>
  <c r="N4" i="10" s="1"/>
  <c r="P4" i="10" s="1"/>
  <c r="J5" i="10"/>
  <c r="K5" i="10" s="1"/>
  <c r="L5" i="10" s="1"/>
  <c r="N5" i="10" s="1"/>
  <c r="P5" i="10" s="1"/>
  <c r="J6" i="10"/>
  <c r="K6" i="10" s="1"/>
  <c r="L6" i="10" s="1"/>
  <c r="N6" i="10" s="1"/>
  <c r="P6" i="10" s="1"/>
  <c r="J7" i="10"/>
  <c r="K7" i="10" s="1"/>
  <c r="L7" i="10" s="1"/>
  <c r="N7" i="10" s="1"/>
  <c r="P7" i="10" s="1"/>
  <c r="J8" i="10"/>
  <c r="K8" i="10" s="1"/>
  <c r="L8" i="10" s="1"/>
  <c r="N8" i="10" s="1"/>
  <c r="P8" i="10" s="1"/>
  <c r="J9" i="10"/>
  <c r="K9" i="10" s="1"/>
  <c r="L9" i="10" s="1"/>
  <c r="N9" i="10" s="1"/>
  <c r="P9" i="10" s="1"/>
  <c r="J10" i="10"/>
  <c r="K10" i="10" s="1"/>
  <c r="L10" i="10" s="1"/>
  <c r="N10" i="10" s="1"/>
  <c r="P10" i="10" s="1"/>
  <c r="J11" i="10"/>
  <c r="K11" i="10" s="1"/>
  <c r="L11" i="10" s="1"/>
  <c r="N11" i="10" s="1"/>
  <c r="P11" i="10" s="1"/>
  <c r="J12" i="10"/>
  <c r="K12" i="10" s="1"/>
  <c r="L12" i="10" s="1"/>
  <c r="N12" i="10" s="1"/>
  <c r="P12" i="10" s="1"/>
  <c r="J13" i="10"/>
  <c r="K13" i="10" s="1"/>
  <c r="L13" i="10" s="1"/>
  <c r="N13" i="10" s="1"/>
  <c r="P13" i="10" s="1"/>
  <c r="J14" i="10"/>
  <c r="K14" i="10" s="1"/>
  <c r="L14" i="10" s="1"/>
  <c r="N14" i="10" s="1"/>
  <c r="P14" i="10" s="1"/>
  <c r="J15" i="10"/>
  <c r="K15" i="10" s="1"/>
  <c r="L15" i="10" s="1"/>
  <c r="N15" i="10" s="1"/>
  <c r="P15" i="10" s="1"/>
  <c r="J16" i="10"/>
  <c r="K16" i="10" s="1"/>
  <c r="L16" i="10" s="1"/>
  <c r="N16" i="10" s="1"/>
  <c r="P16" i="10" s="1"/>
  <c r="J17" i="10"/>
  <c r="K17" i="10" s="1"/>
  <c r="L17" i="10" s="1"/>
  <c r="N17" i="10" s="1"/>
  <c r="P17" i="10" s="1"/>
  <c r="J18" i="10"/>
  <c r="K18" i="10" s="1"/>
  <c r="L18" i="10" s="1"/>
  <c r="N18" i="10" s="1"/>
  <c r="P18" i="10" s="1"/>
  <c r="J19" i="10"/>
  <c r="K19" i="10" s="1"/>
  <c r="L19" i="10" s="1"/>
  <c r="N19" i="10" s="1"/>
  <c r="P19" i="10" s="1"/>
  <c r="J20" i="10"/>
  <c r="K20" i="10" s="1"/>
  <c r="L20" i="10" s="1"/>
  <c r="N20" i="10" s="1"/>
  <c r="P20" i="10" s="1"/>
  <c r="J21" i="10"/>
  <c r="K21" i="10" s="1"/>
  <c r="L21" i="10" s="1"/>
  <c r="N21" i="10" s="1"/>
  <c r="P21" i="10" s="1"/>
  <c r="J22" i="10"/>
  <c r="K22" i="10" s="1"/>
  <c r="L22" i="10" s="1"/>
  <c r="N22" i="10" s="1"/>
  <c r="P22" i="10" s="1"/>
  <c r="J23" i="10"/>
  <c r="K23" i="10" s="1"/>
  <c r="L23" i="10" s="1"/>
  <c r="N23" i="10" s="1"/>
  <c r="P23" i="10" s="1"/>
  <c r="J24" i="10"/>
  <c r="K24" i="10" s="1"/>
  <c r="L24" i="10" s="1"/>
  <c r="N24" i="10" s="1"/>
  <c r="P24" i="10" s="1"/>
  <c r="J25" i="10"/>
  <c r="K25" i="10" s="1"/>
  <c r="L25" i="10" s="1"/>
  <c r="N25" i="10" s="1"/>
  <c r="P25" i="10" s="1"/>
  <c r="J26" i="10"/>
  <c r="K26" i="10" s="1"/>
  <c r="L26" i="10" s="1"/>
  <c r="N26" i="10" s="1"/>
  <c r="P26" i="10" s="1"/>
  <c r="J27" i="10"/>
  <c r="K27" i="10" s="1"/>
  <c r="L27" i="10" s="1"/>
  <c r="N27" i="10" s="1"/>
  <c r="P27" i="10" s="1"/>
  <c r="J28" i="10"/>
  <c r="K28" i="10" s="1"/>
  <c r="L28" i="10" s="1"/>
  <c r="N28" i="10" s="1"/>
  <c r="P28" i="10" s="1"/>
  <c r="J29" i="10"/>
  <c r="K29" i="10" s="1"/>
  <c r="L29" i="10" s="1"/>
  <c r="N29" i="10" s="1"/>
  <c r="P29" i="10" s="1"/>
  <c r="J30" i="10"/>
  <c r="K30" i="10" s="1"/>
  <c r="L30" i="10" s="1"/>
  <c r="N30" i="10" s="1"/>
  <c r="P30" i="10" s="1"/>
  <c r="J31" i="10"/>
  <c r="K31" i="10" s="1"/>
  <c r="L31" i="10" s="1"/>
  <c r="N31" i="10" s="1"/>
  <c r="P31" i="10" s="1"/>
  <c r="J32" i="10"/>
  <c r="K32" i="10" s="1"/>
  <c r="L32" i="10" s="1"/>
  <c r="N32" i="10" s="1"/>
  <c r="P32" i="10" s="1"/>
  <c r="J33" i="10"/>
  <c r="K33" i="10" s="1"/>
  <c r="L33" i="10" s="1"/>
  <c r="N33" i="10" s="1"/>
  <c r="P33" i="10" s="1"/>
  <c r="J34" i="10"/>
  <c r="K34" i="10" s="1"/>
  <c r="L34" i="10" s="1"/>
  <c r="N34" i="10" s="1"/>
  <c r="P34" i="10" s="1"/>
  <c r="J35" i="10"/>
  <c r="K35" i="10" s="1"/>
  <c r="L35" i="10" s="1"/>
  <c r="N35" i="10" s="1"/>
  <c r="P35" i="10" s="1"/>
  <c r="J36" i="10"/>
  <c r="K36" i="10" s="1"/>
  <c r="L36" i="10" s="1"/>
  <c r="N36" i="10" s="1"/>
  <c r="P36" i="10" s="1"/>
  <c r="J37" i="10"/>
  <c r="K37" i="10" s="1"/>
  <c r="L37" i="10" s="1"/>
  <c r="N37" i="10" s="1"/>
  <c r="P37" i="10" s="1"/>
  <c r="J38" i="10"/>
  <c r="K38" i="10" s="1"/>
  <c r="L38" i="10" s="1"/>
  <c r="N38" i="10" s="1"/>
  <c r="P38" i="10" s="1"/>
  <c r="J39" i="10"/>
  <c r="K39" i="10" s="1"/>
  <c r="L39" i="10" s="1"/>
  <c r="N39" i="10" s="1"/>
  <c r="P39" i="10" s="1"/>
  <c r="J40" i="10"/>
  <c r="K40" i="10" s="1"/>
  <c r="L40" i="10" s="1"/>
  <c r="N40" i="10" s="1"/>
  <c r="P40" i="10" s="1"/>
  <c r="J41" i="10"/>
  <c r="K41" i="10" s="1"/>
  <c r="L41" i="10" s="1"/>
  <c r="N41" i="10" s="1"/>
  <c r="P41" i="10" s="1"/>
  <c r="J42" i="10"/>
  <c r="K42" i="10" s="1"/>
  <c r="L42" i="10" s="1"/>
  <c r="N42" i="10" s="1"/>
  <c r="P42" i="10" s="1"/>
  <c r="J43" i="10"/>
  <c r="K43" i="10" s="1"/>
  <c r="L43" i="10" s="1"/>
  <c r="N43" i="10" s="1"/>
  <c r="P43" i="10" s="1"/>
  <c r="J44" i="10"/>
  <c r="K44" i="10" s="1"/>
  <c r="L44" i="10" s="1"/>
  <c r="N44" i="10" s="1"/>
  <c r="P44" i="10" s="1"/>
  <c r="J45" i="10"/>
  <c r="K45" i="10" s="1"/>
  <c r="L45" i="10" s="1"/>
  <c r="N45" i="10" s="1"/>
  <c r="P45" i="10" s="1"/>
  <c r="J46" i="10"/>
  <c r="K46" i="10" s="1"/>
  <c r="L46" i="10" s="1"/>
  <c r="N46" i="10" s="1"/>
  <c r="P46" i="10" s="1"/>
  <c r="J47" i="10"/>
  <c r="K47" i="10" s="1"/>
  <c r="L47" i="10" s="1"/>
  <c r="N47" i="10" s="1"/>
  <c r="P47" i="10" s="1"/>
  <c r="J48" i="10"/>
  <c r="K48" i="10" s="1"/>
  <c r="L48" i="10" s="1"/>
  <c r="N48" i="10" s="1"/>
  <c r="P48" i="10" s="1"/>
  <c r="J49" i="10"/>
  <c r="K49" i="10" s="1"/>
  <c r="L49" i="10" s="1"/>
  <c r="N49" i="10" s="1"/>
  <c r="P49" i="10" s="1"/>
  <c r="J50" i="10"/>
  <c r="K50" i="10" s="1"/>
  <c r="L50" i="10" s="1"/>
  <c r="N50" i="10" s="1"/>
  <c r="P50" i="10" s="1"/>
  <c r="J51" i="10"/>
  <c r="K51" i="10" s="1"/>
  <c r="L51" i="10" s="1"/>
  <c r="N51" i="10" s="1"/>
  <c r="P51" i="10" s="1"/>
  <c r="J52" i="10"/>
  <c r="K52" i="10" s="1"/>
  <c r="L52" i="10" s="1"/>
  <c r="N52" i="10" s="1"/>
  <c r="P52" i="10" s="1"/>
  <c r="J53" i="10"/>
  <c r="K53" i="10" s="1"/>
  <c r="L53" i="10" s="1"/>
  <c r="N53" i="10" s="1"/>
  <c r="P53" i="10" s="1"/>
  <c r="J54" i="10"/>
  <c r="K54" i="10" s="1"/>
  <c r="L54" i="10" s="1"/>
  <c r="N54" i="10" s="1"/>
  <c r="P54" i="10" s="1"/>
  <c r="J2" i="10"/>
  <c r="K2" i="10" s="1"/>
  <c r="O2" i="10"/>
  <c r="N22" i="18" l="1"/>
  <c r="Q3" i="17"/>
  <c r="R3" i="17" s="1"/>
  <c r="L2" i="10"/>
  <c r="N2" i="10" l="1"/>
  <c r="P2" i="10" s="1"/>
  <c r="K10" i="18" l="1" a="1"/>
  <c r="K10" i="18" s="1"/>
  <c r="C10" i="18" a="1"/>
  <c r="C10" i="18" s="1"/>
  <c r="E10" i="18" a="1"/>
  <c r="E10" i="18" s="1"/>
  <c r="J10" i="18" a="1"/>
  <c r="J10" i="18" s="1"/>
  <c r="I10" i="18" a="1"/>
  <c r="I10" i="18" s="1"/>
  <c r="B10" i="18" a="1"/>
  <c r="B10" i="18" s="1"/>
  <c r="D10" i="18" a="1"/>
  <c r="D10" i="18" s="1"/>
  <c r="F10" i="18" a="1"/>
  <c r="F10" i="18" s="1"/>
  <c r="L10" i="18" a="1"/>
  <c r="L10" i="18" s="1"/>
  <c r="H10" i="18" a="1"/>
  <c r="H10" i="18" s="1"/>
  <c r="M10" i="18" a="1"/>
  <c r="M10" i="18" s="1"/>
  <c r="G10" i="18" a="1"/>
  <c r="G10" i="18" s="1"/>
  <c r="B14" i="5" a="1"/>
  <c r="B14" i="5" s="1"/>
  <c r="B9" i="18" s="1"/>
  <c r="C14" i="5" a="1"/>
  <c r="C14" i="5" s="1"/>
  <c r="C9" i="18" s="1"/>
  <c r="I14" i="5" a="1"/>
  <c r="I14" i="5" s="1"/>
  <c r="I9" i="18" s="1"/>
  <c r="M14" i="5" a="1"/>
  <c r="M14" i="5" s="1"/>
  <c r="M9" i="18" s="1"/>
  <c r="H14" i="5" a="1"/>
  <c r="H14" i="5" s="1"/>
  <c r="H9" i="18" s="1"/>
  <c r="D14" i="5" a="1"/>
  <c r="D14" i="5" s="1"/>
  <c r="D9" i="18" s="1"/>
  <c r="J14" i="5" a="1"/>
  <c r="J14" i="5" s="1"/>
  <c r="J9" i="18" s="1"/>
  <c r="L14" i="5" a="1"/>
  <c r="L14" i="5" s="1"/>
  <c r="L9" i="18" s="1"/>
  <c r="K14" i="5" a="1"/>
  <c r="K14" i="5" s="1"/>
  <c r="K9" i="18" s="1"/>
  <c r="F14" i="5" a="1"/>
  <c r="F14" i="5" s="1"/>
  <c r="F9" i="18" s="1"/>
  <c r="G14" i="5" a="1"/>
  <c r="G14" i="5" s="1"/>
  <c r="G9" i="18" s="1"/>
  <c r="E14" i="5" a="1"/>
  <c r="E14" i="5" s="1"/>
  <c r="E9" i="18" s="1"/>
  <c r="B13" i="5" a="1"/>
  <c r="B13" i="5" s="1"/>
  <c r="B8" i="18" s="1"/>
  <c r="C13" i="5" a="1"/>
  <c r="C13" i="5" s="1"/>
  <c r="C8" i="18" s="1"/>
  <c r="I13" i="5" a="1"/>
  <c r="I13" i="5" s="1"/>
  <c r="I8" i="18" s="1"/>
  <c r="J13" i="5" a="1"/>
  <c r="J13" i="5" s="1"/>
  <c r="J8" i="18" s="1"/>
  <c r="M13" i="5" a="1"/>
  <c r="M13" i="5" s="1"/>
  <c r="M8" i="18" s="1"/>
  <c r="D13" i="5" a="1"/>
  <c r="D13" i="5" s="1"/>
  <c r="D8" i="18" s="1"/>
  <c r="L13" i="5" a="1"/>
  <c r="L13" i="5" s="1"/>
  <c r="L8" i="18" s="1"/>
  <c r="H13" i="5" a="1"/>
  <c r="H13" i="5" s="1"/>
  <c r="H8" i="18" s="1"/>
  <c r="E13" i="5" a="1"/>
  <c r="E13" i="5" s="1"/>
  <c r="E8" i="18" s="1"/>
  <c r="K13" i="5" a="1"/>
  <c r="K13" i="5" s="1"/>
  <c r="K8" i="18" s="1"/>
  <c r="F13" i="5" a="1"/>
  <c r="F13" i="5" s="1"/>
  <c r="F8" i="18" s="1"/>
  <c r="G13" i="5" a="1"/>
  <c r="G13" i="5" s="1"/>
  <c r="G8" i="18" s="1"/>
  <c r="N10" i="18" l="1"/>
  <c r="N8" i="18"/>
  <c r="N9" i="18"/>
  <c r="C10" i="5" l="1"/>
  <c r="D10" i="5"/>
  <c r="E10" i="5"/>
  <c r="F10" i="5"/>
  <c r="G10" i="5"/>
  <c r="H10" i="5"/>
  <c r="I10" i="5"/>
  <c r="J10" i="5"/>
  <c r="K10" i="5"/>
  <c r="L10" i="5"/>
  <c r="M10" i="5"/>
  <c r="H11" i="5" l="1"/>
  <c r="H14" i="18" s="1"/>
  <c r="H13" i="18"/>
  <c r="J11" i="5"/>
  <c r="J14" i="18" s="1"/>
  <c r="J13" i="18"/>
  <c r="D11" i="5"/>
  <c r="D14" i="18" s="1"/>
  <c r="D13" i="18"/>
  <c r="M11" i="5"/>
  <c r="M14" i="18" s="1"/>
  <c r="M13" i="18"/>
  <c r="K11" i="5"/>
  <c r="K14" i="18" s="1"/>
  <c r="K13" i="18"/>
  <c r="G11" i="5"/>
  <c r="G14" i="18" s="1"/>
  <c r="G13" i="18"/>
  <c r="F11" i="5"/>
  <c r="F14" i="18" s="1"/>
  <c r="F13" i="18"/>
  <c r="C11" i="5"/>
  <c r="C14" i="18" s="1"/>
  <c r="C13" i="18"/>
  <c r="L11" i="5"/>
  <c r="L14" i="18" s="1"/>
  <c r="L13" i="18"/>
  <c r="I11" i="5"/>
  <c r="I14" i="18" s="1"/>
  <c r="I13" i="18"/>
  <c r="E11" i="5"/>
  <c r="E14" i="18" s="1"/>
  <c r="E13" i="18"/>
  <c r="G3" i="11"/>
  <c r="H3" i="11"/>
  <c r="G4" i="11"/>
  <c r="H4" i="11"/>
  <c r="G5" i="11"/>
  <c r="H5" i="11"/>
  <c r="G6" i="11"/>
  <c r="H6" i="11"/>
  <c r="G7" i="11"/>
  <c r="H7" i="11"/>
  <c r="G8" i="11"/>
  <c r="H8" i="11"/>
  <c r="G9" i="11"/>
  <c r="H9" i="11"/>
  <c r="G10" i="11"/>
  <c r="H10" i="11"/>
  <c r="G11" i="11"/>
  <c r="H11" i="11"/>
  <c r="G12" i="11"/>
  <c r="H12" i="11"/>
  <c r="G13" i="11"/>
  <c r="H13" i="11"/>
  <c r="G14" i="11"/>
  <c r="H14" i="11"/>
  <c r="G15" i="11"/>
  <c r="H15" i="11"/>
  <c r="G16" i="11"/>
  <c r="H16" i="11"/>
  <c r="G17" i="11"/>
  <c r="H17" i="11"/>
  <c r="G18" i="11"/>
  <c r="H18" i="11"/>
  <c r="G19" i="11"/>
  <c r="H19" i="11"/>
  <c r="G20" i="11"/>
  <c r="H20" i="11"/>
  <c r="H21" i="11"/>
  <c r="G22" i="11"/>
  <c r="H22" i="11"/>
  <c r="G23" i="11"/>
  <c r="H23" i="11"/>
  <c r="G24" i="11"/>
  <c r="H24" i="11"/>
  <c r="G25" i="11"/>
  <c r="H25" i="11"/>
  <c r="G26" i="11"/>
  <c r="H26" i="11"/>
  <c r="G27" i="11"/>
  <c r="H27" i="11"/>
  <c r="G28" i="11"/>
  <c r="H28" i="11"/>
  <c r="G29" i="11"/>
  <c r="H29" i="11"/>
  <c r="G30" i="11"/>
  <c r="H30" i="11"/>
  <c r="G31" i="11"/>
  <c r="H31" i="11"/>
  <c r="G32" i="11"/>
  <c r="H32" i="11"/>
  <c r="G33" i="11"/>
  <c r="H33" i="11"/>
  <c r="G34" i="11"/>
  <c r="H34" i="11"/>
  <c r="G35" i="11"/>
  <c r="H35" i="11"/>
  <c r="G36" i="11"/>
  <c r="H36" i="11"/>
  <c r="G37" i="11"/>
  <c r="H37" i="11"/>
  <c r="G38" i="11"/>
  <c r="H38" i="11"/>
  <c r="G39" i="11"/>
  <c r="H39" i="11"/>
  <c r="G40" i="11"/>
  <c r="H40" i="11"/>
  <c r="G41" i="11"/>
  <c r="H41" i="11"/>
  <c r="G42" i="11"/>
  <c r="H42" i="11"/>
  <c r="G43" i="11"/>
  <c r="H43" i="11"/>
  <c r="G44" i="11"/>
  <c r="H44" i="11"/>
  <c r="G45" i="11"/>
  <c r="H45" i="11"/>
  <c r="G46" i="11"/>
  <c r="H46" i="11"/>
  <c r="G47" i="11"/>
  <c r="H47" i="11"/>
  <c r="G48" i="11"/>
  <c r="H48" i="11"/>
  <c r="G49" i="11"/>
  <c r="H49" i="11"/>
  <c r="G50" i="11"/>
  <c r="H50" i="11"/>
  <c r="G51" i="11"/>
  <c r="H51" i="11"/>
  <c r="G52" i="11"/>
  <c r="H52" i="11"/>
  <c r="G53" i="11"/>
  <c r="H53" i="11"/>
  <c r="G54" i="11"/>
  <c r="H54" i="11"/>
  <c r="H2" i="11"/>
  <c r="G2" i="11"/>
  <c r="B10" i="5" l="1"/>
  <c r="N10" i="5"/>
  <c r="B11" i="5" l="1"/>
  <c r="B14" i="18" s="1"/>
  <c r="N14" i="18" s="1"/>
  <c r="B13" i="18"/>
  <c r="N13" i="18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2" i="9"/>
  <c r="I52" i="8"/>
  <c r="I53" i="8"/>
  <c r="I54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2" i="8"/>
  <c r="D78" i="9" l="1" a="1"/>
  <c r="D78" i="9" s="1"/>
  <c r="D79" i="9" a="1"/>
  <c r="D79" i="9" s="1"/>
  <c r="D80" i="9" a="1"/>
  <c r="D80" i="9" s="1"/>
  <c r="D81" i="9" a="1"/>
  <c r="D81" i="9" s="1"/>
  <c r="D82" i="9" a="1"/>
  <c r="D82" i="9" s="1"/>
  <c r="D83" i="9" a="1"/>
  <c r="D83" i="9" s="1"/>
  <c r="D84" i="9" a="1"/>
  <c r="D84" i="9" s="1"/>
  <c r="D85" i="9" a="1"/>
  <c r="D85" i="9" s="1"/>
  <c r="D86" i="9" a="1"/>
  <c r="D86" i="9" s="1"/>
  <c r="D87" i="9" a="1"/>
  <c r="D87" i="9" s="1"/>
  <c r="D88" i="9" a="1"/>
  <c r="D88" i="9" s="1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T7" i="9"/>
  <c r="U7" i="9"/>
  <c r="T8" i="9"/>
  <c r="U8" i="9"/>
  <c r="T9" i="9"/>
  <c r="U9" i="9"/>
  <c r="T10" i="9"/>
  <c r="U10" i="9"/>
  <c r="T11" i="9"/>
  <c r="U11" i="9"/>
  <c r="T12" i="9"/>
  <c r="U12" i="9"/>
  <c r="T13" i="9"/>
  <c r="U13" i="9"/>
  <c r="T14" i="9"/>
  <c r="U14" i="9"/>
  <c r="T15" i="9"/>
  <c r="U15" i="9"/>
  <c r="T16" i="9"/>
  <c r="U16" i="9"/>
  <c r="T17" i="9"/>
  <c r="U17" i="9"/>
  <c r="T18" i="9"/>
  <c r="U18" i="9"/>
  <c r="T19" i="9"/>
  <c r="U19" i="9"/>
  <c r="T20" i="9"/>
  <c r="U20" i="9"/>
  <c r="T21" i="9"/>
  <c r="U21" i="9"/>
  <c r="T22" i="9"/>
  <c r="U22" i="9"/>
  <c r="T23" i="9"/>
  <c r="U23" i="9"/>
  <c r="T24" i="9"/>
  <c r="U24" i="9"/>
  <c r="T25" i="9"/>
  <c r="U25" i="9"/>
  <c r="T26" i="9"/>
  <c r="U26" i="9"/>
  <c r="T27" i="9"/>
  <c r="U27" i="9"/>
  <c r="T28" i="9"/>
  <c r="U28" i="9"/>
  <c r="T29" i="9"/>
  <c r="U29" i="9"/>
  <c r="T30" i="9"/>
  <c r="U30" i="9"/>
  <c r="T31" i="9"/>
  <c r="U31" i="9"/>
  <c r="T32" i="9"/>
  <c r="U32" i="9"/>
  <c r="T33" i="9"/>
  <c r="U33" i="9"/>
  <c r="T34" i="9"/>
  <c r="U34" i="9"/>
  <c r="T35" i="9"/>
  <c r="U35" i="9"/>
  <c r="T36" i="9"/>
  <c r="U36" i="9"/>
  <c r="T37" i="9"/>
  <c r="U37" i="9"/>
  <c r="T38" i="9"/>
  <c r="U38" i="9"/>
  <c r="T39" i="9"/>
  <c r="U39" i="9"/>
  <c r="T40" i="9"/>
  <c r="U40" i="9"/>
  <c r="T41" i="9"/>
  <c r="U41" i="9"/>
  <c r="T42" i="9"/>
  <c r="U42" i="9"/>
  <c r="T43" i="9"/>
  <c r="U43" i="9"/>
  <c r="T44" i="9"/>
  <c r="U44" i="9"/>
  <c r="T45" i="9"/>
  <c r="U45" i="9"/>
  <c r="T46" i="9"/>
  <c r="U46" i="9"/>
  <c r="T47" i="9"/>
  <c r="U47" i="9"/>
  <c r="T48" i="9"/>
  <c r="U48" i="9"/>
  <c r="T49" i="9"/>
  <c r="U49" i="9"/>
  <c r="T50" i="9"/>
  <c r="U50" i="9"/>
  <c r="T51" i="9"/>
  <c r="U51" i="9"/>
  <c r="T52" i="9"/>
  <c r="U52" i="9"/>
  <c r="T53" i="9"/>
  <c r="U53" i="9"/>
  <c r="T54" i="9"/>
  <c r="U54" i="9"/>
  <c r="T55" i="9"/>
  <c r="U55" i="9"/>
  <c r="T56" i="9"/>
  <c r="U56" i="9"/>
  <c r="T57" i="9"/>
  <c r="U57" i="9"/>
  <c r="T58" i="9"/>
  <c r="U58" i="9"/>
  <c r="T59" i="9"/>
  <c r="U59" i="9"/>
  <c r="T60" i="9"/>
  <c r="U60" i="9"/>
  <c r="T61" i="9"/>
  <c r="U61" i="9"/>
  <c r="T62" i="9"/>
  <c r="U62" i="9"/>
  <c r="T63" i="9"/>
  <c r="U63" i="9"/>
  <c r="T64" i="9"/>
  <c r="U64" i="9"/>
  <c r="T65" i="9"/>
  <c r="U65" i="9"/>
  <c r="T66" i="9"/>
  <c r="U66" i="9"/>
  <c r="T67" i="9"/>
  <c r="U67" i="9"/>
  <c r="T68" i="9"/>
  <c r="U68" i="9"/>
  <c r="T69" i="9"/>
  <c r="U69" i="9"/>
  <c r="T70" i="9"/>
  <c r="U70" i="9"/>
  <c r="T71" i="9"/>
  <c r="U71" i="9"/>
  <c r="T72" i="9"/>
  <c r="U72" i="9"/>
  <c r="T73" i="9"/>
  <c r="U73" i="9"/>
  <c r="T74" i="9"/>
  <c r="U74" i="9"/>
  <c r="T75" i="9"/>
  <c r="U75" i="9"/>
  <c r="T76" i="9"/>
  <c r="U76" i="9"/>
  <c r="T77" i="9"/>
  <c r="U77" i="9"/>
  <c r="T78" i="9"/>
  <c r="U78" i="9"/>
  <c r="T79" i="9"/>
  <c r="U79" i="9"/>
  <c r="T80" i="9"/>
  <c r="U80" i="9"/>
  <c r="T81" i="9"/>
  <c r="U81" i="9"/>
  <c r="T82" i="9"/>
  <c r="U82" i="9"/>
  <c r="T83" i="9"/>
  <c r="U83" i="9"/>
  <c r="T84" i="9"/>
  <c r="U84" i="9"/>
  <c r="T85" i="9"/>
  <c r="U85" i="9"/>
  <c r="T86" i="9"/>
  <c r="U86" i="9"/>
  <c r="T87" i="9"/>
  <c r="U87" i="9"/>
  <c r="T88" i="9"/>
  <c r="U88" i="9"/>
  <c r="T89" i="9"/>
  <c r="U89" i="9"/>
  <c r="T90" i="9"/>
  <c r="U90" i="9"/>
  <c r="T91" i="9"/>
  <c r="U91" i="9"/>
  <c r="T92" i="9"/>
  <c r="U92" i="9"/>
  <c r="T93" i="9"/>
  <c r="U93" i="9"/>
  <c r="T94" i="9"/>
  <c r="U94" i="9"/>
  <c r="T95" i="9"/>
  <c r="U95" i="9"/>
  <c r="T96" i="9"/>
  <c r="U96" i="9"/>
  <c r="T97" i="9"/>
  <c r="U97" i="9"/>
  <c r="T98" i="9"/>
  <c r="U98" i="9"/>
  <c r="T99" i="9"/>
  <c r="U99" i="9"/>
  <c r="T100" i="9"/>
  <c r="U100" i="9"/>
  <c r="T101" i="9"/>
  <c r="U101" i="9"/>
  <c r="T102" i="9"/>
  <c r="U102" i="9"/>
  <c r="T103" i="9"/>
  <c r="U103" i="9"/>
  <c r="T104" i="9"/>
  <c r="U104" i="9"/>
  <c r="T105" i="9"/>
  <c r="U105" i="9"/>
  <c r="T106" i="9"/>
  <c r="U106" i="9"/>
  <c r="T107" i="9"/>
  <c r="U107" i="9"/>
  <c r="T108" i="9"/>
  <c r="U108" i="9"/>
  <c r="T109" i="9"/>
  <c r="U109" i="9"/>
  <c r="T110" i="9"/>
  <c r="U110" i="9"/>
  <c r="T111" i="9"/>
  <c r="U111" i="9"/>
  <c r="T112" i="9"/>
  <c r="U112" i="9"/>
  <c r="T113" i="9"/>
  <c r="U113" i="9"/>
  <c r="T114" i="9"/>
  <c r="U114" i="9"/>
  <c r="T115" i="9"/>
  <c r="U115" i="9"/>
  <c r="T116" i="9"/>
  <c r="U116" i="9"/>
  <c r="T117" i="9"/>
  <c r="U117" i="9"/>
  <c r="T118" i="9"/>
  <c r="U118" i="9"/>
  <c r="T119" i="9"/>
  <c r="U119" i="9"/>
  <c r="T120" i="9"/>
  <c r="U120" i="9"/>
  <c r="T121" i="9"/>
  <c r="U121" i="9"/>
  <c r="T122" i="9"/>
  <c r="U122" i="9"/>
  <c r="T123" i="9"/>
  <c r="U123" i="9"/>
  <c r="T124" i="9"/>
  <c r="U124" i="9"/>
  <c r="T125" i="9"/>
  <c r="U125" i="9"/>
  <c r="T126" i="9"/>
  <c r="U126" i="9"/>
  <c r="T127" i="9"/>
  <c r="U127" i="9"/>
  <c r="T128" i="9"/>
  <c r="U128" i="9"/>
  <c r="T129" i="9"/>
  <c r="U129" i="9"/>
  <c r="T130" i="9"/>
  <c r="U130" i="9"/>
  <c r="T131" i="9"/>
  <c r="U131" i="9"/>
  <c r="T132" i="9"/>
  <c r="U132" i="9"/>
  <c r="T133" i="9"/>
  <c r="U133" i="9"/>
  <c r="T134" i="9"/>
  <c r="U134" i="9"/>
  <c r="T135" i="9"/>
  <c r="U135" i="9"/>
  <c r="T136" i="9"/>
  <c r="U136" i="9"/>
  <c r="T137" i="9"/>
  <c r="U137" i="9"/>
  <c r="T138" i="9"/>
  <c r="U138" i="9"/>
  <c r="T139" i="9"/>
  <c r="U139" i="9"/>
  <c r="T140" i="9"/>
  <c r="U140" i="9"/>
  <c r="T141" i="9"/>
  <c r="U141" i="9"/>
  <c r="T142" i="9"/>
  <c r="U142" i="9"/>
  <c r="T143" i="9"/>
  <c r="U143" i="9"/>
  <c r="T144" i="9"/>
  <c r="U144" i="9"/>
  <c r="T145" i="9"/>
  <c r="U145" i="9"/>
  <c r="T146" i="9"/>
  <c r="U146" i="9"/>
  <c r="T147" i="9"/>
  <c r="U147" i="9"/>
  <c r="T148" i="9"/>
  <c r="U148" i="9"/>
  <c r="T149" i="9"/>
  <c r="U149" i="9"/>
  <c r="T150" i="9"/>
  <c r="U150" i="9"/>
  <c r="T151" i="9"/>
  <c r="U151" i="9"/>
  <c r="T152" i="9"/>
  <c r="U152" i="9"/>
  <c r="T153" i="9"/>
  <c r="U153" i="9"/>
  <c r="T154" i="9"/>
  <c r="U154" i="9"/>
  <c r="T155" i="9"/>
  <c r="U155" i="9"/>
  <c r="T156" i="9"/>
  <c r="U156" i="9"/>
  <c r="T157" i="9"/>
  <c r="U157" i="9"/>
  <c r="T158" i="9"/>
  <c r="U158" i="9"/>
  <c r="T159" i="9"/>
  <c r="U159" i="9"/>
  <c r="T160" i="9"/>
  <c r="U160" i="9"/>
  <c r="T161" i="9"/>
  <c r="U161" i="9"/>
  <c r="T162" i="9"/>
  <c r="U162" i="9"/>
  <c r="T163" i="9"/>
  <c r="U163" i="9"/>
  <c r="T164" i="9"/>
  <c r="U164" i="9"/>
  <c r="T165" i="9"/>
  <c r="U165" i="9"/>
  <c r="T166" i="9"/>
  <c r="U166" i="9"/>
  <c r="T167" i="9"/>
  <c r="U167" i="9"/>
  <c r="T168" i="9"/>
  <c r="U168" i="9"/>
  <c r="T169" i="9"/>
  <c r="U169" i="9"/>
  <c r="T170" i="9"/>
  <c r="U170" i="9"/>
  <c r="T171" i="9"/>
  <c r="U171" i="9"/>
  <c r="T172" i="9"/>
  <c r="U172" i="9"/>
  <c r="T173" i="9"/>
  <c r="U173" i="9"/>
  <c r="T174" i="9"/>
  <c r="U174" i="9"/>
  <c r="T175" i="9"/>
  <c r="U175" i="9"/>
  <c r="T176" i="9"/>
  <c r="U176" i="9"/>
  <c r="T177" i="9"/>
  <c r="U177" i="9"/>
  <c r="T178" i="9"/>
  <c r="U178" i="9"/>
  <c r="T179" i="9"/>
  <c r="U179" i="9"/>
  <c r="T180" i="9"/>
  <c r="U180" i="9"/>
  <c r="T181" i="9"/>
  <c r="U181" i="9"/>
  <c r="T182" i="9"/>
  <c r="U182" i="9"/>
  <c r="T183" i="9"/>
  <c r="U183" i="9"/>
  <c r="T184" i="9"/>
  <c r="U184" i="9"/>
  <c r="T185" i="9"/>
  <c r="U185" i="9"/>
  <c r="T186" i="9"/>
  <c r="U186" i="9"/>
  <c r="T187" i="9"/>
  <c r="U187" i="9"/>
  <c r="T188" i="9"/>
  <c r="U188" i="9"/>
  <c r="T189" i="9"/>
  <c r="U189" i="9"/>
  <c r="T190" i="9"/>
  <c r="U190" i="9"/>
  <c r="T191" i="9"/>
  <c r="U191" i="9"/>
  <c r="T192" i="9"/>
  <c r="U192" i="9"/>
  <c r="T193" i="9"/>
  <c r="U193" i="9"/>
  <c r="T194" i="9"/>
  <c r="U194" i="9"/>
  <c r="T195" i="9"/>
  <c r="U195" i="9"/>
  <c r="T196" i="9"/>
  <c r="U196" i="9"/>
  <c r="T197" i="9"/>
  <c r="U197" i="9"/>
  <c r="T198" i="9"/>
  <c r="U198" i="9"/>
  <c r="T199" i="9"/>
  <c r="U199" i="9"/>
  <c r="T200" i="9"/>
  <c r="U200" i="9"/>
  <c r="T201" i="9"/>
  <c r="U201" i="9"/>
  <c r="T202" i="9"/>
  <c r="U202" i="9"/>
  <c r="T203" i="9"/>
  <c r="U203" i="9"/>
  <c r="T204" i="9"/>
  <c r="U204" i="9"/>
  <c r="T205" i="9"/>
  <c r="U205" i="9"/>
  <c r="T206" i="9"/>
  <c r="U206" i="9"/>
  <c r="T207" i="9"/>
  <c r="U207" i="9"/>
  <c r="T208" i="9"/>
  <c r="U208" i="9"/>
  <c r="T209" i="9"/>
  <c r="U209" i="9"/>
  <c r="T210" i="9"/>
  <c r="U210" i="9"/>
  <c r="T211" i="9"/>
  <c r="U211" i="9"/>
  <c r="T212" i="9"/>
  <c r="U212" i="9"/>
  <c r="T213" i="9"/>
  <c r="U213" i="9"/>
  <c r="T214" i="9"/>
  <c r="U214" i="9"/>
  <c r="T215" i="9"/>
  <c r="U215" i="9"/>
  <c r="T216" i="9"/>
  <c r="U216" i="9"/>
  <c r="T217" i="9"/>
  <c r="U217" i="9"/>
  <c r="T218" i="9"/>
  <c r="U218" i="9"/>
  <c r="T219" i="9"/>
  <c r="U219" i="9"/>
  <c r="T220" i="9"/>
  <c r="U220" i="9"/>
  <c r="T221" i="9"/>
  <c r="U221" i="9"/>
  <c r="T222" i="9"/>
  <c r="U222" i="9"/>
  <c r="T223" i="9"/>
  <c r="U223" i="9"/>
  <c r="T224" i="9"/>
  <c r="U224" i="9"/>
  <c r="T225" i="9"/>
  <c r="U225" i="9"/>
  <c r="T226" i="9"/>
  <c r="U226" i="9"/>
  <c r="T227" i="9"/>
  <c r="U227" i="9"/>
  <c r="T228" i="9"/>
  <c r="U228" i="9"/>
  <c r="T229" i="9"/>
  <c r="U229" i="9"/>
  <c r="T230" i="9"/>
  <c r="U230" i="9"/>
  <c r="T231" i="9"/>
  <c r="U231" i="9"/>
  <c r="T232" i="9"/>
  <c r="U232" i="9"/>
  <c r="T233" i="9"/>
  <c r="U233" i="9"/>
  <c r="T234" i="9"/>
  <c r="U234" i="9"/>
  <c r="T235" i="9"/>
  <c r="U235" i="9"/>
  <c r="T236" i="9"/>
  <c r="U236" i="9"/>
  <c r="T237" i="9"/>
  <c r="U237" i="9"/>
  <c r="T238" i="9"/>
  <c r="U238" i="9"/>
  <c r="T239" i="9"/>
  <c r="U239" i="9"/>
  <c r="T240" i="9"/>
  <c r="U240" i="9"/>
  <c r="T241" i="9"/>
  <c r="U241" i="9"/>
  <c r="T242" i="9"/>
  <c r="U242" i="9"/>
  <c r="T243" i="9"/>
  <c r="U243" i="9"/>
  <c r="T244" i="9"/>
  <c r="U244" i="9"/>
  <c r="T245" i="9"/>
  <c r="U245" i="9"/>
  <c r="T246" i="9"/>
  <c r="U246" i="9"/>
  <c r="T247" i="9"/>
  <c r="U247" i="9"/>
  <c r="T248" i="9"/>
  <c r="U248" i="9"/>
  <c r="T249" i="9"/>
  <c r="U249" i="9"/>
  <c r="T250" i="9"/>
  <c r="U250" i="9"/>
  <c r="T251" i="9"/>
  <c r="U251" i="9"/>
  <c r="T252" i="9"/>
  <c r="U252" i="9"/>
  <c r="T253" i="9"/>
  <c r="U253" i="9"/>
  <c r="T254" i="9"/>
  <c r="U254" i="9"/>
  <c r="T255" i="9"/>
  <c r="U255" i="9"/>
  <c r="T256" i="9"/>
  <c r="U256" i="9"/>
  <c r="T257" i="9"/>
  <c r="U257" i="9"/>
  <c r="T258" i="9"/>
  <c r="U258" i="9"/>
  <c r="T259" i="9"/>
  <c r="U259" i="9"/>
  <c r="T260" i="9"/>
  <c r="U260" i="9"/>
  <c r="T261" i="9"/>
  <c r="U261" i="9"/>
  <c r="T262" i="9"/>
  <c r="U262" i="9"/>
  <c r="T263" i="9"/>
  <c r="U263" i="9"/>
  <c r="T264" i="9"/>
  <c r="U264" i="9"/>
  <c r="T265" i="9"/>
  <c r="U265" i="9"/>
  <c r="T266" i="9"/>
  <c r="U266" i="9"/>
  <c r="T267" i="9"/>
  <c r="U267" i="9"/>
  <c r="T268" i="9"/>
  <c r="U268" i="9"/>
  <c r="T269" i="9"/>
  <c r="U269" i="9"/>
  <c r="T270" i="9"/>
  <c r="U270" i="9"/>
  <c r="T271" i="9"/>
  <c r="U271" i="9"/>
  <c r="T272" i="9"/>
  <c r="U272" i="9"/>
  <c r="T273" i="9"/>
  <c r="U273" i="9"/>
  <c r="T274" i="9"/>
  <c r="U274" i="9"/>
  <c r="T275" i="9"/>
  <c r="U275" i="9"/>
  <c r="T276" i="9"/>
  <c r="U276" i="9"/>
  <c r="T277" i="9"/>
  <c r="U277" i="9"/>
  <c r="T278" i="9"/>
  <c r="U278" i="9"/>
  <c r="T279" i="9"/>
  <c r="U279" i="9"/>
  <c r="T280" i="9"/>
  <c r="U280" i="9"/>
  <c r="T281" i="9"/>
  <c r="U281" i="9"/>
  <c r="T282" i="9"/>
  <c r="U282" i="9"/>
  <c r="T283" i="9"/>
  <c r="U283" i="9"/>
  <c r="T284" i="9"/>
  <c r="U284" i="9"/>
  <c r="T285" i="9"/>
  <c r="U285" i="9"/>
  <c r="T286" i="9"/>
  <c r="U286" i="9"/>
  <c r="T287" i="9"/>
  <c r="U287" i="9"/>
  <c r="T288" i="9"/>
  <c r="U288" i="9"/>
  <c r="T289" i="9"/>
  <c r="U289" i="9"/>
  <c r="T290" i="9"/>
  <c r="U290" i="9"/>
  <c r="T291" i="9"/>
  <c r="U291" i="9"/>
  <c r="T292" i="9"/>
  <c r="U292" i="9"/>
  <c r="T293" i="9"/>
  <c r="U293" i="9"/>
  <c r="T294" i="9"/>
  <c r="U294" i="9"/>
  <c r="T295" i="9"/>
  <c r="U295" i="9"/>
  <c r="T296" i="9"/>
  <c r="U296" i="9"/>
  <c r="T297" i="9"/>
  <c r="U297" i="9"/>
  <c r="T298" i="9"/>
  <c r="U298" i="9"/>
  <c r="T299" i="9"/>
  <c r="U299" i="9"/>
  <c r="T300" i="9"/>
  <c r="U300" i="9"/>
  <c r="T301" i="9"/>
  <c r="U301" i="9"/>
  <c r="T302" i="9"/>
  <c r="U302" i="9"/>
  <c r="T303" i="9"/>
  <c r="U303" i="9"/>
  <c r="T304" i="9"/>
  <c r="U304" i="9"/>
  <c r="T305" i="9"/>
  <c r="U305" i="9"/>
  <c r="T306" i="9"/>
  <c r="U306" i="9"/>
  <c r="T307" i="9"/>
  <c r="U307" i="9"/>
  <c r="T308" i="9"/>
  <c r="U308" i="9"/>
  <c r="T309" i="9"/>
  <c r="U309" i="9"/>
  <c r="T310" i="9"/>
  <c r="U310" i="9"/>
  <c r="T311" i="9"/>
  <c r="U311" i="9"/>
  <c r="T312" i="9"/>
  <c r="U312" i="9"/>
  <c r="T313" i="9"/>
  <c r="U313" i="9"/>
  <c r="T314" i="9"/>
  <c r="U314" i="9"/>
  <c r="T315" i="9"/>
  <c r="U315" i="9"/>
  <c r="T316" i="9"/>
  <c r="U316" i="9"/>
  <c r="T317" i="9"/>
  <c r="U317" i="9"/>
  <c r="T318" i="9"/>
  <c r="U318" i="9"/>
  <c r="T319" i="9"/>
  <c r="U319" i="9"/>
  <c r="T320" i="9"/>
  <c r="U320" i="9"/>
  <c r="D89" i="9" a="1"/>
  <c r="D89" i="9" s="1"/>
  <c r="D90" i="9" a="1"/>
  <c r="D90" i="9" s="1"/>
  <c r="D91" i="9" a="1"/>
  <c r="D91" i="9" s="1"/>
  <c r="D92" i="9" a="1"/>
  <c r="D92" i="9" s="1"/>
  <c r="D93" i="9" a="1"/>
  <c r="D93" i="9" s="1"/>
  <c r="D94" i="9" a="1"/>
  <c r="D94" i="9" s="1"/>
  <c r="D95" i="9" a="1"/>
  <c r="D95" i="9" s="1"/>
  <c r="D96" i="9" a="1"/>
  <c r="D96" i="9" s="1"/>
  <c r="D97" i="9" a="1"/>
  <c r="D97" i="9" s="1"/>
  <c r="D98" i="9" a="1"/>
  <c r="D98" i="9" s="1"/>
  <c r="D99" i="9" a="1"/>
  <c r="D99" i="9" s="1"/>
  <c r="D100" i="9" a="1"/>
  <c r="D100" i="9" s="1"/>
  <c r="D101" i="9" a="1"/>
  <c r="D101" i="9" s="1"/>
  <c r="D102" i="9" a="1"/>
  <c r="D102" i="9" s="1"/>
  <c r="D103" i="9" a="1"/>
  <c r="D103" i="9" s="1"/>
  <c r="D104" i="9" a="1"/>
  <c r="D104" i="9" s="1"/>
  <c r="D105" i="9" a="1"/>
  <c r="D105" i="9" s="1"/>
  <c r="D106" i="9" a="1"/>
  <c r="D106" i="9" s="1"/>
  <c r="D107" i="9" a="1"/>
  <c r="D107" i="9" s="1"/>
  <c r="D108" i="9" a="1"/>
  <c r="D108" i="9" s="1"/>
  <c r="D109" i="9" a="1"/>
  <c r="D109" i="9" s="1"/>
  <c r="D110" i="9" a="1"/>
  <c r="D110" i="9" s="1"/>
  <c r="D111" i="9" a="1"/>
  <c r="D111" i="9" s="1"/>
  <c r="D112" i="9" a="1"/>
  <c r="D112" i="9" s="1"/>
  <c r="D113" i="9" a="1"/>
  <c r="D113" i="9" s="1"/>
  <c r="D114" i="9" a="1"/>
  <c r="D114" i="9" s="1"/>
  <c r="D115" i="9" a="1"/>
  <c r="D115" i="9" s="1"/>
  <c r="D116" i="9" a="1"/>
  <c r="D116" i="9" s="1"/>
  <c r="D117" i="9" a="1"/>
  <c r="D117" i="9" s="1"/>
  <c r="D118" i="9" a="1"/>
  <c r="D118" i="9" s="1"/>
  <c r="D119" i="9" a="1"/>
  <c r="D119" i="9" s="1"/>
  <c r="D120" i="9" a="1"/>
  <c r="D120" i="9" s="1"/>
  <c r="D121" i="9" a="1"/>
  <c r="D121" i="9" s="1"/>
  <c r="D122" i="9" a="1"/>
  <c r="D122" i="9" s="1"/>
  <c r="D123" i="9" a="1"/>
  <c r="D123" i="9" s="1"/>
  <c r="D124" i="9" a="1"/>
  <c r="D124" i="9" s="1"/>
  <c r="D125" i="9" a="1"/>
  <c r="D125" i="9" s="1"/>
  <c r="D126" i="9" a="1"/>
  <c r="D126" i="9" s="1"/>
  <c r="D127" i="9" a="1"/>
  <c r="D127" i="9" s="1"/>
  <c r="D128" i="9" a="1"/>
  <c r="D128" i="9" s="1"/>
  <c r="D129" i="9" a="1"/>
  <c r="D129" i="9" s="1"/>
  <c r="D130" i="9" a="1"/>
  <c r="D130" i="9" s="1"/>
  <c r="D131" i="9" a="1"/>
  <c r="D131" i="9" s="1"/>
  <c r="D132" i="9" a="1"/>
  <c r="D132" i="9" s="1"/>
  <c r="D133" i="9" a="1"/>
  <c r="D133" i="9" s="1"/>
  <c r="D134" i="9" a="1"/>
  <c r="D134" i="9" s="1"/>
  <c r="D135" i="9" a="1"/>
  <c r="D135" i="9" s="1"/>
  <c r="D136" i="9" a="1"/>
  <c r="D136" i="9" s="1"/>
  <c r="D137" i="9" a="1"/>
  <c r="D137" i="9" s="1"/>
  <c r="D138" i="9" a="1"/>
  <c r="D138" i="9" s="1"/>
  <c r="D139" i="9" a="1"/>
  <c r="D139" i="9" s="1"/>
  <c r="D140" i="9" a="1"/>
  <c r="D140" i="9" s="1"/>
  <c r="D141" i="9" a="1"/>
  <c r="D141" i="9" s="1"/>
  <c r="D142" i="9" a="1"/>
  <c r="D142" i="9" s="1"/>
  <c r="D143" i="9" a="1"/>
  <c r="D143" i="9" s="1"/>
  <c r="D144" i="9" a="1"/>
  <c r="D144" i="9" s="1"/>
  <c r="D145" i="9" a="1"/>
  <c r="D145" i="9" s="1"/>
  <c r="D146" i="9" a="1"/>
  <c r="D146" i="9" s="1"/>
  <c r="D147" i="9" a="1"/>
  <c r="D147" i="9" s="1"/>
  <c r="D148" i="9" a="1"/>
  <c r="D148" i="9" s="1"/>
  <c r="D149" i="9" a="1"/>
  <c r="D149" i="9" s="1"/>
  <c r="D150" i="9" a="1"/>
  <c r="D150" i="9" s="1"/>
  <c r="D151" i="9" a="1"/>
  <c r="D151" i="9" s="1"/>
  <c r="D152" i="9" a="1"/>
  <c r="D152" i="9" s="1"/>
  <c r="D153" i="9" a="1"/>
  <c r="D153" i="9" s="1"/>
  <c r="D154" i="9" a="1"/>
  <c r="D154" i="9" s="1"/>
  <c r="D155" i="9" a="1"/>
  <c r="D155" i="9" s="1"/>
  <c r="D156" i="9" a="1"/>
  <c r="D156" i="9" s="1"/>
  <c r="D157" i="9" a="1"/>
  <c r="D157" i="9" s="1"/>
  <c r="D158" i="9" a="1"/>
  <c r="D158" i="9" s="1"/>
  <c r="D159" i="9" a="1"/>
  <c r="D159" i="9" s="1"/>
  <c r="D160" i="9" a="1"/>
  <c r="D160" i="9" s="1"/>
  <c r="D161" i="9" a="1"/>
  <c r="D161" i="9" s="1"/>
  <c r="D162" i="9" a="1"/>
  <c r="D162" i="9" s="1"/>
  <c r="D163" i="9" a="1"/>
  <c r="D163" i="9" s="1"/>
  <c r="D164" i="9" a="1"/>
  <c r="D164" i="9" s="1"/>
  <c r="D165" i="9" a="1"/>
  <c r="D165" i="9" s="1"/>
  <c r="D166" i="9" a="1"/>
  <c r="D166" i="9" s="1"/>
  <c r="D167" i="9" a="1"/>
  <c r="D167" i="9" s="1"/>
  <c r="D168" i="9" a="1"/>
  <c r="D168" i="9" s="1"/>
  <c r="D169" i="9" a="1"/>
  <c r="D169" i="9" s="1"/>
  <c r="D170" i="9" a="1"/>
  <c r="D170" i="9" s="1"/>
  <c r="D171" i="9" a="1"/>
  <c r="D171" i="9" s="1"/>
  <c r="D172" i="9" a="1"/>
  <c r="D172" i="9" s="1"/>
  <c r="D173" i="9" a="1"/>
  <c r="D173" i="9" s="1"/>
  <c r="D174" i="9" a="1"/>
  <c r="D174" i="9" s="1"/>
  <c r="D175" i="9" a="1"/>
  <c r="D175" i="9" s="1"/>
  <c r="D176" i="9" a="1"/>
  <c r="D176" i="9" s="1"/>
  <c r="D177" i="9" a="1"/>
  <c r="D177" i="9" s="1"/>
  <c r="D178" i="9" a="1"/>
  <c r="D178" i="9" s="1"/>
  <c r="D179" i="9" a="1"/>
  <c r="D179" i="9" s="1"/>
  <c r="D180" i="9" a="1"/>
  <c r="D180" i="9" s="1"/>
  <c r="D181" i="9" a="1"/>
  <c r="D181" i="9" s="1"/>
  <c r="D182" i="9" a="1"/>
  <c r="D182" i="9" s="1"/>
  <c r="D183" i="9" a="1"/>
  <c r="D183" i="9" s="1"/>
  <c r="D184" i="9" a="1"/>
  <c r="D184" i="9" s="1"/>
  <c r="D185" i="9" a="1"/>
  <c r="D185" i="9" s="1"/>
  <c r="D186" i="9" a="1"/>
  <c r="D186" i="9" s="1"/>
  <c r="D187" i="9" a="1"/>
  <c r="D187" i="9" s="1"/>
  <c r="D188" i="9" a="1"/>
  <c r="D188" i="9" s="1"/>
  <c r="D189" i="9" a="1"/>
  <c r="D189" i="9" s="1"/>
  <c r="D190" i="9" a="1"/>
  <c r="D190" i="9" s="1"/>
  <c r="D191" i="9" a="1"/>
  <c r="D191" i="9" s="1"/>
  <c r="D192" i="9" a="1"/>
  <c r="D192" i="9" s="1"/>
  <c r="D193" i="9" a="1"/>
  <c r="D193" i="9" s="1"/>
  <c r="D194" i="9" a="1"/>
  <c r="D194" i="9" s="1"/>
  <c r="D195" i="9" a="1"/>
  <c r="D195" i="9" s="1"/>
  <c r="D196" i="9" a="1"/>
  <c r="D196" i="9" s="1"/>
  <c r="D197" i="9" a="1"/>
  <c r="D197" i="9" s="1"/>
  <c r="D198" i="9" a="1"/>
  <c r="D198" i="9" s="1"/>
  <c r="D199" i="9" a="1"/>
  <c r="D199" i="9" s="1"/>
  <c r="D200" i="9" a="1"/>
  <c r="D200" i="9" s="1"/>
  <c r="D201" i="9" a="1"/>
  <c r="D201" i="9" s="1"/>
  <c r="D202" i="9" a="1"/>
  <c r="D202" i="9" s="1"/>
  <c r="D203" i="9" a="1"/>
  <c r="D203" i="9" s="1"/>
  <c r="D204" i="9" a="1"/>
  <c r="D204" i="9" s="1"/>
  <c r="D205" i="9" a="1"/>
  <c r="D205" i="9" s="1"/>
  <c r="D206" i="9" a="1"/>
  <c r="D206" i="9" s="1"/>
  <c r="D207" i="9" a="1"/>
  <c r="D207" i="9" s="1"/>
  <c r="D208" i="9" a="1"/>
  <c r="D208" i="9" s="1"/>
  <c r="D209" i="9" a="1"/>
  <c r="D209" i="9" s="1"/>
  <c r="D210" i="9" a="1"/>
  <c r="D210" i="9" s="1"/>
  <c r="D211" i="9" a="1"/>
  <c r="D211" i="9" s="1"/>
  <c r="D212" i="9" a="1"/>
  <c r="D212" i="9" s="1"/>
  <c r="D213" i="9" a="1"/>
  <c r="D213" i="9" s="1"/>
  <c r="D214" i="9" a="1"/>
  <c r="D214" i="9" s="1"/>
  <c r="D215" i="9" a="1"/>
  <c r="D215" i="9" s="1"/>
  <c r="D216" i="9" a="1"/>
  <c r="D216" i="9" s="1"/>
  <c r="D217" i="9" a="1"/>
  <c r="D217" i="9" s="1"/>
  <c r="D218" i="9" a="1"/>
  <c r="D218" i="9" s="1"/>
  <c r="D219" i="9" a="1"/>
  <c r="D219" i="9" s="1"/>
  <c r="D220" i="9" a="1"/>
  <c r="D220" i="9" s="1"/>
  <c r="D221" i="9" a="1"/>
  <c r="D221" i="9" s="1"/>
  <c r="D222" i="9" a="1"/>
  <c r="D222" i="9" s="1"/>
  <c r="D223" i="9" a="1"/>
  <c r="D223" i="9" s="1"/>
  <c r="D224" i="9" a="1"/>
  <c r="D224" i="9" s="1"/>
  <c r="D225" i="9" a="1"/>
  <c r="D225" i="9" s="1"/>
  <c r="D226" i="9" a="1"/>
  <c r="D226" i="9" s="1"/>
  <c r="D227" i="9" a="1"/>
  <c r="D227" i="9" s="1"/>
  <c r="D228" i="9" a="1"/>
  <c r="D228" i="9" s="1"/>
  <c r="D229" i="9" a="1"/>
  <c r="D229" i="9" s="1"/>
  <c r="D230" i="9" a="1"/>
  <c r="D230" i="9" s="1"/>
  <c r="D231" i="9" a="1"/>
  <c r="D231" i="9" s="1"/>
  <c r="D232" i="9" a="1"/>
  <c r="D232" i="9" s="1"/>
  <c r="D233" i="9" a="1"/>
  <c r="D233" i="9" s="1"/>
  <c r="D234" i="9" a="1"/>
  <c r="D234" i="9" s="1"/>
  <c r="D235" i="9" a="1"/>
  <c r="D235" i="9" s="1"/>
  <c r="D236" i="9" a="1"/>
  <c r="D236" i="9" s="1"/>
  <c r="D237" i="9" a="1"/>
  <c r="D237" i="9" s="1"/>
  <c r="D238" i="9" a="1"/>
  <c r="D238" i="9" s="1"/>
  <c r="D239" i="9" a="1"/>
  <c r="D239" i="9" s="1"/>
  <c r="D240" i="9" a="1"/>
  <c r="D240" i="9" s="1"/>
  <c r="D241" i="9" a="1"/>
  <c r="D241" i="9" s="1"/>
  <c r="D242" i="9" a="1"/>
  <c r="D242" i="9" s="1"/>
  <c r="D243" i="9" a="1"/>
  <c r="D243" i="9" s="1"/>
  <c r="D244" i="9" a="1"/>
  <c r="D244" i="9" s="1"/>
  <c r="D245" i="9" a="1"/>
  <c r="D245" i="9" s="1"/>
  <c r="D246" i="9" a="1"/>
  <c r="D246" i="9" s="1"/>
  <c r="D247" i="9" a="1"/>
  <c r="D247" i="9" s="1"/>
  <c r="D248" i="9" a="1"/>
  <c r="D248" i="9" s="1"/>
  <c r="D249" i="9" a="1"/>
  <c r="D249" i="9" s="1"/>
  <c r="D250" i="9" a="1"/>
  <c r="D250" i="9" s="1"/>
  <c r="D251" i="9" a="1"/>
  <c r="D251" i="9" s="1"/>
  <c r="D252" i="9" a="1"/>
  <c r="D252" i="9" s="1"/>
  <c r="D253" i="9" a="1"/>
  <c r="D253" i="9" s="1"/>
  <c r="D254" i="9" a="1"/>
  <c r="D254" i="9" s="1"/>
  <c r="D255" i="9" a="1"/>
  <c r="D255" i="9" s="1"/>
  <c r="D256" i="9" a="1"/>
  <c r="D256" i="9" s="1"/>
  <c r="D257" i="9" a="1"/>
  <c r="D257" i="9" s="1"/>
  <c r="D258" i="9" a="1"/>
  <c r="D258" i="9" s="1"/>
  <c r="D259" i="9" a="1"/>
  <c r="D259" i="9" s="1"/>
  <c r="D260" i="9" a="1"/>
  <c r="D260" i="9" s="1"/>
  <c r="D261" i="9" a="1"/>
  <c r="D261" i="9" s="1"/>
  <c r="D262" i="9" a="1"/>
  <c r="D262" i="9" s="1"/>
  <c r="D263" i="9" a="1"/>
  <c r="D263" i="9" s="1"/>
  <c r="D264" i="9" a="1"/>
  <c r="D264" i="9" s="1"/>
  <c r="D265" i="9" a="1"/>
  <c r="D265" i="9" s="1"/>
  <c r="D266" i="9" a="1"/>
  <c r="D266" i="9" s="1"/>
  <c r="D267" i="9" a="1"/>
  <c r="D267" i="9" s="1"/>
  <c r="D268" i="9" a="1"/>
  <c r="D268" i="9" s="1"/>
  <c r="D269" i="9" a="1"/>
  <c r="D269" i="9" s="1"/>
  <c r="D270" i="9" a="1"/>
  <c r="D270" i="9" s="1"/>
  <c r="D271" i="9" a="1"/>
  <c r="D271" i="9" s="1"/>
  <c r="D272" i="9" a="1"/>
  <c r="D272" i="9" s="1"/>
  <c r="D273" i="9" a="1"/>
  <c r="D273" i="9" s="1"/>
  <c r="D274" i="9" a="1"/>
  <c r="D274" i="9" s="1"/>
  <c r="D275" i="9" a="1"/>
  <c r="D275" i="9" s="1"/>
  <c r="D276" i="9" a="1"/>
  <c r="D276" i="9" s="1"/>
  <c r="D277" i="9" a="1"/>
  <c r="D277" i="9" s="1"/>
  <c r="D278" i="9" a="1"/>
  <c r="D278" i="9" s="1"/>
  <c r="D279" i="9" a="1"/>
  <c r="D279" i="9" s="1"/>
  <c r="D280" i="9" a="1"/>
  <c r="D280" i="9" s="1"/>
  <c r="D281" i="9" a="1"/>
  <c r="D281" i="9" s="1"/>
  <c r="D282" i="9" a="1"/>
  <c r="D282" i="9" s="1"/>
  <c r="D283" i="9" a="1"/>
  <c r="D283" i="9" s="1"/>
  <c r="D284" i="9" a="1"/>
  <c r="D284" i="9" s="1"/>
  <c r="D285" i="9" a="1"/>
  <c r="D285" i="9" s="1"/>
  <c r="D286" i="9" a="1"/>
  <c r="D286" i="9" s="1"/>
  <c r="D287" i="9" a="1"/>
  <c r="D287" i="9" s="1"/>
  <c r="D288" i="9" a="1"/>
  <c r="D288" i="9" s="1"/>
  <c r="D289" i="9" a="1"/>
  <c r="D289" i="9" s="1"/>
  <c r="D290" i="9" a="1"/>
  <c r="D290" i="9" s="1"/>
  <c r="D291" i="9" a="1"/>
  <c r="D291" i="9" s="1"/>
  <c r="D292" i="9" a="1"/>
  <c r="D292" i="9" s="1"/>
  <c r="D293" i="9" a="1"/>
  <c r="D293" i="9" s="1"/>
  <c r="D294" i="9" a="1"/>
  <c r="D294" i="9" s="1"/>
  <c r="D295" i="9" a="1"/>
  <c r="D295" i="9" s="1"/>
  <c r="D296" i="9" a="1"/>
  <c r="D296" i="9" s="1"/>
  <c r="D297" i="9" a="1"/>
  <c r="D297" i="9" s="1"/>
  <c r="D298" i="9" a="1"/>
  <c r="D298" i="9" s="1"/>
  <c r="D299" i="9" a="1"/>
  <c r="D299" i="9" s="1"/>
  <c r="D300" i="9" a="1"/>
  <c r="D300" i="9" s="1"/>
  <c r="D301" i="9" a="1"/>
  <c r="D301" i="9" s="1"/>
  <c r="D302" i="9" a="1"/>
  <c r="D302" i="9" s="1"/>
  <c r="D303" i="9" a="1"/>
  <c r="D303" i="9" s="1"/>
  <c r="D304" i="9" a="1"/>
  <c r="D304" i="9" s="1"/>
  <c r="D305" i="9" a="1"/>
  <c r="D305" i="9" s="1"/>
  <c r="D306" i="9" a="1"/>
  <c r="D306" i="9" s="1"/>
  <c r="D307" i="9" a="1"/>
  <c r="D307" i="9" s="1"/>
  <c r="D308" i="9" a="1"/>
  <c r="D308" i="9" s="1"/>
  <c r="D309" i="9" a="1"/>
  <c r="D309" i="9" s="1"/>
  <c r="D310" i="9" a="1"/>
  <c r="D310" i="9" s="1"/>
  <c r="D311" i="9" a="1"/>
  <c r="D311" i="9" s="1"/>
  <c r="D312" i="9" a="1"/>
  <c r="D312" i="9" s="1"/>
  <c r="D313" i="9" a="1"/>
  <c r="D313" i="9" s="1"/>
  <c r="D314" i="9" a="1"/>
  <c r="D314" i="9" s="1"/>
  <c r="D315" i="9" a="1"/>
  <c r="D315" i="9" s="1"/>
  <c r="D316" i="9" a="1"/>
  <c r="D316" i="9" s="1"/>
  <c r="D317" i="9" a="1"/>
  <c r="D317" i="9" s="1"/>
  <c r="D318" i="9" a="1"/>
  <c r="D318" i="9" s="1"/>
  <c r="D319" i="9" a="1"/>
  <c r="D319" i="9" s="1"/>
  <c r="D320" i="9" a="1"/>
  <c r="D320" i="9" s="1"/>
  <c r="D321" i="9" a="1"/>
  <c r="D321" i="9" s="1"/>
  <c r="D322" i="9" a="1"/>
  <c r="D322" i="9" s="1"/>
  <c r="D323" i="9" a="1"/>
  <c r="D323" i="9" s="1"/>
  <c r="D324" i="9" a="1"/>
  <c r="D324" i="9" s="1"/>
  <c r="D325" i="9" a="1"/>
  <c r="D325" i="9" s="1"/>
  <c r="D326" i="9" a="1"/>
  <c r="D326" i="9" s="1"/>
  <c r="V3" i="9" l="1"/>
  <c r="V4" i="9"/>
  <c r="V5" i="9"/>
  <c r="K19" i="5" a="1"/>
  <c r="K19" i="5" s="1"/>
  <c r="E19" i="5" a="1"/>
  <c r="E19" i="5" s="1"/>
  <c r="F19" i="5" a="1"/>
  <c r="F19" i="5" s="1"/>
  <c r="V6" i="9"/>
  <c r="T6" i="9"/>
  <c r="J19" i="5" a="1"/>
  <c r="J19" i="5" s="1"/>
  <c r="L19" i="5" a="1"/>
  <c r="L19" i="5" s="1"/>
  <c r="U6" i="9"/>
  <c r="I19" i="5" a="1"/>
  <c r="I19" i="5" s="1"/>
  <c r="G19" i="5" a="1"/>
  <c r="G19" i="5" s="1"/>
  <c r="C19" i="5" a="1"/>
  <c r="C19" i="5" s="1"/>
  <c r="H19" i="5" a="1"/>
  <c r="H19" i="5" s="1"/>
  <c r="D19" i="5" a="1"/>
  <c r="D19" i="5" s="1"/>
  <c r="U5" i="9"/>
  <c r="T5" i="9"/>
  <c r="M19" i="5" s="1" a="1"/>
  <c r="M19" i="5" s="1"/>
  <c r="U4" i="9"/>
  <c r="T4" i="9"/>
  <c r="U3" i="9"/>
  <c r="T3" i="9"/>
  <c r="M6" i="5" l="1"/>
  <c r="L6" i="5"/>
  <c r="K6" i="5"/>
  <c r="J6" i="5"/>
  <c r="I6" i="5"/>
  <c r="H6" i="5"/>
  <c r="G6" i="5"/>
  <c r="E6" i="5"/>
  <c r="C6" i="5"/>
  <c r="M5" i="5"/>
  <c r="L5" i="5"/>
  <c r="K5" i="5"/>
  <c r="J5" i="5"/>
  <c r="I5" i="5"/>
  <c r="H5" i="5"/>
  <c r="G5" i="5"/>
  <c r="E5" i="5"/>
  <c r="C5" i="5"/>
  <c r="M4" i="5"/>
  <c r="L4" i="5"/>
  <c r="K4" i="5"/>
  <c r="J4" i="5"/>
  <c r="I4" i="5"/>
  <c r="H4" i="5"/>
  <c r="G4" i="5"/>
  <c r="E4" i="5"/>
  <c r="D4" i="5"/>
  <c r="C4" i="5"/>
  <c r="C7" i="5"/>
  <c r="D7" i="5"/>
  <c r="E7" i="5"/>
  <c r="G7" i="5"/>
  <c r="H7" i="5"/>
  <c r="I7" i="5"/>
  <c r="J7" i="5"/>
  <c r="K7" i="5"/>
  <c r="L7" i="5"/>
  <c r="M7" i="5"/>
  <c r="C8" i="5"/>
  <c r="D8" i="5"/>
  <c r="E8" i="5"/>
  <c r="G8" i="5"/>
  <c r="H8" i="5"/>
  <c r="I8" i="5"/>
  <c r="J8" i="5"/>
  <c r="K8" i="5"/>
  <c r="L8" i="5"/>
  <c r="M8" i="5"/>
  <c r="C9" i="5"/>
  <c r="D9" i="5"/>
  <c r="E9" i="5"/>
  <c r="G9" i="5"/>
  <c r="H9" i="5"/>
  <c r="I9" i="5"/>
  <c r="J9" i="5"/>
  <c r="K9" i="5"/>
  <c r="L9" i="5"/>
  <c r="M9" i="5"/>
  <c r="M11" i="8" l="1"/>
  <c r="J30" i="8"/>
  <c r="J12" i="8"/>
  <c r="J32" i="8"/>
  <c r="L36" i="8"/>
  <c r="M39" i="8"/>
  <c r="J43" i="8"/>
  <c r="K49" i="8"/>
  <c r="J52" i="8"/>
  <c r="J54" i="8"/>
  <c r="O33" i="8"/>
  <c r="M36" i="8"/>
  <c r="N39" i="8"/>
  <c r="L44" i="8"/>
  <c r="N49" i="8"/>
  <c r="K52" i="8"/>
  <c r="K54" i="8"/>
  <c r="K42" i="8"/>
  <c r="K39" i="8"/>
  <c r="J14" i="8"/>
  <c r="M15" i="8"/>
  <c r="K34" i="8"/>
  <c r="J37" i="8"/>
  <c r="O39" i="8"/>
  <c r="M44" i="8"/>
  <c r="O49" i="8"/>
  <c r="L52" i="8"/>
  <c r="L54" i="8"/>
  <c r="L34" i="8"/>
  <c r="K37" i="8"/>
  <c r="J40" i="8"/>
  <c r="J47" i="8"/>
  <c r="J50" i="8"/>
  <c r="M52" i="8"/>
  <c r="M54" i="8"/>
  <c r="M34" i="8"/>
  <c r="N37" i="8"/>
  <c r="K40" i="8"/>
  <c r="K47" i="8"/>
  <c r="K50" i="8"/>
  <c r="N52" i="8"/>
  <c r="M53" i="8"/>
  <c r="O53" i="8"/>
  <c r="J16" i="8"/>
  <c r="N54" i="8"/>
  <c r="L53" i="8"/>
  <c r="M27" i="8"/>
  <c r="M38" i="8"/>
  <c r="K48" i="8"/>
  <c r="M48" i="8"/>
  <c r="J18" i="8"/>
  <c r="M23" i="8"/>
  <c r="J35" i="8"/>
  <c r="O37" i="8"/>
  <c r="L40" i="8"/>
  <c r="M47" i="8"/>
  <c r="L50" i="8"/>
  <c r="O52" i="8"/>
  <c r="O54" i="8"/>
  <c r="M51" i="8"/>
  <c r="J24" i="8"/>
  <c r="K35" i="8"/>
  <c r="J38" i="8"/>
  <c r="M40" i="8"/>
  <c r="N47" i="8"/>
  <c r="M50" i="8"/>
  <c r="J53" i="8"/>
  <c r="K2" i="8"/>
  <c r="B8" i="5" s="1"/>
  <c r="M35" i="8"/>
  <c r="K38" i="8"/>
  <c r="O41" i="8"/>
  <c r="O47" i="8"/>
  <c r="J51" i="8"/>
  <c r="K53" i="8"/>
  <c r="J2" i="8"/>
  <c r="O35" i="8"/>
  <c r="M42" i="8"/>
  <c r="J26" i="8"/>
  <c r="M3" i="8"/>
  <c r="K27" i="8"/>
  <c r="N35" i="8"/>
  <c r="L38" i="8"/>
  <c r="J42" i="8"/>
  <c r="J48" i="8"/>
  <c r="K51" i="8"/>
  <c r="J4" i="8"/>
  <c r="J6" i="8"/>
  <c r="J28" i="8"/>
  <c r="J36" i="8"/>
  <c r="J39" i="8"/>
  <c r="L42" i="8"/>
  <c r="L48" i="8"/>
  <c r="N51" i="8"/>
  <c r="N53" i="8"/>
  <c r="K36" i="8"/>
  <c r="O51" i="8"/>
  <c r="N42" i="8"/>
  <c r="J25" i="8"/>
  <c r="N36" i="8"/>
  <c r="J21" i="8"/>
  <c r="J19" i="8"/>
  <c r="M12" i="8"/>
  <c r="L18" i="8"/>
  <c r="K24" i="8"/>
  <c r="O29" i="8"/>
  <c r="O5" i="8"/>
  <c r="N11" i="8"/>
  <c r="N43" i="8"/>
  <c r="M21" i="8"/>
  <c r="L31" i="8"/>
  <c r="L7" i="8"/>
  <c r="K11" i="8"/>
  <c r="O22" i="8"/>
  <c r="J46" i="8"/>
  <c r="O38" i="8"/>
  <c r="L35" i="8"/>
  <c r="O14" i="8"/>
  <c r="K30" i="8"/>
  <c r="J41" i="8"/>
  <c r="J13" i="8"/>
  <c r="L47" i="8"/>
  <c r="J9" i="8"/>
  <c r="J7" i="8"/>
  <c r="M10" i="8"/>
  <c r="L16" i="8"/>
  <c r="K22" i="8"/>
  <c r="O27" i="8"/>
  <c r="O3" i="8"/>
  <c r="N9" i="8"/>
  <c r="N41" i="8"/>
  <c r="M19" i="8"/>
  <c r="L29" i="8"/>
  <c r="L5" i="8"/>
  <c r="K9" i="8"/>
  <c r="O20" i="8"/>
  <c r="J34" i="8"/>
  <c r="O36" i="8"/>
  <c r="M28" i="8"/>
  <c r="O43" i="8"/>
  <c r="J10" i="8"/>
  <c r="J29" i="8"/>
  <c r="N6" i="8"/>
  <c r="J23" i="8"/>
  <c r="J27" i="8"/>
  <c r="M32" i="8"/>
  <c r="M8" i="8"/>
  <c r="L14" i="8"/>
  <c r="K20" i="8"/>
  <c r="O25" i="8"/>
  <c r="N31" i="8"/>
  <c r="N7" i="8"/>
  <c r="N33" i="8"/>
  <c r="M17" i="8"/>
  <c r="L27" i="8"/>
  <c r="K3" i="8"/>
  <c r="K7" i="8"/>
  <c r="O18" i="8"/>
  <c r="J20" i="8"/>
  <c r="O34" i="8"/>
  <c r="L51" i="8"/>
  <c r="K16" i="8"/>
  <c r="N3" i="8"/>
  <c r="L23" i="8"/>
  <c r="N2" i="8"/>
  <c r="L43" i="8"/>
  <c r="J17" i="8"/>
  <c r="N40" i="8"/>
  <c r="N28" i="8"/>
  <c r="N50" i="8"/>
  <c r="M30" i="8"/>
  <c r="M6" i="8"/>
  <c r="L12" i="8"/>
  <c r="K18" i="8"/>
  <c r="O23" i="8"/>
  <c r="N29" i="8"/>
  <c r="N5" i="8"/>
  <c r="M49" i="8"/>
  <c r="M13" i="8"/>
  <c r="L25" i="8"/>
  <c r="K45" i="8"/>
  <c r="K5" i="8"/>
  <c r="O16" i="8"/>
  <c r="J8" i="8"/>
  <c r="O2" i="8"/>
  <c r="J15" i="8"/>
  <c r="N27" i="8"/>
  <c r="M9" i="8"/>
  <c r="J3" i="8"/>
  <c r="K6" i="8"/>
  <c r="J5" i="8"/>
  <c r="O21" i="8"/>
  <c r="M45" i="8"/>
  <c r="K29" i="8"/>
  <c r="O4" i="8"/>
  <c r="N30" i="8"/>
  <c r="N48" i="8"/>
  <c r="N38" i="8"/>
  <c r="J11" i="8"/>
  <c r="M26" i="8"/>
  <c r="L32" i="8"/>
  <c r="L8" i="8"/>
  <c r="K14" i="8"/>
  <c r="O19" i="8"/>
  <c r="N25" i="8"/>
  <c r="M46" i="8"/>
  <c r="M43" i="8"/>
  <c r="M7" i="8"/>
  <c r="L21" i="8"/>
  <c r="K25" i="8"/>
  <c r="J33" i="8"/>
  <c r="O12" i="8"/>
  <c r="K41" i="8"/>
  <c r="L2" i="8"/>
  <c r="B9" i="5" s="1"/>
  <c r="N22" i="8"/>
  <c r="J22" i="8"/>
  <c r="O30" i="8"/>
  <c r="N10" i="8"/>
  <c r="M31" i="8"/>
  <c r="O44" i="8"/>
  <c r="N16" i="8"/>
  <c r="N24" i="8"/>
  <c r="N46" i="8"/>
  <c r="N44" i="8"/>
  <c r="M24" i="8"/>
  <c r="L30" i="8"/>
  <c r="L6" i="8"/>
  <c r="K12" i="8"/>
  <c r="O17" i="8"/>
  <c r="N23" i="8"/>
  <c r="K44" i="8"/>
  <c r="M41" i="8"/>
  <c r="M5" i="8"/>
  <c r="L19" i="8"/>
  <c r="K23" i="8"/>
  <c r="J31" i="8"/>
  <c r="O10" i="8"/>
  <c r="O50" i="8"/>
  <c r="N18" i="8"/>
  <c r="N20" i="8"/>
  <c r="L26" i="8"/>
  <c r="K8" i="8"/>
  <c r="M33" i="8"/>
  <c r="L15" i="8"/>
  <c r="O6" i="8"/>
  <c r="N14" i="8"/>
  <c r="N8" i="8"/>
  <c r="N17" i="8"/>
  <c r="O28" i="8"/>
  <c r="L3" i="8"/>
  <c r="N12" i="8"/>
  <c r="N34" i="8"/>
  <c r="N32" i="8"/>
  <c r="M22" i="8"/>
  <c r="L28" i="8"/>
  <c r="L4" i="8"/>
  <c r="K10" i="8"/>
  <c r="O15" i="8"/>
  <c r="N21" i="8"/>
  <c r="J44" i="8"/>
  <c r="M37" i="8"/>
  <c r="L49" i="8"/>
  <c r="L17" i="8"/>
  <c r="K21" i="8"/>
  <c r="O32" i="8"/>
  <c r="O8" i="8"/>
  <c r="O48" i="8"/>
  <c r="N26" i="8"/>
  <c r="M20" i="8"/>
  <c r="K32" i="8"/>
  <c r="O13" i="8"/>
  <c r="N19" i="8"/>
  <c r="L45" i="8"/>
  <c r="K19" i="8"/>
  <c r="O46" i="8"/>
  <c r="M2" i="8"/>
  <c r="M18" i="8"/>
  <c r="O11" i="8"/>
  <c r="K17" i="8"/>
  <c r="J49" i="8"/>
  <c r="N4" i="8"/>
  <c r="J45" i="8"/>
  <c r="K43" i="8"/>
  <c r="M16" i="8"/>
  <c r="L22" i="8"/>
  <c r="K28" i="8"/>
  <c r="K4" i="8"/>
  <c r="O9" i="8"/>
  <c r="N15" i="8"/>
  <c r="O45" i="8"/>
  <c r="M29" i="8"/>
  <c r="L41" i="8"/>
  <c r="L11" i="8"/>
  <c r="K15" i="8"/>
  <c r="O26" i="8"/>
  <c r="L46" i="8"/>
  <c r="O42" i="8"/>
  <c r="M4" i="8"/>
  <c r="L24" i="8"/>
  <c r="L37" i="8"/>
  <c r="L39" i="8"/>
  <c r="K33" i="8"/>
  <c r="K31" i="8"/>
  <c r="M14" i="8"/>
  <c r="L20" i="8"/>
  <c r="K26" i="8"/>
  <c r="O31" i="8"/>
  <c r="O7" i="8"/>
  <c r="N13" i="8"/>
  <c r="N45" i="8"/>
  <c r="M25" i="8"/>
  <c r="L33" i="8"/>
  <c r="L9" i="8"/>
  <c r="K13" i="8"/>
  <c r="O24" i="8"/>
  <c r="K46" i="8"/>
  <c r="O40" i="8"/>
  <c r="L10" i="8"/>
  <c r="L13" i="8"/>
  <c r="B7" i="5" l="1"/>
  <c r="D6" i="5"/>
  <c r="D5" i="5"/>
  <c r="B4" i="5"/>
  <c r="F6" i="5"/>
  <c r="B6" i="5"/>
  <c r="F5" i="5"/>
  <c r="B5" i="5"/>
  <c r="F7" i="5"/>
  <c r="F4" i="5"/>
  <c r="F9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tc={A3D7F953-F5A4-4C08-B7C3-91AF731411A9}</author>
    <author>tc={E1533196-8942-4BBD-9B01-EC0F365D9540}</author>
    <author>tc={E22427E5-F216-4C60-9836-878B608FCEA4}</author>
    <author>tc={DC87FCCA-570C-40DB-9949-0047CFCE88D4}</author>
    <author>tc={92B9101B-A28C-4B74-B5F5-A2EE2C6214CD}</author>
    <author>tc={BBB806C6-9A1A-4C37-8D6A-C474815C4D36}</author>
    <author>tc={D042DC6F-4EA9-4529-9112-06B1C40EC027}</author>
    <author>tc={D9E36DC2-D85F-49AC-931E-CB4DC46E7216}</author>
    <author>tc={857562E3-D459-42F6-B9BB-202FF5F2E8F5}</author>
    <author>tc={E70BE9E3-D598-4092-8EEA-B8EC1F66AE38}</author>
    <author>tc={9CC0E51F-62BD-461D-A082-3FB6C9E99512}</author>
    <author>tc={59C57B87-92D3-41C6-9DE0-E6B7C1FC3F7E}</author>
    <author>tc={5F3AD747-C21B-4884-8CF1-50B458D0EF21}</author>
    <author>tc={7D482180-99B7-43A9-B43F-E421E964D434}</author>
    <author>tc={72592CA7-3995-4897-A78B-95D0C841208F}</author>
    <author>tc={AEB0CC20-5A23-48D4-BFCC-0A35D03A290C}</author>
    <author>tc={E0AB931D-1264-4C0D-BDE1-5786FA3403D5}</author>
    <author>tc={F6055863-2DFF-4154-B035-D13DFA65909D}</author>
    <author>tc={4DA44809-3F70-4C5D-80AB-A81A36451D06}</author>
    <author>tc={D0D398E5-AFA5-4122-9345-F2E7F8335C04}</author>
    <author>Vinh Thiem Ma</author>
    <author>tc={27E81DBE-B10A-498D-B9F1-ABFC15AB2210}</author>
    <author>tc={CC0E73E0-DB0D-413D-88DF-A532C1AE61BE}</author>
  </authors>
  <commentList>
    <comment ref="A10" authorId="0" shapeId="0" xr:uid="{A3D7F953-F5A4-4C08-B7C3-91AF731411A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if no, otherwise, “upload”, “email”, “draw” depending on the option they select.
Give us a reference point if we look at it in the future and maps are missing</t>
      </text>
    </comment>
    <comment ref="A12" authorId="1" shapeId="0" xr:uid="{E1533196-8942-4BBD-9B01-EC0F365D95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pass per client through API:
Pass 1 (GAF) - over 600mm vs not
Pass 2 (PF TW) - According to Evapotranspiration/rainfall ratio req per Section 3.D.b.2 of NGGI 2022 report
https://www.dcceew.gov.au/sites/default/files/documents/national-inventory-report-2022-volume-1.pdf
  </t>
      </text>
    </comment>
    <comment ref="A17" authorId="2" shapeId="0" xr:uid="{E22427E5-F216-4C60-9836-878B608FCEA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Et/P and then pushed through to API</t>
      </text>
    </comment>
    <comment ref="B20" authorId="3" shapeId="0" xr:uid="{DC87FCCA-570C-40DB-9949-0047CFCE88D4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all software as inputted into questionnaire</t>
      </text>
    </comment>
    <comment ref="A23" authorId="4" shapeId="0" xr:uid="{92B9101B-A28C-4B74-B5F5-A2EE2C6214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 from back of questionnaire </t>
      </text>
    </comment>
    <comment ref="A26" authorId="5" shapeId="0" xr:uid="{BBB806C6-9A1A-4C37-8D6A-C474815C4D3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forms part of the QA - if plantings post 1990 is yes then trigger for use to implement next stage collection of vegetation data</t>
      </text>
    </comment>
    <comment ref="A30" authorId="6" shapeId="0" xr:uid="{D042DC6F-4EA9-4529-9112-06B1C40EC02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yes, populate from questionnaire answer</t>
      </text>
    </comment>
    <comment ref="B36" authorId="7" shapeId="0" xr:uid="{D9E36DC2-D85F-49AC-931E-CB4DC46E721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based on above</t>
      </text>
    </comment>
    <comment ref="B40" authorId="8" shapeId="0" xr:uid="{857562E3-D459-42F6-B9BB-202FF5F2E8F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diesel calc</t>
      </text>
    </comment>
    <comment ref="B44" authorId="9" shapeId="0" xr:uid="{E70BE9E3-D598-4092-8EEA-B8EC1F66AE3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diesel and petrol</t>
      </text>
    </comment>
    <comment ref="A46" authorId="10" shapeId="0" xr:uid="{9CC0E51F-62BD-461D-A082-3FB6C9E9951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Checking that this will be populated based on survey completion, not sitting as a standard list across inventory?
Reply:
    If populated only based on survey input, will aid in allocation manual entry and linkage to other tabs in this workbook</t>
      </text>
    </comment>
    <comment ref="D46" authorId="11" shapeId="0" xr:uid="{59C57B87-92D3-41C6-9DE0-E6B7C1FC3F7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future consideration of hay</t>
      </text>
    </comment>
    <comment ref="F46" authorId="12" shapeId="0" xr:uid="{5F3AD747-C21B-4884-8CF1-50B458D0EF21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questionnaire</t>
      </text>
    </comment>
    <comment ref="G46" authorId="13" shapeId="0" xr:uid="{7D482180-99B7-43A9-B43F-E421E964D434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questionnaire</t>
      </text>
    </comment>
    <comment ref="H46" authorId="14" shapeId="0" xr:uid="{72592CA7-3995-4897-A78B-95D0C841208F}">
      <text>
        <t>[Threaded comment]
Your version of Excel allows you to read this threaded comment; however, any edits to it will get removed if the file is opened in a newer version of Excel. Learn more: https://go.microsoft.com/fwlink/?linkid=870924
Comment:
    Ha burnt/ ha sown
Manual calculation - formulas here</t>
      </text>
    </comment>
    <comment ref="I46" authorId="15" shapeId="0" xr:uid="{AEB0CC20-5A23-48D4-BFCC-0A35D03A2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Flagging for non-GAFF approach and ahead of m whinge to AIA</t>
      </text>
    </comment>
    <comment ref="J46" authorId="16" shapeId="0" xr:uid="{E0AB931D-1264-4C0D-BDE1-5786FA3403D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to be based on area sown to crop
Reply:
    Input formulas here Vinh but I have highlighted it so user can change if necessary</t>
      </text>
    </comment>
    <comment ref="K46" authorId="17" shapeId="0" xr:uid="{F6055863-2DFF-4154-B035-D13DFA65909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here based on area sown to each crop</t>
      </text>
    </comment>
    <comment ref="L46" authorId="18" shapeId="0" xr:uid="{4DA44809-3F70-4C5D-80AB-A81A36451D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here based on area sown to each crop</t>
      </text>
    </comment>
    <comment ref="M46" authorId="19" shapeId="0" xr:uid="{D0D398E5-AFA5-4122-9345-F2E7F833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here based on area sown to each crop</t>
      </text>
    </comment>
    <comment ref="N46" authorId="20" shapeId="0" xr:uid="{E651BE71-F5AA-453E-B164-4B03E2C1F061}">
      <text>
        <r>
          <rPr>
            <b/>
            <sz val="9"/>
            <color indexed="81"/>
            <rFont val="Tahoma"/>
            <family val="2"/>
          </rPr>
          <t>Vinh Thiem Ma:</t>
        </r>
        <r>
          <rPr>
            <sz val="9"/>
            <color indexed="81"/>
            <rFont val="Tahoma"/>
            <family val="2"/>
          </rPr>
          <t xml:space="preserve">
Refer to "Fuel Formla &amp; Constant" sheet for the baseline</t>
        </r>
      </text>
    </comment>
    <comment ref="R46" authorId="21" shapeId="0" xr:uid="{27E81DBE-B10A-498D-B9F1-ABFC15AB2210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I mention I dislike this immensely?
- We have four choices:
1. Allocate based on number of commodities (i.e., four crops = 25% to each)
2. Allocated based on area sown (i.e. 2 crops 400ha a 600 ha b - then 40% and 600% respectively)
3. Allocate based on yield
4. No allocation (all to 0%)
Reply:
    I’m tempted assign all to 0 and we can add on our own calculations into the report. I take great issue with these subjective allocation decisions. Can you trial assigned  0% and see if it works?</t>
      </text>
    </comment>
    <comment ref="N47" authorId="22" shapeId="0" xr:uid="{CC0E73E0-DB0D-413D-88DF-A532C1AE61BE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link to whatever answer they provide in the vegetation answer for “soil type” - make a generalisation based on that
Reply:
    Leave here though so can change manually if deem necessary
Reply:
    Ie. If soil type = x then soil = light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tc={39F8F570-365B-4EA6-885F-FB38CE70398E}</author>
  </authors>
  <commentList>
    <comment ref="A25" authorId="0" shapeId="0" xr:uid="{39F8F570-365B-4EA6-885F-FB38CE70398E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either do a y/n or we can do 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Vinh Thiem Ma</author>
  </authors>
  <commentList>
    <comment ref="G1" authorId="0" shapeId="0" xr:uid="{E4EC4417-7B43-410C-BD0D-6BD2970D753D}">
      <text>
        <r>
          <rPr>
            <b/>
            <sz val="9"/>
            <color indexed="81"/>
            <rFont val="Tahoma"/>
            <family val="2"/>
          </rPr>
          <t>Vinh Thiem Ma:</t>
        </r>
        <r>
          <rPr>
            <sz val="9"/>
            <color indexed="81"/>
            <rFont val="Tahoma"/>
            <family val="2"/>
          </rPr>
          <t xml:space="preserve">
Refers to the height at which the crop was cut</t>
        </r>
      </text>
    </comment>
    <comment ref="I1" authorId="0" shapeId="0" xr:uid="{CAB7D27E-9BD0-43AF-B8EA-BF18C3E8D33F}">
      <text>
        <r>
          <rPr>
            <b/>
            <sz val="9"/>
            <color indexed="81"/>
            <rFont val="Tahoma"/>
            <family val="2"/>
          </rPr>
          <t>Vinh Thiem Ma:</t>
        </r>
        <r>
          <rPr>
            <sz val="9"/>
            <color indexed="81"/>
            <rFont val="Tahoma"/>
            <family val="2"/>
          </rPr>
          <t xml:space="preserve">
Refer to tab 4 in "Fuel Formula &amp; Constant" sheet for indicators
</t>
        </r>
      </text>
    </comment>
    <comment ref="J1" authorId="0" shapeId="0" xr:uid="{20102C38-918D-43CD-B339-208427FF61FF}">
      <text>
        <r>
          <rPr>
            <b/>
            <sz val="9"/>
            <color indexed="81"/>
            <rFont val="Tahoma"/>
            <family val="2"/>
          </rPr>
          <t xml:space="preserve">Vinh Thiem Ma:
</t>
        </r>
        <r>
          <rPr>
            <sz val="9"/>
            <color indexed="81"/>
            <rFont val="Tahoma"/>
            <family val="2"/>
          </rPr>
          <t>For hay production only, refer to the engine power of the baler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tc={FD4A9597-2781-47F5-BCFE-B003297C3228}</author>
    <author>tc={2DB52CDB-938D-42BC-80CA-67E29CEE4F92}</author>
    <author>tc={33E57C6E-D369-4D68-82B1-52A9A6281A52}</author>
    <author>tc={515FEC9A-DD2F-46BD-AAE2-5F992DB1FE36}</author>
    <author>tc={23F8D9CC-4C9E-498A-8AF1-71123E2DCAED}</author>
    <author>tc={D9A1FBA8-A391-47C5-A04E-CB9171FEA719}</author>
    <author>tc={E98FDAD1-DFAE-437B-B87A-DED51861162E}</author>
  </authors>
  <commentList>
    <comment ref="A1" authorId="0" shapeId="0" xr:uid="{FD4A9597-2781-47F5-BCFE-B003297C32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Columns A-C link from Questionnaire
Reply:
    Actually, I think we need a 2 step process here. 
Client draws map - we review and draw up table for them to complete based on what they have drawn up. Table has:
Planting
Planting date
Species
Soil
Reply:
    Then the output of that gets inputted into inventory here. Otherwise too much risk of error and wont collect sufficient data</t>
      </text>
    </comment>
    <comment ref="B1" authorId="1" shapeId="0" xr:uid="{2DB52CDB-938D-42BC-80CA-67E29CEE4F9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make sure all species listed in AIA documentation are in questionnaire</t>
      </text>
    </comment>
    <comment ref="D1" authorId="2" shapeId="0" xr:uid="{33E57C6E-D369-4D68-82B1-52A9A6281A5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make sure questionnaire has all soil type options per AIA documentation not GAFF as GAFF has far less</t>
      </text>
    </comment>
    <comment ref="E1" authorId="3" shapeId="0" xr:uid="{515FEC9A-DD2F-46BD-AAE2-5F992DB1FE36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this be manual out of .shp files?</t>
      </text>
    </comment>
    <comment ref="G1" authorId="4" shapeId="0" xr:uid="{23F8D9CC-4C9E-498A-8AF1-71123E2DCAED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Manual? Post questionnaire completion? 
Reply:
    Calc from planting year inputted in column F but collected in Stage 2 vegetation data collection</t>
      </text>
    </comment>
    <comment ref="H1" authorId="5" shapeId="0" xr:uid="{D9A1FBA8-A391-47C5-A04E-CB9171FEA719}">
      <text>
        <t>[Threaded comment]
Your version of Excel allows you to read this threaded comment; however, any edits to it will get removed if the file is opened in a newer version of Excel. Learn more: https://go.microsoft.com/fwlink/?linkid=870924
Comment:
    Gah I detest GAFFs approach to this - so wrong</t>
      </text>
    </comment>
    <comment ref="I1" authorId="6" shapeId="0" xr:uid="{E98FDAD1-DFAE-437B-B87A-DED51861162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assumptions will the same per plantings. This will reflect the broader assumption that we want to treat sequestration numbers as one, not per planting.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<sst xmlns="http://schemas.openxmlformats.org/spreadsheetml/2006/main" count="1510" uniqueCount="912">
  <si>
    <t>Type</t>
  </si>
  <si>
    <t>Unit</t>
  </si>
  <si>
    <t>Source</t>
  </si>
  <si>
    <t>CO2</t>
  </si>
  <si>
    <t>N2O</t>
  </si>
  <si>
    <t>CH4</t>
  </si>
  <si>
    <t>N SYNTHETIC FERTILISER</t>
  </si>
  <si>
    <t>Non-irrigated pasture</t>
  </si>
  <si>
    <t>kg N2O-N/kg N</t>
  </si>
  <si>
    <t>NGGI</t>
  </si>
  <si>
    <t>Non-irrigated crop</t>
  </si>
  <si>
    <t>MANURE MGT SYSTEMS</t>
  </si>
  <si>
    <t>Pasture range and paddock</t>
  </si>
  <si>
    <t>kg N2O-N / kg N excreted</t>
  </si>
  <si>
    <t>ANIMAL</t>
  </si>
  <si>
    <t xml:space="preserve">Urinary N </t>
  </si>
  <si>
    <t>kg N2O/kg N in Urine</t>
  </si>
  <si>
    <t>Faecal N</t>
  </si>
  <si>
    <t>kg N2O/kg N in faeces</t>
  </si>
  <si>
    <t>LEACHING AND RUNOFF</t>
  </si>
  <si>
    <t>kg N2O/ kg N lost thru leaching and runoff</t>
  </si>
  <si>
    <t>VOLATILISATION</t>
  </si>
  <si>
    <t>Synthetic N fertiliser</t>
  </si>
  <si>
    <t>kg N2O/kg N in fertilisers</t>
  </si>
  <si>
    <t>IPCC &amp; Debbie and NGGI (confirm 0.01 vs 0.08)</t>
  </si>
  <si>
    <t>Animal</t>
  </si>
  <si>
    <t>CROP/PASTURE RESIDUE</t>
  </si>
  <si>
    <t>kg N2O/kg N in residue</t>
  </si>
  <si>
    <t>NITROGEN FIXING CROP/PASTURE</t>
  </si>
  <si>
    <t>kg N2O/kg N fixed</t>
  </si>
  <si>
    <t>UREA HYDROLYSIS</t>
  </si>
  <si>
    <t>kg CO2-C/kg Urea</t>
  </si>
  <si>
    <t xml:space="preserve">IPCC </t>
  </si>
  <si>
    <t>CHEMICAL (pasture,crop)</t>
  </si>
  <si>
    <t>Glyphosate</t>
  </si>
  <si>
    <t>kg gas/kg AI</t>
  </si>
  <si>
    <t>Simapo</t>
  </si>
  <si>
    <t>2,4-D</t>
  </si>
  <si>
    <t>Simapro</t>
  </si>
  <si>
    <t>Alpha scud</t>
  </si>
  <si>
    <t>insecticide as proxy</t>
  </si>
  <si>
    <t>Regents</t>
  </si>
  <si>
    <t>Single super P</t>
  </si>
  <si>
    <t>kg gas/kg</t>
  </si>
  <si>
    <t>Big Phos Mn</t>
  </si>
  <si>
    <t>Manganese sulphate</t>
  </si>
  <si>
    <t>MAP</t>
  </si>
  <si>
    <t>Ammonium sulphate</t>
  </si>
  <si>
    <t>Calcium sulphate (gypsum)</t>
  </si>
  <si>
    <t>Zinc oxid</t>
  </si>
  <si>
    <t>Copper oxide</t>
  </si>
  <si>
    <t>Phosphate rock (proxy for P obtainec from calcium phosphate)</t>
  </si>
  <si>
    <t>DAP</t>
  </si>
  <si>
    <t>Moly</t>
  </si>
  <si>
    <t>Flexi N</t>
  </si>
  <si>
    <t>Ammonium nitrate</t>
  </si>
  <si>
    <t>Urea</t>
  </si>
  <si>
    <t>Dolomite</t>
  </si>
  <si>
    <t>CHEMICAL (livestock)</t>
  </si>
  <si>
    <t>Vibrovax</t>
  </si>
  <si>
    <t>Chemical organic as proxy</t>
  </si>
  <si>
    <t>Pestigard</t>
  </si>
  <si>
    <t>B12 selenium</t>
  </si>
  <si>
    <t>Selenium</t>
  </si>
  <si>
    <t>Chemicals organic as proxy</t>
  </si>
  <si>
    <t>Drench</t>
  </si>
  <si>
    <t>Chemicals inorganic as proxy</t>
  </si>
  <si>
    <t>Diesel production</t>
  </si>
  <si>
    <t>Farm machinery production</t>
  </si>
  <si>
    <t>kg gas/USD</t>
  </si>
  <si>
    <t>USA Input/Output database</t>
  </si>
  <si>
    <t>Diesel usage on-farm (combustion)</t>
  </si>
  <si>
    <t>kg CO2/GJ</t>
  </si>
  <si>
    <t>NGGI 2017</t>
  </si>
  <si>
    <t>FEED</t>
  </si>
  <si>
    <t>Hay</t>
  </si>
  <si>
    <t>Pellets</t>
  </si>
  <si>
    <t>kg CO2e/kg</t>
  </si>
  <si>
    <t>Calculated from ingredients</t>
  </si>
  <si>
    <t>Lupins</t>
  </si>
  <si>
    <t>trace element 1</t>
  </si>
  <si>
    <t>trace element pre mix as proxy</t>
  </si>
  <si>
    <t>trace element 2</t>
  </si>
  <si>
    <t>S3a - urea</t>
  </si>
  <si>
    <t>S3a - molasses</t>
  </si>
  <si>
    <t>S3a - Salt</t>
  </si>
  <si>
    <t>S3a - Dolomite</t>
  </si>
  <si>
    <t>SEED</t>
  </si>
  <si>
    <t>Panic</t>
  </si>
  <si>
    <t>Grass as proxy</t>
  </si>
  <si>
    <t>Tag</t>
  </si>
  <si>
    <t>Gras as proxy</t>
  </si>
  <si>
    <t>Rhodes</t>
  </si>
  <si>
    <t>Seradella</t>
  </si>
  <si>
    <t>Clover as proxy</t>
  </si>
  <si>
    <t>TRANSPORT</t>
  </si>
  <si>
    <t>Ship</t>
  </si>
  <si>
    <t>kg gas/tkm</t>
  </si>
  <si>
    <t>Truck  28t +</t>
  </si>
  <si>
    <t>Per all inventories in Simparo</t>
  </si>
  <si>
    <t>Truck retailer to farm</t>
  </si>
  <si>
    <t>Per inventory in Simapro</t>
  </si>
  <si>
    <t>Ute/4wd</t>
  </si>
  <si>
    <t>Simazine</t>
  </si>
  <si>
    <t>Product</t>
  </si>
  <si>
    <t>N</t>
  </si>
  <si>
    <t>P</t>
  </si>
  <si>
    <t>K</t>
  </si>
  <si>
    <t>Location</t>
  </si>
  <si>
    <t>Crop type</t>
  </si>
  <si>
    <t>Wheat</t>
  </si>
  <si>
    <t>Barley</t>
  </si>
  <si>
    <t>Canola</t>
  </si>
  <si>
    <t>Oats</t>
  </si>
  <si>
    <t>Triticale</t>
  </si>
  <si>
    <t>Field Peas</t>
  </si>
  <si>
    <t>Chick Peas</t>
  </si>
  <si>
    <t>Faba Beans</t>
  </si>
  <si>
    <t>Lentils</t>
  </si>
  <si>
    <t>Other Grains</t>
  </si>
  <si>
    <t>Average grain yield (t/ha)</t>
  </si>
  <si>
    <t>Non-Urea Nitrogen Applied (kg N/ha)</t>
  </si>
  <si>
    <t>Potassium Applied (kg K/ha)</t>
  </si>
  <si>
    <t>Phosphorus Applied (kg P/ha)</t>
  </si>
  <si>
    <t>Sulfur Applied (kg S/ha)</t>
  </si>
  <si>
    <t>Urea Applied (kg Urea/ha)</t>
  </si>
  <si>
    <t>Urea-Ammonium Nitrate (UAN) (kg product/ha)</t>
  </si>
  <si>
    <t>Product (e.g. DAP, Urea)</t>
  </si>
  <si>
    <t>Mix % (if applicable)</t>
  </si>
  <si>
    <t>Applied to crop</t>
  </si>
  <si>
    <t>kg P</t>
  </si>
  <si>
    <t>kg K</t>
  </si>
  <si>
    <t>Area sown (ha)</t>
  </si>
  <si>
    <t>Kg Non-urea N</t>
  </si>
  <si>
    <t>Kg Urea N</t>
  </si>
  <si>
    <t>Kg UAN N</t>
  </si>
  <si>
    <t>kg S</t>
  </si>
  <si>
    <t>S</t>
  </si>
  <si>
    <t>Nutrien</t>
  </si>
  <si>
    <t>Summit</t>
  </si>
  <si>
    <t>CSBP</t>
  </si>
  <si>
    <t>Whitfert</t>
  </si>
  <si>
    <t>Urea/UAN</t>
  </si>
  <si>
    <t>Mass of Lime Applied (total tonnes)</t>
  </si>
  <si>
    <t>Fraction of Lime/Dolomite</t>
  </si>
  <si>
    <t>Annual Diesel Consumption (litres/year)</t>
  </si>
  <si>
    <t>Annual Pertol Use (litres/year)</t>
  </si>
  <si>
    <t>% of electricity from renewable source</t>
  </si>
  <si>
    <t>General Herbicide/Pesticide use (kg a.i. per crop)</t>
  </si>
  <si>
    <t>Herbicide (Paraquat, Diquat, Glyphoste) (kg a.i. per crop)</t>
  </si>
  <si>
    <t>Tonnes</t>
  </si>
  <si>
    <t>Products</t>
  </si>
  <si>
    <t>Amistar Xtra</t>
  </si>
  <si>
    <t>Fungicide</t>
  </si>
  <si>
    <t>https://www.syngenta.com.au/amistar-xtra</t>
  </si>
  <si>
    <t>Active ingredient unit (g/L)</t>
  </si>
  <si>
    <t>Azoxystrobin</t>
  </si>
  <si>
    <t>Cyproconazole</t>
  </si>
  <si>
    <t>Folicur 430 SC</t>
  </si>
  <si>
    <t>https://www.pestgenie.com.au/label/bcs/FOLICUR%20430%20SC_12107747.pdf</t>
  </si>
  <si>
    <t>Tebuconazole</t>
  </si>
  <si>
    <t>Intake Hiload Gold In-furrow</t>
  </si>
  <si>
    <t>https://cdn.nufarm.com/wp-content/uploads/sites/22/2018/05/21102916/5197-IntakeHiloadGold-22Aug2017.pdf</t>
  </si>
  <si>
    <t>Flutriafol</t>
  </si>
  <si>
    <t>Atrazine 900 WDG</t>
  </si>
  <si>
    <t>Herbicide</t>
  </si>
  <si>
    <t>https://www.genfarm.com.au/crop-protection/herbicides/genfarm-atrazine-900-wg-herbicide</t>
  </si>
  <si>
    <t>Atrazine</t>
  </si>
  <si>
    <t>Active ingredient unit (g/kg)</t>
  </si>
  <si>
    <t>Clethodim</t>
  </si>
  <si>
    <t>Clethodim 240 EC</t>
  </si>
  <si>
    <t>https://www.genfarm.com.au/crop-protection/herbicides/genfarm-clethodim-240ec-selective-herbicide</t>
  </si>
  <si>
    <t>Garlon 600</t>
  </si>
  <si>
    <t>Triclopyr</t>
  </si>
  <si>
    <t>https://corteva.showpad.com/share/0aTwfCiXvnqsfpYV1eABn</t>
  </si>
  <si>
    <t>Glyphosate 540</t>
  </si>
  <si>
    <t>https://specialistsales.com.au/shop/woody-weeds/woody-weed-herbicides/liquid-chemicals/knockout-pro-540-herbicide-glyphosate/?srsltid=AfmBOor4l_1bmY8kI3rlSr5JOVpzgK40xLoAj8FSkK4WZ3h_4r5r5UCN</t>
  </si>
  <si>
    <t>Gramoxone 250</t>
  </si>
  <si>
    <t>Paraquat</t>
  </si>
  <si>
    <t>https://www.syngenta.com.au/product/crop-protection/gramoxone-250</t>
  </si>
  <si>
    <t>LV Ester 680</t>
  </si>
  <si>
    <t>2, 4-D</t>
  </si>
  <si>
    <t>https://nufarm.com/au/product/estercide-xtra-680/?gad_source=1&amp;gclid=CjwKCAjw9p24BhB_EiwA8ID5BpxlDqsJjUzbRMw73mMinA1309I8ptx6u7ZFUYpBS8S0Ws5uKyjgORoCgcsQAvD_BwE&amp;gclsrc=aw.ds</t>
  </si>
  <si>
    <t>Longran B-Power</t>
  </si>
  <si>
    <t>Butafenacil +</t>
  </si>
  <si>
    <t>Triasulfuron</t>
  </si>
  <si>
    <t>https://www.syngenta.com.au/product/crop-protection/logran-b-power</t>
  </si>
  <si>
    <t>Lontrel 750 SG</t>
  </si>
  <si>
    <t>Clopyralid</t>
  </si>
  <si>
    <t>https://www.corteva.com.au/products-and-solutions/crop-protection/lontrel-750sg.html</t>
  </si>
  <si>
    <t>Quizalofop P ethyl 200</t>
  </si>
  <si>
    <t>Quizalofop-P-Ethyl</t>
  </si>
  <si>
    <t>https://www.titanag.com.au/wp-content/uploads/2021/05/TITAN_Quizalofop-P-Ethyl_200_PM.pdf</t>
  </si>
  <si>
    <t>Roundup CT Broadacre</t>
  </si>
  <si>
    <t>https://www.sinochem.com.au/wp-content/uploads/2015/07/Roundup-CT_WebLabel_V2.0.pdf</t>
  </si>
  <si>
    <t>Sakura 850 WG</t>
  </si>
  <si>
    <t>Pyroxasulfone</t>
  </si>
  <si>
    <t>https://www.crop.bayer.com.au/products/herbicides/sakura-850-wg-herbicide</t>
  </si>
  <si>
    <t>Simazine 900 WG</t>
  </si>
  <si>
    <t>https://apparentag.com.au/documents/brochures/65158_APPARENT_SIMAZINE_900_WG_HERBICIDE_Booklet_1.pdf</t>
  </si>
  <si>
    <t>Tigrex Selective</t>
  </si>
  <si>
    <t>MCPA</t>
  </si>
  <si>
    <t>https://www.crop.bayer.com.au/products/herbicides/tigrex-selective-herbicide</t>
  </si>
  <si>
    <t>Diflufenican</t>
  </si>
  <si>
    <t>Alpha Cypermethrin 100 EC</t>
  </si>
  <si>
    <t>Insecticide</t>
  </si>
  <si>
    <t>Alpha-Cypermethrin</t>
  </si>
  <si>
    <t>https://4farmers.com.au/products/insecticides/alphacypermethrin-100-ec/</t>
  </si>
  <si>
    <t>Pirimicarb 500 WG</t>
  </si>
  <si>
    <t>Pirimicarb</t>
  </si>
  <si>
    <t>https://www.imtrade.com.au/product/pirimicarb-500-wg-aphicide/</t>
  </si>
  <si>
    <t>Mouseoff Zinc Phospide Bait</t>
  </si>
  <si>
    <t>Rodenticide</t>
  </si>
  <si>
    <t>Zinc Phosphide</t>
  </si>
  <si>
    <t>https://animalcontrol.com.au/products/mouseoff-zinc-phosphide-bait-yr6ny-8gryd-pamaj</t>
  </si>
  <si>
    <t>Maxim XL</t>
  </si>
  <si>
    <t>Fludioxonil +</t>
  </si>
  <si>
    <t>Metalaxyl-M</t>
  </si>
  <si>
    <t>https://www.syngenta.com.au/product/crop-protection/maxim-xl</t>
  </si>
  <si>
    <t>Rancona C</t>
  </si>
  <si>
    <t>Ipconazole</t>
  </si>
  <si>
    <t>https://www.upl-ltd.com/au/product-details/rancona-c</t>
  </si>
  <si>
    <t>Cypermethrin</t>
  </si>
  <si>
    <t>Opus 125</t>
  </si>
  <si>
    <t>Epoxiconazole</t>
  </si>
  <si>
    <t>https://crop-solutions.basf.com.au/products/opus-125</t>
  </si>
  <si>
    <t>Glyphosate 450</t>
  </si>
  <si>
    <t>https://nufarm.com/au/product/glyphosate-450/?gad_source=1&amp;gclid=CjwKCAjw9p24BhB_EiwA8ID5BsD8j-VrPm72qPt-TnKPHpHOfV0NtWOwylvOiqKebNbLzO3noByPtBoCmBkQAvD_BwE&amp;gclsrc=aw.ds</t>
  </si>
  <si>
    <t>Nufarm Weedmaster DST</t>
  </si>
  <si>
    <t>https://nufarm.com/au/product/weedmaster-dst/?gad_source=1&amp;gclid=CjwKCAjw9p24BhB_EiwA8ID5BqiXb6348xXJpbcjjDikXVDF-f9-6rlPOQ9eoGcPsVfc-uLRyv8mXhoCTR8QAvD_BwE&amp;gclsrc=aw.ds</t>
  </si>
  <si>
    <t>Gaucho 600 Flowabale</t>
  </si>
  <si>
    <t>Imidacloprid</t>
  </si>
  <si>
    <t>https://www.crop.bayer.com.au/products/bayer-seedgrowth/gaucho-600-red-flowable-seed-dressing-insecticide</t>
  </si>
  <si>
    <t>Trifluralin 480</t>
  </si>
  <si>
    <t>Trifluralin</t>
  </si>
  <si>
    <t>https://www.genfarm.com.au/crop-protection/herbicides/genfarm-trifluralin-480-selective-herbicide</t>
  </si>
  <si>
    <t>Hombre Ultra Cereal</t>
  </si>
  <si>
    <t>https://www.crop.bayer.com.au/products/bayer-seedgrowth/hombre-ultra-cereal-seed-treatment</t>
  </si>
  <si>
    <t>https://www.genfarm.com.au/crop-protection/fungicides/genfarm-flutriafol-500-sc-fungicide</t>
  </si>
  <si>
    <t>Flutriafol 500 SC</t>
  </si>
  <si>
    <t>FMC Trojan</t>
  </si>
  <si>
    <t>Gamma-Cyhalothrin</t>
  </si>
  <si>
    <t>https://ag.fmc.com/au/en/products/insecticides-miticides/trojan-insecticide</t>
  </si>
  <si>
    <t>DuPont Targa Bolt 200</t>
  </si>
  <si>
    <t>https://elabels.apvma.gov.au/61862ELBL.pdf</t>
  </si>
  <si>
    <t>Brand name</t>
  </si>
  <si>
    <t>Active ingredient 1</t>
  </si>
  <si>
    <t>Active ingredient 2</t>
  </si>
  <si>
    <t>Active Ingredient 1</t>
  </si>
  <si>
    <t>Active Ingredient 2</t>
  </si>
  <si>
    <t>g/L</t>
  </si>
  <si>
    <t>g/Kg</t>
  </si>
  <si>
    <t>Type 1</t>
  </si>
  <si>
    <t>Type 2</t>
  </si>
  <si>
    <t>Rate (L/ha or kg/ha)</t>
  </si>
  <si>
    <t>Kg a.i. 1</t>
  </si>
  <si>
    <t>Kg a.i. 2</t>
  </si>
  <si>
    <t>Ha</t>
  </si>
  <si>
    <t>Crop Type</t>
  </si>
  <si>
    <t>Area</t>
  </si>
  <si>
    <t>Shirquat 250</t>
  </si>
  <si>
    <t>https://nufarm.com/au/product/shirquat-250/</t>
  </si>
  <si>
    <t>Diquat 200</t>
  </si>
  <si>
    <t>Diquat</t>
  </si>
  <si>
    <t>https://www.genfarm.com.au/crop-protection/herbicides/genfarm-diquat-200-non-residual-herbicide</t>
  </si>
  <si>
    <t>Active ingredient 3</t>
  </si>
  <si>
    <t>Type 3</t>
  </si>
  <si>
    <t>Active Ingredient 3</t>
  </si>
  <si>
    <t>Kg a.i. 3</t>
  </si>
  <si>
    <t>Rate (t/ha)</t>
  </si>
  <si>
    <t>ha</t>
  </si>
  <si>
    <t>Producer</t>
  </si>
  <si>
    <t>Syngenta</t>
  </si>
  <si>
    <t>Nufarm</t>
  </si>
  <si>
    <t>Genfarm</t>
  </si>
  <si>
    <t>Imtrade</t>
  </si>
  <si>
    <t>Bayer</t>
  </si>
  <si>
    <t>BASF</t>
  </si>
  <si>
    <t>UPL</t>
  </si>
  <si>
    <t>Corteva</t>
  </si>
  <si>
    <t>Conquest Crop Protection</t>
  </si>
  <si>
    <t>Titan Ag</t>
  </si>
  <si>
    <t>Sinochem</t>
  </si>
  <si>
    <t>Apparent</t>
  </si>
  <si>
    <t>4Farmers</t>
  </si>
  <si>
    <t>Animal Control Techonology</t>
  </si>
  <si>
    <t>FMC</t>
  </si>
  <si>
    <t>Du Pont</t>
  </si>
  <si>
    <t>Applied to which crop</t>
  </si>
  <si>
    <t>Area applied (ha)</t>
  </si>
  <si>
    <t>Tonnoes of dolomite</t>
  </si>
  <si>
    <t>Product (including the name of producer if able)</t>
  </si>
  <si>
    <t>Tonnes of limestone</t>
  </si>
  <si>
    <t>Fraction of the annual production of crop that is burnt (%)</t>
  </si>
  <si>
    <t>Annual Electricity Use (state Grid) (KWh)</t>
  </si>
  <si>
    <t>Yield (t/ha)</t>
  </si>
  <si>
    <t>Width (m)</t>
  </si>
  <si>
    <t>Annual passes</t>
  </si>
  <si>
    <t>Distance travelled (km/ha/yr)</t>
  </si>
  <si>
    <t>Total distance travelled (km/yr)</t>
  </si>
  <si>
    <t>Operational speed of machinery (km/hr)</t>
  </si>
  <si>
    <t>Annual operational time (hr/yr)</t>
  </si>
  <si>
    <t>Rate of fuel usage (l/hr)</t>
  </si>
  <si>
    <t>Annual fuel consumption (l/yr)</t>
  </si>
  <si>
    <t>Which Crop</t>
  </si>
  <si>
    <t>Harvester</t>
  </si>
  <si>
    <t>Seeder</t>
  </si>
  <si>
    <t>Operated area (ha)</t>
  </si>
  <si>
    <t>Number of application</t>
  </si>
  <si>
    <t>Fuel Type</t>
  </si>
  <si>
    <t>Diesel</t>
  </si>
  <si>
    <t>Region</t>
  </si>
  <si>
    <t>Tree Species</t>
  </si>
  <si>
    <t>Soil</t>
  </si>
  <si>
    <t>South West</t>
  </si>
  <si>
    <t>Pilbara</t>
  </si>
  <si>
    <t>Kimberley</t>
  </si>
  <si>
    <t>Central West</t>
  </si>
  <si>
    <t>South Coastal</t>
  </si>
  <si>
    <t>Goldfields/Eucla</t>
  </si>
  <si>
    <t>Gascoyne</t>
  </si>
  <si>
    <t>Central Wheat Belt</t>
  </si>
  <si>
    <t>Interior</t>
  </si>
  <si>
    <t>North Coast</t>
  </si>
  <si>
    <t>South Coast</t>
  </si>
  <si>
    <t>Northern Tablelands</t>
  </si>
  <si>
    <t>Southern Tablelands</t>
  </si>
  <si>
    <t>Northern Wheat/Sheep</t>
  </si>
  <si>
    <t>Southern Wheat/Sheep</t>
  </si>
  <si>
    <t>Western</t>
  </si>
  <si>
    <t>North East</t>
  </si>
  <si>
    <t>East Coast</t>
  </si>
  <si>
    <t>Central North/Midlands/South East</t>
  </si>
  <si>
    <t>Central Plateau/Derwent Valley</t>
  </si>
  <si>
    <t>West/South Coast</t>
  </si>
  <si>
    <t>North West</t>
  </si>
  <si>
    <t>South East</t>
  </si>
  <si>
    <t>Murray</t>
  </si>
  <si>
    <t>Mid-North/Flinders</t>
  </si>
  <si>
    <t>Pastoral</t>
  </si>
  <si>
    <t>West Coast/Eyre</t>
  </si>
  <si>
    <t>Mallee</t>
  </si>
  <si>
    <t>Wimmera</t>
  </si>
  <si>
    <t>Northern Country</t>
  </si>
  <si>
    <t>North East Vic</t>
  </si>
  <si>
    <t>East Gippsland</t>
  </si>
  <si>
    <t>West/South Gippsland</t>
  </si>
  <si>
    <t>Central</t>
  </si>
  <si>
    <t>South West Vic</t>
  </si>
  <si>
    <t>Central Highlands/Northern</t>
  </si>
  <si>
    <t>Central West/Flinders</t>
  </si>
  <si>
    <t>Channel Country</t>
  </si>
  <si>
    <t>Maranoa/Warrego</t>
  </si>
  <si>
    <t>Darling Downs/Burnett</t>
  </si>
  <si>
    <t>North West/Gulf</t>
  </si>
  <si>
    <t>Darwin-Daly</t>
  </si>
  <si>
    <t>Arnhem-Roper</t>
  </si>
  <si>
    <t>Victoria River-TennantCreek</t>
  </si>
  <si>
    <t>Alice Springs</t>
  </si>
  <si>
    <t>Mixed Species (Environmental Plantings)</t>
  </si>
  <si>
    <t>No tree data available</t>
  </si>
  <si>
    <t>Tasmanian Blue Gum</t>
  </si>
  <si>
    <t>Spotted Gum</t>
  </si>
  <si>
    <t>Sugar Gum</t>
  </si>
  <si>
    <t>Hoop Pine</t>
  </si>
  <si>
    <t>Sydney Blue Gum</t>
  </si>
  <si>
    <t>Dunn's White Gum</t>
  </si>
  <si>
    <t>Shining Gum</t>
  </si>
  <si>
    <t>Pinus Radiata</t>
  </si>
  <si>
    <t>Lemon-scented Gum</t>
  </si>
  <si>
    <t>Maritime Pine</t>
  </si>
  <si>
    <t>Flooded Gum</t>
  </si>
  <si>
    <t>Red Ironbark</t>
  </si>
  <si>
    <t>Radiata Pine (low input)</t>
  </si>
  <si>
    <t>Mountain Ash</t>
  </si>
  <si>
    <t>Western White Gum</t>
  </si>
  <si>
    <t>Slash Pine</t>
  </si>
  <si>
    <t>Radiata Pine (high input)</t>
  </si>
  <si>
    <t>Pinus Radiata (low input)</t>
  </si>
  <si>
    <t>Blackbutt</t>
  </si>
  <si>
    <t>Loblolly Pine</t>
  </si>
  <si>
    <t>Pinus Radiata (high input)</t>
  </si>
  <si>
    <t>Pinus Hybrids</t>
  </si>
  <si>
    <t>Loams &amp; Clays</t>
  </si>
  <si>
    <t>No Soil / Tree data available</t>
  </si>
  <si>
    <t>Coloured Sands</t>
  </si>
  <si>
    <t>Duplex</t>
  </si>
  <si>
    <t>Clay</t>
  </si>
  <si>
    <t>"Other Soils"</t>
  </si>
  <si>
    <t>Duplex Soils</t>
  </si>
  <si>
    <t>Sandy Soils</t>
  </si>
  <si>
    <t>Calcarosols</t>
  </si>
  <si>
    <t>Grey Cracking Clays</t>
  </si>
  <si>
    <t>Red Earths</t>
  </si>
  <si>
    <t>Non-cracking Clays</t>
  </si>
  <si>
    <t>Red Duplex</t>
  </si>
  <si>
    <t>Cracking Clyas</t>
  </si>
  <si>
    <t>Clays</t>
  </si>
  <si>
    <t>Clay Gidgee</t>
  </si>
  <si>
    <t>Clay (Brigalo and Belah)</t>
  </si>
  <si>
    <t>Kandosols</t>
  </si>
  <si>
    <t>Sandy Duplexes</t>
  </si>
  <si>
    <t>Clay &amp; Red Loam</t>
  </si>
  <si>
    <t>Loam</t>
  </si>
  <si>
    <t>Structured Eatsh</t>
  </si>
  <si>
    <t>Loamy Soils</t>
  </si>
  <si>
    <t>Yellow Duplex</t>
  </si>
  <si>
    <t>Gradational soils</t>
  </si>
  <si>
    <t>Open Downs</t>
  </si>
  <si>
    <t>Duplex Woodland</t>
  </si>
  <si>
    <t>Earths</t>
  </si>
  <si>
    <t>Tenosols</t>
  </si>
  <si>
    <t>Area (ha)</t>
  </si>
  <si>
    <t>Age (yrs)</t>
  </si>
  <si>
    <t>Make</t>
  </si>
  <si>
    <t>Model</t>
  </si>
  <si>
    <t>HP</t>
  </si>
  <si>
    <t>Machinery Type</t>
  </si>
  <si>
    <t>Allocation to crop</t>
  </si>
  <si>
    <t>Clay content (%)</t>
  </si>
  <si>
    <t>Light</t>
  </si>
  <si>
    <t>Soil type</t>
  </si>
  <si>
    <t>Medium</t>
  </si>
  <si>
    <t>Heavy</t>
  </si>
  <si>
    <t>Straw toughness</t>
  </si>
  <si>
    <t>Indicator</t>
  </si>
  <si>
    <t>Easy</t>
  </si>
  <si>
    <t>Very dry field peas</t>
  </si>
  <si>
    <t>Dry wheat straw</t>
  </si>
  <si>
    <t>Tough</t>
  </si>
  <si>
    <t>Damp wheat straw</t>
  </si>
  <si>
    <t>Tougher</t>
  </si>
  <si>
    <t>Damp canola, lupin straw</t>
  </si>
  <si>
    <t>Constant</t>
  </si>
  <si>
    <t>Description</t>
  </si>
  <si>
    <t>Value</t>
  </si>
  <si>
    <t>Cblr</t>
  </si>
  <si>
    <t>Ccch</t>
  </si>
  <si>
    <t>Cch</t>
  </si>
  <si>
    <t>Ceh</t>
  </si>
  <si>
    <t>Cy</t>
  </si>
  <si>
    <t>Cdrft</t>
  </si>
  <si>
    <t>Csw</t>
  </si>
  <si>
    <t>Tab 1</t>
  </si>
  <si>
    <t>Tab 2</t>
  </si>
  <si>
    <t>Tractor type</t>
  </si>
  <si>
    <t>Tractive condition</t>
  </si>
  <si>
    <t>Tilled</t>
  </si>
  <si>
    <t>Soft</t>
  </si>
  <si>
    <t>2WD</t>
  </si>
  <si>
    <t>FWA</t>
  </si>
  <si>
    <t>4WD</t>
  </si>
  <si>
    <t>Firm</t>
  </si>
  <si>
    <t>Tab 3</t>
  </si>
  <si>
    <t>Implement &amp; constant</t>
  </si>
  <si>
    <t>Disc plough</t>
  </si>
  <si>
    <t>Kdrft</t>
  </si>
  <si>
    <t>Ddept</t>
  </si>
  <si>
    <t>Sspd</t>
  </si>
  <si>
    <t>Ddepth x Sspd</t>
  </si>
  <si>
    <t>Cultivator</t>
  </si>
  <si>
    <t>Deep ripping</t>
  </si>
  <si>
    <t>Seeding: full cut and deep point</t>
  </si>
  <si>
    <t>Seeding: narrow point</t>
  </si>
  <si>
    <t>Tab 4</t>
  </si>
  <si>
    <t>Harvesting</t>
  </si>
  <si>
    <t>Conventional</t>
  </si>
  <si>
    <t>Rotary</t>
  </si>
  <si>
    <t>Mowing</t>
  </si>
  <si>
    <t>Swathing</t>
  </si>
  <si>
    <t>Operation</t>
  </si>
  <si>
    <t>Crop</t>
  </si>
  <si>
    <t>Speed (km/h)</t>
  </si>
  <si>
    <t>Depth (cm)</t>
  </si>
  <si>
    <t>Draft (kN/m)</t>
  </si>
  <si>
    <t>Crop height (m)</t>
  </si>
  <si>
    <t>Comb cut height (m)</t>
  </si>
  <si>
    <t>Engine power (kW)</t>
  </si>
  <si>
    <t>Spraying and spreading</t>
  </si>
  <si>
    <t>Cultivation and seeding</t>
  </si>
  <si>
    <t>Harvesting and swathing</t>
  </si>
  <si>
    <t>Hay production</t>
  </si>
  <si>
    <t>Fuel usage (l/ha)</t>
  </si>
  <si>
    <t>Total fuel usage (l)</t>
  </si>
  <si>
    <t>Fuel type</t>
  </si>
  <si>
    <t>Scarifier</t>
  </si>
  <si>
    <t>Harvester type</t>
  </si>
  <si>
    <t>Bale type</t>
  </si>
  <si>
    <t>Small square</t>
  </si>
  <si>
    <t>Large square</t>
  </si>
  <si>
    <t>Round</t>
  </si>
  <si>
    <t>Cbt_small</t>
  </si>
  <si>
    <t>Cbt_large</t>
  </si>
  <si>
    <t>Cbt_round</t>
  </si>
  <si>
    <t>Cultivation &amp; seeding implement</t>
  </si>
  <si>
    <t>Harvesting Rotary</t>
  </si>
  <si>
    <t>electricityAllocation</t>
  </si>
  <si>
    <t>Form</t>
  </si>
  <si>
    <t>Agflow</t>
  </si>
  <si>
    <t>Agflow Boost</t>
  </si>
  <si>
    <t>Agflow Copper</t>
  </si>
  <si>
    <t>Agflow Copper Zinc</t>
  </si>
  <si>
    <t>Agflow Copper Zinc Moly</t>
  </si>
  <si>
    <t>Agflow Extra</t>
  </si>
  <si>
    <t>Agflow Mn</t>
  </si>
  <si>
    <t>Agflow Trace</t>
  </si>
  <si>
    <t>Agflow Zinc</t>
  </si>
  <si>
    <t>AgNP</t>
  </si>
  <si>
    <t>Agras</t>
  </si>
  <si>
    <t>Agras Copper</t>
  </si>
  <si>
    <t>Agras Copper Zinc</t>
  </si>
  <si>
    <t>Agras Copper Zinc Moly</t>
  </si>
  <si>
    <t>Agras Extra</t>
  </si>
  <si>
    <t>Agras Zinc</t>
  </si>
  <si>
    <t>Agstar</t>
  </si>
  <si>
    <t>Agstar Boost</t>
  </si>
  <si>
    <t>Agstar Copper</t>
  </si>
  <si>
    <t>Agstar Copper Zinc</t>
  </si>
  <si>
    <t>Agstar Copper Zinc Moly</t>
  </si>
  <si>
    <t>Agstar Extra</t>
  </si>
  <si>
    <t>Agstar Mn</t>
  </si>
  <si>
    <t>Agstar Trace</t>
  </si>
  <si>
    <t>Agstar Zinc</t>
  </si>
  <si>
    <t>AllMAP</t>
  </si>
  <si>
    <t>AllMAP &amp; Zn</t>
  </si>
  <si>
    <t>AllRich</t>
  </si>
  <si>
    <t>AllRich TE</t>
  </si>
  <si>
    <t>AllStar</t>
  </si>
  <si>
    <t>AMSUL</t>
  </si>
  <si>
    <t>Autumn Starter</t>
  </si>
  <si>
    <t>Autumn Starter TE</t>
  </si>
  <si>
    <t>Autumnburst</t>
  </si>
  <si>
    <t>Autumnburst Plus</t>
  </si>
  <si>
    <t>Big Phos</t>
  </si>
  <si>
    <t>Bulk N</t>
  </si>
  <si>
    <t>CBH Gold</t>
  </si>
  <si>
    <t>CBH Gold CZ</t>
  </si>
  <si>
    <t>CBH Gold Extra</t>
  </si>
  <si>
    <t>CBH Pro</t>
  </si>
  <si>
    <t>CBH Pro CZ</t>
  </si>
  <si>
    <t>CBH Pro Extra</t>
  </si>
  <si>
    <t>Cereal</t>
  </si>
  <si>
    <t>CropBuilder12</t>
  </si>
  <si>
    <t>CropBuilder12 Trace</t>
  </si>
  <si>
    <t>CropBuilder14</t>
  </si>
  <si>
    <t>CropBuilder14 Trace</t>
  </si>
  <si>
    <t>CropBuilder16</t>
  </si>
  <si>
    <t>CropBuilder16 Trace</t>
  </si>
  <si>
    <t>CropBuilder18</t>
  </si>
  <si>
    <t>CropBuilder18 Trace</t>
  </si>
  <si>
    <t>CropBuilder9</t>
  </si>
  <si>
    <t>CropBuilder9 Trace</t>
  </si>
  <si>
    <t>CropGold</t>
  </si>
  <si>
    <t>CropRich</t>
  </si>
  <si>
    <t>CropRite</t>
  </si>
  <si>
    <t>CropStar</t>
  </si>
  <si>
    <t>CropYield</t>
  </si>
  <si>
    <t>DAP CuZn</t>
  </si>
  <si>
    <t>DAP CZ</t>
  </si>
  <si>
    <t>DAP Plus</t>
  </si>
  <si>
    <t>DAP Special</t>
  </si>
  <si>
    <t>DAP TE</t>
  </si>
  <si>
    <t>DAP Trace</t>
  </si>
  <si>
    <t>DAPStar</t>
  </si>
  <si>
    <t>DAPStar Extra</t>
  </si>
  <si>
    <t>DAPStar TE</t>
  </si>
  <si>
    <t>DAPSZC</t>
  </si>
  <si>
    <t>Double Phos Premium</t>
  </si>
  <si>
    <t>Double Super</t>
  </si>
  <si>
    <t>Double Super TE</t>
  </si>
  <si>
    <t>Econo graze</t>
  </si>
  <si>
    <t>ESN</t>
  </si>
  <si>
    <t>EzyFlow Nano Calbud</t>
  </si>
  <si>
    <t>GransSOA</t>
  </si>
  <si>
    <t>GranSULAM</t>
  </si>
  <si>
    <t>Granulock Z</t>
  </si>
  <si>
    <t>Granulock SS</t>
  </si>
  <si>
    <t>Grazeburst</t>
  </si>
  <si>
    <t>GustoGold</t>
  </si>
  <si>
    <t>GustoRich</t>
  </si>
  <si>
    <t>GustoRite</t>
  </si>
  <si>
    <t>GustoStar</t>
  </si>
  <si>
    <t>Hay Silage</t>
  </si>
  <si>
    <t>Hayburst</t>
  </si>
  <si>
    <t>Horti Phos</t>
  </si>
  <si>
    <t>Horticulture Special</t>
  </si>
  <si>
    <t>Irrigation</t>
  </si>
  <si>
    <t>K-Start 10</t>
  </si>
  <si>
    <t>K-Start 12</t>
  </si>
  <si>
    <t>K-Start 14</t>
  </si>
  <si>
    <t>K-Start 16</t>
  </si>
  <si>
    <t>K-Till Boost</t>
  </si>
  <si>
    <t>K-Till Copper</t>
  </si>
  <si>
    <t>K-Till Extra</t>
  </si>
  <si>
    <t>K-Till Extra Plus</t>
  </si>
  <si>
    <t>K-Till Manganese</t>
  </si>
  <si>
    <t>K-Till Plus</t>
  </si>
  <si>
    <t>K-Till Trace</t>
  </si>
  <si>
    <t>Legume</t>
  </si>
  <si>
    <t>Legume K</t>
  </si>
  <si>
    <t>Legume Plus</t>
  </si>
  <si>
    <t/>
  </si>
  <si>
    <t>MacroPro Boost</t>
  </si>
  <si>
    <t>MacroPro Copper</t>
  </si>
  <si>
    <t>MacroPro Extra</t>
  </si>
  <si>
    <t>MacroPro Manganese</t>
  </si>
  <si>
    <t>MacroPro Max</t>
  </si>
  <si>
    <t>MacroPro Plus</t>
  </si>
  <si>
    <t>Mallee Extra</t>
  </si>
  <si>
    <t>Mallee Manganese</t>
  </si>
  <si>
    <t>Mallee Zinc</t>
  </si>
  <si>
    <t>MAP &amp; Mn</t>
  </si>
  <si>
    <t>MAP &amp; Zn</t>
  </si>
  <si>
    <t>MAP CuZn</t>
  </si>
  <si>
    <t>MAP CZ</t>
  </si>
  <si>
    <t>MAP Plus</t>
  </si>
  <si>
    <t>MAP TE</t>
  </si>
  <si>
    <t>MAP Trace</t>
  </si>
  <si>
    <t>MAPRite</t>
  </si>
  <si>
    <t>MAPRite &amp; Zn</t>
  </si>
  <si>
    <t>MAPSZC</t>
  </si>
  <si>
    <t>MAPSZC &amp; Mn</t>
  </si>
  <si>
    <t>MAPSZC Lite</t>
  </si>
  <si>
    <t>MAPSZC Till</t>
  </si>
  <si>
    <t>MAXam</t>
  </si>
  <si>
    <t>MAXamGold</t>
  </si>
  <si>
    <t>MAXamRich</t>
  </si>
  <si>
    <t>MAXamRite</t>
  </si>
  <si>
    <t>MAXamStar</t>
  </si>
  <si>
    <t>MOP</t>
  </si>
  <si>
    <t>Nitro Graze</t>
  </si>
  <si>
    <t>NitroMOP</t>
  </si>
  <si>
    <t>NitroPlus</t>
  </si>
  <si>
    <t>NK1:1</t>
  </si>
  <si>
    <t>NK11</t>
  </si>
  <si>
    <t>NK2:1</t>
  </si>
  <si>
    <t>NKS21</t>
  </si>
  <si>
    <t>NKS11</t>
  </si>
  <si>
    <t>NKS2:1</t>
  </si>
  <si>
    <t>NKS4:1</t>
  </si>
  <si>
    <t>NKS32</t>
  </si>
  <si>
    <t>NPK Blue Special</t>
  </si>
  <si>
    <t>NPK Garden</t>
  </si>
  <si>
    <t>NS2:1</t>
  </si>
  <si>
    <t>NS3:1 (Urea-Sulphur 3:1)</t>
  </si>
  <si>
    <t>NS31</t>
  </si>
  <si>
    <t>NS4:1 (Urea-Sulphur 4:1)</t>
  </si>
  <si>
    <t>NS41</t>
  </si>
  <si>
    <t>NS5:1 (Urea-Sulphur 5:1)</t>
  </si>
  <si>
    <t>NS51</t>
  </si>
  <si>
    <t>NS6:1 (Urea-Sulphur 6:1)</t>
  </si>
  <si>
    <t>NS61</t>
  </si>
  <si>
    <t>Nutri-flow</t>
  </si>
  <si>
    <t>Nutri-gras</t>
  </si>
  <si>
    <t>Nutri-star</t>
  </si>
  <si>
    <t>Nutri-Till</t>
  </si>
  <si>
    <t>Pasture</t>
  </si>
  <si>
    <t>Pasture Boost</t>
  </si>
  <si>
    <t>Pasture Boost Potash</t>
  </si>
  <si>
    <t>Pasture CZM</t>
  </si>
  <si>
    <t>Pasture Potash 1:1</t>
  </si>
  <si>
    <t>Pasture Potash 2:1</t>
  </si>
  <si>
    <t>Pasture Potash 3:1</t>
  </si>
  <si>
    <t>Pasture Potash 3:2</t>
  </si>
  <si>
    <t>Pasture Potash 4:1</t>
  </si>
  <si>
    <t>Pasture Potash 5:1</t>
  </si>
  <si>
    <t>Potato E</t>
  </si>
  <si>
    <t>Potato Yield</t>
  </si>
  <si>
    <t>SOA</t>
  </si>
  <si>
    <t>SOP (Sulphate of Potash)</t>
  </si>
  <si>
    <t>Spring Flush</t>
  </si>
  <si>
    <t>Springburst</t>
  </si>
  <si>
    <t>SSP</t>
  </si>
  <si>
    <t>SSP CZM</t>
  </si>
  <si>
    <t>SSP Trace</t>
  </si>
  <si>
    <t xml:space="preserve">Sulam </t>
  </si>
  <si>
    <t>Sulfate of Potash</t>
  </si>
  <si>
    <t>Summit Hort</t>
  </si>
  <si>
    <t>Summit Spud</t>
  </si>
  <si>
    <t>Super CZ</t>
  </si>
  <si>
    <t>Super Pasture</t>
  </si>
  <si>
    <t>Super Pasture CZM</t>
  </si>
  <si>
    <t>Super Pasture Potash 1:1</t>
  </si>
  <si>
    <t>Super Pasture Potash 2:1</t>
  </si>
  <si>
    <t>Super Pasture Potash 3:1</t>
  </si>
  <si>
    <t>Super Pasture Potash 3:2</t>
  </si>
  <si>
    <t>Super Pasture Potash 4:1</t>
  </si>
  <si>
    <t>Super Pasture Potash 5:1</t>
  </si>
  <si>
    <t>Super Phos</t>
  </si>
  <si>
    <t>Super Phos CZM</t>
  </si>
  <si>
    <t>Super Phos Extra</t>
  </si>
  <si>
    <t>Super Phos Extra 3:1</t>
  </si>
  <si>
    <t>Super Phos Extra 4:1</t>
  </si>
  <si>
    <t>Super Phos Extra 5:1</t>
  </si>
  <si>
    <t>Super Potash 1:1</t>
  </si>
  <si>
    <t>Super Potash 2:1</t>
  </si>
  <si>
    <t>Super Potash 3:1</t>
  </si>
  <si>
    <t>Super Potash 3:2</t>
  </si>
  <si>
    <t>Super Potash 4:1</t>
  </si>
  <si>
    <t>Super Potash 5:1</t>
  </si>
  <si>
    <t>Super SR Extra</t>
  </si>
  <si>
    <t>Super SR Extra 3:1</t>
  </si>
  <si>
    <t>Super SR Extra 4:1</t>
  </si>
  <si>
    <t>Super SR Extra 5:1</t>
  </si>
  <si>
    <t>SuperGreen Autumn</t>
  </si>
  <si>
    <t>SuperGreen Hay</t>
  </si>
  <si>
    <t>SuperGreen Horticulture</t>
  </si>
  <si>
    <t>SuperGreen Pasture</t>
  </si>
  <si>
    <t>SuperGreen Spring</t>
  </si>
  <si>
    <t>SuperGreen Spud</t>
  </si>
  <si>
    <t>SuperGreen Turf Plus</t>
  </si>
  <si>
    <t>Supreme</t>
  </si>
  <si>
    <t>Supreme Green</t>
  </si>
  <si>
    <t>Supreme Potash</t>
  </si>
  <si>
    <t>TEK Phos 1:1</t>
  </si>
  <si>
    <t>TEK Phos 2:1</t>
  </si>
  <si>
    <t>TEK Phos 3:1</t>
  </si>
  <si>
    <t>TEK Phos 4:1</t>
  </si>
  <si>
    <t>TEK Phos 5:1</t>
  </si>
  <si>
    <t>TSP</t>
  </si>
  <si>
    <t>Turf Special</t>
  </si>
  <si>
    <t>UAN</t>
  </si>
  <si>
    <t>Urea K 1:1</t>
  </si>
  <si>
    <t>Urea K 2:1</t>
  </si>
  <si>
    <t>Urea K 3:1</t>
  </si>
  <si>
    <t>Urea KS 1:1</t>
  </si>
  <si>
    <t>Urea KS 2:1</t>
  </si>
  <si>
    <t>Urea KS 3:1</t>
  </si>
  <si>
    <t>UreaPlus</t>
  </si>
  <si>
    <t>Vigour</t>
  </si>
  <si>
    <t>Vigour Boost</t>
  </si>
  <si>
    <t>Vigour Mn</t>
  </si>
  <si>
    <t>Vigour Rich</t>
  </si>
  <si>
    <t>Vigour Rite</t>
  </si>
  <si>
    <t>Vigour Star</t>
  </si>
  <si>
    <t>Whitboost</t>
  </si>
  <si>
    <t>Whitboost Extra</t>
  </si>
  <si>
    <t>Whitboost TE</t>
  </si>
  <si>
    <t>Whitflow</t>
  </si>
  <si>
    <t>Whitflow Extra</t>
  </si>
  <si>
    <t>Whitflow TE</t>
  </si>
  <si>
    <t>Whitgrow (SOP)</t>
  </si>
  <si>
    <t>Whitgrow Extra (SOP)</t>
  </si>
  <si>
    <t>Whitgrow TE (SOP)</t>
  </si>
  <si>
    <t>Whitras</t>
  </si>
  <si>
    <t>Whitras Extra</t>
  </si>
  <si>
    <t>Whitras TE</t>
  </si>
  <si>
    <t>Whitrich</t>
  </si>
  <si>
    <t>Whitrich TE</t>
  </si>
  <si>
    <t>Whitstar</t>
  </si>
  <si>
    <t>Whitstar Extra</t>
  </si>
  <si>
    <t>Whitstar TE</t>
  </si>
  <si>
    <t>Whityield</t>
  </si>
  <si>
    <t>Whityield Extra</t>
  </si>
  <si>
    <t>Whityield Extra Sulphur</t>
  </si>
  <si>
    <t>Whityield TE</t>
  </si>
  <si>
    <t>ZincPlus</t>
  </si>
  <si>
    <t>Activate</t>
  </si>
  <si>
    <t>Agflow Boost Extra</t>
  </si>
  <si>
    <t>CBH</t>
  </si>
  <si>
    <t>CBH K</t>
  </si>
  <si>
    <t>CBH K CZ</t>
  </si>
  <si>
    <t>CBH K CZ Plus</t>
  </si>
  <si>
    <t>CBH K Manganese CZ</t>
  </si>
  <si>
    <t>CBH K Plus</t>
  </si>
  <si>
    <t>CBH NK 2:1</t>
  </si>
  <si>
    <t>CBH NK 3:1</t>
  </si>
  <si>
    <t>CBH NKS 2:1</t>
  </si>
  <si>
    <t>CBH NKS 3:2</t>
  </si>
  <si>
    <t>CBH NS 3:1</t>
  </si>
  <si>
    <t>CBH NS 5:1</t>
  </si>
  <si>
    <t>Cropbuilder20</t>
  </si>
  <si>
    <t>Cropbuilder20 Trace</t>
  </si>
  <si>
    <t>CS Black</t>
  </si>
  <si>
    <t>CroppingSolutions</t>
  </si>
  <si>
    <t>CS Calx</t>
  </si>
  <si>
    <t>CS Tracer Multi</t>
  </si>
  <si>
    <t>Dairy</t>
  </si>
  <si>
    <t>Dairy N</t>
  </si>
  <si>
    <t>Dairy S</t>
  </si>
  <si>
    <t>Dairy TE</t>
  </si>
  <si>
    <t>DAP Extra (CBH)</t>
  </si>
  <si>
    <t>DAP Extra (Whitfert)</t>
  </si>
  <si>
    <t>Flexi-N</t>
  </si>
  <si>
    <t>Flexi-NS Boost</t>
  </si>
  <si>
    <t>Fodder Max</t>
  </si>
  <si>
    <t>Gran-am</t>
  </si>
  <si>
    <t>Incitec</t>
  </si>
  <si>
    <t>GranNS</t>
  </si>
  <si>
    <t>Grass Boost</t>
  </si>
  <si>
    <t>Graze Extra</t>
  </si>
  <si>
    <t>Guano Gold-Kwik Start</t>
  </si>
  <si>
    <t>Guano Australia</t>
  </si>
  <si>
    <t>Gusto</t>
  </si>
  <si>
    <t>Hay Special</t>
  </si>
  <si>
    <t>K-Start 10 Trace</t>
  </si>
  <si>
    <t>K-Start 12 Trace</t>
  </si>
  <si>
    <t>K-Start 14 Trace</t>
  </si>
  <si>
    <t>K-Start 16 Trace</t>
  </si>
  <si>
    <t>Manganese Sulfate</t>
  </si>
  <si>
    <t>MAP Extra (CBH)</t>
  </si>
  <si>
    <t>MAP Extra (Whitfert)</t>
  </si>
  <si>
    <t>MAXamFLO</t>
  </si>
  <si>
    <t>NK21</t>
  </si>
  <si>
    <t>NK3:1</t>
  </si>
  <si>
    <t>NKS Spring</t>
  </si>
  <si>
    <t>NKS3:1</t>
  </si>
  <si>
    <t>David Grays</t>
  </si>
  <si>
    <t>PastureGro</t>
  </si>
  <si>
    <t>PastureGro TE</t>
  </si>
  <si>
    <t>Nutec</t>
  </si>
  <si>
    <t>SSP Trace Plus</t>
  </si>
  <si>
    <t>Urea Sustain</t>
  </si>
  <si>
    <t>Urea-Sulphur 3:1</t>
  </si>
  <si>
    <t>Urea-Sulphur 4:1</t>
  </si>
  <si>
    <t>Urea-Sulphur 5:1</t>
  </si>
  <si>
    <t>Urea-Sulphur 6:1</t>
  </si>
  <si>
    <t>General Information</t>
  </si>
  <si>
    <t>MANUAL INPUT REQUIRED IF ALLOCATION ASSUMPTIONS CHANGE</t>
  </si>
  <si>
    <t>Client Name</t>
  </si>
  <si>
    <t>FLAGGED FOR FUTURE CONSIDERATION (PF TW APPROACH)</t>
  </si>
  <si>
    <t>Business name</t>
  </si>
  <si>
    <t>Client email</t>
  </si>
  <si>
    <t>Production year assessed</t>
  </si>
  <si>
    <t>Property name</t>
  </si>
  <si>
    <t>Property address</t>
  </si>
  <si>
    <t>State</t>
  </si>
  <si>
    <t>Farm map provided?</t>
  </si>
  <si>
    <t>Climate</t>
  </si>
  <si>
    <t>Annual rainfall_client</t>
  </si>
  <si>
    <t>Annual rainfall_bom</t>
  </si>
  <si>
    <t>Annual Evapotranspiration_bom</t>
  </si>
  <si>
    <t>Et/P_client</t>
  </si>
  <si>
    <t>Et/P_bom</t>
  </si>
  <si>
    <t>Leaching and runoff (Y/N)</t>
  </si>
  <si>
    <t>Software</t>
  </si>
  <si>
    <t>Farm mgt software (Y/N)</t>
  </si>
  <si>
    <t>List</t>
  </si>
  <si>
    <t>Practices</t>
  </si>
  <si>
    <t xml:space="preserve">VRT </t>
  </si>
  <si>
    <t>Other:</t>
  </si>
  <si>
    <t xml:space="preserve">Vegetation </t>
  </si>
  <si>
    <t>Plantings post_1990 (Y/N)</t>
  </si>
  <si>
    <t>Plantings mapped (Y/N)</t>
  </si>
  <si>
    <t>Electricity</t>
  </si>
  <si>
    <t xml:space="preserve">Annual electricity use (KWh) </t>
  </si>
  <si>
    <t>Renewable (Y/N)</t>
  </si>
  <si>
    <t>Renewable source</t>
  </si>
  <si>
    <t>% renewable</t>
  </si>
  <si>
    <t>Fuel</t>
  </si>
  <si>
    <t>Diesel_beginning (L)</t>
  </si>
  <si>
    <t>Diesel_end (L)</t>
  </si>
  <si>
    <t>Diesel_purchased (L)</t>
  </si>
  <si>
    <t>Annual_diesel_use_wholefarm (L)</t>
  </si>
  <si>
    <t>Petrol_beginning (L)</t>
  </si>
  <si>
    <t>Petrol_end (L)</t>
  </si>
  <si>
    <t>Petrol_purchased (L)</t>
  </si>
  <si>
    <t>Annual_petrol_use_wholefarm (L)</t>
  </si>
  <si>
    <t>LPG_beginning (L)</t>
  </si>
  <si>
    <t>LPG_end (L)</t>
  </si>
  <si>
    <t>LPG_purchased (L)</t>
  </si>
  <si>
    <t>Annual_LPG_use_wholefarm (L)</t>
  </si>
  <si>
    <t>PLACEHOLDER: Co-products (Y/N)</t>
  </si>
  <si>
    <t>PLACEHOLDER: Co-products list (i.e., hay, biofuel)</t>
  </si>
  <si>
    <t>Burn (Y/N)</t>
  </si>
  <si>
    <t>Area burnt</t>
  </si>
  <si>
    <t>PLACEHOLDER: Fraction of annual production that is removed (%)</t>
  </si>
  <si>
    <t xml:space="preserve">Electricity Allocation (%)_GAFF_PFTW </t>
  </si>
  <si>
    <t>Seq_Allocation to crop_GAFF</t>
  </si>
  <si>
    <t>Seq_Allocation (%)_GAFF</t>
  </si>
  <si>
    <t xml:space="preserve">Whole Enterprise </t>
  </si>
  <si>
    <t xml:space="preserve">Production </t>
  </si>
  <si>
    <t xml:space="preserve">Crop Residues </t>
  </si>
  <si>
    <t xml:space="preserve">Annual crop burnt (%) </t>
  </si>
  <si>
    <t>Annual Diesel Use (litres/year)</t>
  </si>
  <si>
    <t>Annual Petrol Use (litres/year)</t>
  </si>
  <si>
    <t>Annual LPG Use (litres/year)</t>
  </si>
  <si>
    <t xml:space="preserve">Soil additives and fertilisers </t>
  </si>
  <si>
    <t>Total gypsum applied (tonnes)</t>
  </si>
  <si>
    <t>Total lime applied (tonnes)</t>
  </si>
  <si>
    <t xml:space="preserve">Average portion of lime to dolomite (%) </t>
  </si>
  <si>
    <t>Chemicals</t>
  </si>
  <si>
    <t>Glyphosate (or equivalent) applied (kg a.i. per crop)</t>
  </si>
  <si>
    <t>Other chimicals applied (kg a.i. per crop)</t>
  </si>
  <si>
    <t>Water</t>
  </si>
  <si>
    <t xml:space="preserve">Irrigation </t>
  </si>
  <si>
    <t>Run Off</t>
  </si>
  <si>
    <t xml:space="preserve">Electrivity </t>
  </si>
  <si>
    <t xml:space="preserve">Transportation </t>
  </si>
  <si>
    <t xml:space="preserve">Distance (km) </t>
  </si>
  <si>
    <t>tonnes/km</t>
  </si>
  <si>
    <t>Vegetation</t>
  </si>
  <si>
    <t xml:space="preserve">Allocation </t>
  </si>
  <si>
    <t>Vegetation area (ha)</t>
  </si>
  <si>
    <t>Average Vegetation age (yrs)</t>
  </si>
  <si>
    <t>Vegetation species</t>
  </si>
  <si>
    <t>Fraction of lime as dolomite vs limestone</t>
  </si>
  <si>
    <t>Region_GAFF</t>
  </si>
  <si>
    <t>Tree Species_GAFF</t>
  </si>
  <si>
    <t>Tree Species_PFTW</t>
  </si>
  <si>
    <t>Soil_GAFF</t>
  </si>
  <si>
    <t>Planting_year</t>
  </si>
  <si>
    <t>Allocation to crop_GAFF</t>
  </si>
  <si>
    <t>Allocation (%)_GAFF</t>
  </si>
  <si>
    <t>Old man Saltbush</t>
  </si>
  <si>
    <t>Pink Mallee</t>
  </si>
  <si>
    <t>Vegetation_PFTW</t>
  </si>
  <si>
    <t>Diesel Allocation (L)_GAFF</t>
  </si>
  <si>
    <t>Petrol Allocation (L)_GAFF</t>
  </si>
  <si>
    <t>LPG Allocation (L)_GAFF</t>
  </si>
  <si>
    <t>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</si>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</sst>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\ 0.00;\-0.00;;@"/>
    <numFmt numFmtId="165" formatCode="_-* #,##0.0_-;\-* #,##0.0_-;_-* &quot;-&quot;??_-;_-@_-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5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8">
    <xf numFmtId="0" fontId="0" fillId="0" borderId="0"/>
    <xf numFmtId="0" fontId="6" fillId="0" borderId="0"/>
    <xf numFmtId="43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7" fillId="2" borderId="1" applyNumberFormat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1" fontId="7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14" fontId="0" fillId="0" borderId="0" xfId="0" applyNumberFormat="1"/>
    <xf numFmtId="43" fontId="0" fillId="0" borderId="0" xfId="2" applyFont="1"/>
    <xf numFmtId="0" fontId="6" fillId="0" borderId="0" xfId="1"/>
    <xf numFmtId="0" fontId="13" fillId="0" borderId="0" xfId="3"/>
    <xf numFmtId="9" fontId="0" fillId="0" borderId="0" xfId="4" applyFont="1"/>
    <xf numFmtId="0" fontId="14" fillId="0" borderId="0" xfId="0" applyFont="1"/>
    <xf numFmtId="0" fontId="14" fillId="0" borderId="0" xfId="0" applyFont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11" fillId="0" borderId="5" xfId="0" applyFont="1" applyBorder="1"/>
    <xf numFmtId="0" fontId="11" fillId="0" borderId="6" xfId="0" applyFont="1" applyBorder="1"/>
    <xf numFmtId="0" fontId="18" fillId="0" borderId="7" xfId="0" applyFont="1" applyBorder="1"/>
    <xf numFmtId="0" fontId="11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17" fillId="2" borderId="1" xfId="5"/>
    <xf numFmtId="0" fontId="12" fillId="4" borderId="0" xfId="7"/>
    <xf numFmtId="0" fontId="14" fillId="3" borderId="0" xfId="6" applyFont="1" applyAlignment="1">
      <alignment wrapText="1"/>
    </xf>
    <xf numFmtId="0" fontId="14" fillId="4" borderId="0" xfId="7" applyFont="1" applyAlignment="1">
      <alignment wrapText="1"/>
    </xf>
    <xf numFmtId="0" fontId="12" fillId="3" borderId="0" xfId="6"/>
    <xf numFmtId="9" fontId="17" fillId="2" borderId="1" xfId="5" applyNumberFormat="1"/>
    <xf numFmtId="0" fontId="17" fillId="2" borderId="8" xfId="5" applyBorder="1"/>
    <xf numFmtId="0" fontId="19" fillId="0" borderId="0" xfId="0" applyFont="1" applyAlignment="1">
      <alignment horizontal="center" vertical="center" wrapText="1"/>
    </xf>
    <xf numFmtId="165" fontId="0" fillId="0" borderId="0" xfId="2" applyNumberFormat="1" applyFont="1" applyAlignment="1">
      <alignment wrapText="1"/>
    </xf>
    <xf numFmtId="165" fontId="0" fillId="0" borderId="0" xfId="2" applyNumberFormat="1" applyFont="1" applyAlignment="1">
      <alignment horizontal="right"/>
    </xf>
    <xf numFmtId="9" fontId="0" fillId="0" borderId="0" xfId="4" applyFont="1" applyAlignment="1">
      <alignment horizontal="right"/>
    </xf>
    <xf numFmtId="165" fontId="0" fillId="0" borderId="0" xfId="2" applyNumberFormat="1" applyFont="1" applyAlignment="1"/>
    <xf numFmtId="165" fontId="12" fillId="0" borderId="0" xfId="2" applyNumberFormat="1" applyFont="1" applyFill="1" applyAlignment="1">
      <alignment horizontal="left"/>
    </xf>
    <xf numFmtId="165" fontId="14" fillId="0" borderId="0" xfId="2" applyNumberFormat="1" applyFont="1" applyFill="1" applyAlignment="1">
      <alignment horizontal="right"/>
    </xf>
    <xf numFmtId="165" fontId="0" fillId="0" borderId="0" xfId="2" applyNumberFormat="1" applyFont="1" applyAlignment="1">
      <alignment horizontal="right" wrapText="1"/>
    </xf>
    <xf numFmtId="165" fontId="0" fillId="0" borderId="0" xfId="2" applyNumberFormat="1" applyFont="1"/>
    <xf numFmtId="165" fontId="0" fillId="0" borderId="0" xfId="2" applyNumberFormat="1" applyFont="1" applyFill="1"/>
    <xf numFmtId="2" fontId="17" fillId="2" borderId="1" xfId="5" applyNumberFormat="1"/>
    <xf numFmtId="0" fontId="0" fillId="0" borderId="0" xfId="0" quotePrefix="1"/>
    <xf numFmtId="165" fontId="14" fillId="5" borderId="0" xfId="2" applyNumberFormat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165" fontId="14" fillId="5" borderId="0" xfId="2" applyNumberFormat="1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8">
    <cellStyle name="20% - Accent1" xfId="6" builtinId="30"/>
    <cellStyle name="20% - Accent5" xfId="7" builtinId="46"/>
    <cellStyle name="Comma" xfId="2" builtinId="3"/>
    <cellStyle name="Hyperlink" xfId="3" builtinId="8"/>
    <cellStyle name="Input" xfId="5" builtinId="20"/>
    <cellStyle name="Normal" xfId="0" builtinId="0"/>
    <cellStyle name="Normal 2" xfId="1" xr:uid="{7B24D9CA-DEA5-4896-B631-E3518215AFA7}"/>
    <cellStyle name="Percent" xfId="4" builtinId="5"/>
  </cellStyles>
  <dxfs count="11"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12</xdr:col>
      <xdr:colOff>505770</xdr:colOff>
      <xdr:row>11</xdr:row>
      <xdr:rowOff>95343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ADE87B-A73C-4D8D-9EC7-4853843F3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1524000"/>
          <a:ext cx="6773220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591483</xdr:colOff>
      <xdr:row>37</xdr:row>
      <xdr:rowOff>153405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099CB2-DEB0-4076-B849-2FB40961D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87483" cy="720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22</xdr:col>
      <xdr:colOff>381904</xdr:colOff>
      <xdr:row>9</xdr:row>
      <xdr:rowOff>76450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E0209F-BE3D-4347-825B-A3ACDCFAC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0"/>
          <a:ext cx="6477904" cy="1790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20</xdr:col>
      <xdr:colOff>210260</xdr:colOff>
      <xdr:row>42</xdr:row>
      <xdr:rowOff>86588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6F5FF7-5DA3-4F66-A386-CF60DA7D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1905000"/>
          <a:ext cx="5087060" cy="6182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12</xdr:col>
      <xdr:colOff>324916</xdr:colOff>
      <xdr:row>60</xdr:row>
      <xdr:rowOff>67269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498E76-4417-45CC-800D-53D44AD48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39000"/>
          <a:ext cx="7640116" cy="425826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oise Boland" id="{D79DA878-ABD5-4BC1-84B6-2DF407C6FC98}" userId="S::eloise@terrawise.au::23107df5-f79e-434c-ae97-ded2eb2c6ce5" providerId="AD"/>
  <person displayName="Danielle Gale" id="{F16A5B05-7692-4C42-B0B7-B381C94FD5B9}" userId="S::Danielle@terra-wise.com.au::c5f35238-74a8-4351-8683-2bc94d3ba68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09F2C-59E9-4CF0-BF47-EBCB2A075F94}" name="Table2" displayName="Table2" ref="A49:B52" totalsRowShown="0">
  <autoFilter ref="A49:B52" xr:uid="{E6009F2C-59E9-4CF0-BF47-EBCB2A075F94}"/>
  <tableColumns count="2">
    <tableColumn id="1" xr3:uid="{1436F506-7733-445D-BAB1-BB45C19D5481}" name="Soil type"/>
    <tableColumn id="2" xr3:uid="{7FC27A17-A6BC-45BE-A5BC-81E83AB8B087}" name="Clay content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5278E7-CF79-484B-BA4F-177984FC24A5}" name="Table4" displayName="Table4" ref="F28:G32" totalsRowShown="0">
  <autoFilter ref="F28:G32" xr:uid="{085278E7-CF79-484B-BA4F-177984FC24A5}"/>
  <tableColumns count="2">
    <tableColumn id="1" xr3:uid="{F7C15201-141D-419B-9D2F-A4A708A2AC9B}" name="Straw toughness"/>
    <tableColumn id="2" xr3:uid="{BA574EE1-27CE-4FA1-9E5E-613F5DAC7996}" name="Indi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5-02-04T07:46:52.60" personId="{F16A5B05-7692-4C42-B0B7-B381C94FD5B9}" id="{A3D7F953-F5A4-4C08-B7C3-91AF731411A9}">
    <text>Blank if no, otherwise, “upload”, “email”, “draw” depending on the option they select.
Give us a reference point if we look at it in the future and maps are missing</text>
  </threadedComment>
  <threadedComment ref="A12" dT="2025-02-06T04:37:07.08" personId="{F16A5B05-7692-4C42-B0B7-B381C94FD5B9}" id="{E1533196-8942-4BBD-9B01-EC0F365D9540}">
    <text xml:space="preserve">2 pass per client through API:
Pass 1 (GAF) - over 600mm vs not
Pass 2 (PF TW) - According to Evapotranspiration/rainfall ratio req per Section 3.D.b.2 of NGGI 2022 report
https://www.dcceew.gov.au/sites/default/files/documents/national-inventory-report-2022-volume-1.pdf
  </text>
    <extLst>
      <x:ext xmlns:xltc2="http://schemas.microsoft.com/office/spreadsheetml/2020/threadedcomments2" uri="{F7C98A9C-CBB3-438F-8F68-D28B6AF4A901}">
        <xltc2:checksum>2545777130</xltc2:checksum>
        <xltc2:hyperlink startIndex="173" length="99" url="https://www.dcceew.gov.au/sites/default/files/documents/national-inventory-report-2022-volume-1.pdf"/>
      </x:ext>
    </extLst>
  </threadedComment>
  <threadedComment ref="A17" dT="2025-02-06T08:14:54.50" personId="{F16A5B05-7692-4C42-B0B7-B381C94FD5B9}" id="{E22427E5-F216-4C60-9836-878B608FCEA4}">
    <text>Based on Et/P and then pushed through to API</text>
  </threadedComment>
  <threadedComment ref="B20" dT="2025-02-06T08:19:42.31" personId="{F16A5B05-7692-4C42-B0B7-B381C94FD5B9}" id="{DC87FCCA-570C-40DB-9949-0047CFCE88D4}">
    <text>List of all software as inputted into questionnaire</text>
  </threadedComment>
  <threadedComment ref="A23" dT="2025-02-06T09:44:59.18" personId="{F16A5B05-7692-4C42-B0B7-B381C94FD5B9}" id="{92B9101B-A28C-4B74-B5F5-A2EE2C6214CD}">
    <text xml:space="preserve">List from back of questionnaire </text>
  </threadedComment>
  <threadedComment ref="A26" dT="2025-02-07T02:37:23.48" personId="{F16A5B05-7692-4C42-B0B7-B381C94FD5B9}" id="{BBB806C6-9A1A-4C37-8D6A-C474815C4D36}">
    <text>This forms part of the QA - if plantings post 1990 is yes then trigger for use to implement next stage collection of vegetation data</text>
  </threadedComment>
  <threadedComment ref="A30" dT="2025-02-07T03:06:15.44" personId="{F16A5B05-7692-4C42-B0B7-B381C94FD5B9}" id="{D042DC6F-4EA9-4529-9112-06B1C40EC027}">
    <text>If yes, populate from questionnaire answer</text>
  </threadedComment>
  <threadedComment ref="B36" dT="2025-02-07T03:33:51.16" personId="{F16A5B05-7692-4C42-B0B7-B381C94FD5B9}" id="{D9E36DC2-D85F-49AC-931E-CB4DC46E7216}">
    <text>Calculated based on above</text>
  </threadedComment>
  <threadedComment ref="B40" dT="2025-02-07T03:52:28.86" personId="{F16A5B05-7692-4C42-B0B7-B381C94FD5B9}" id="{857562E3-D459-42F6-B9BB-202FF5F2E8F5}">
    <text>Per diesel calc</text>
  </threadedComment>
  <threadedComment ref="B44" dT="2025-02-07T03:55:17.75" personId="{F16A5B05-7692-4C42-B0B7-B381C94FD5B9}" id="{E70BE9E3-D598-4092-8EEA-B8EC1F66AE38}">
    <text>Per diesel and petrol</text>
  </threadedComment>
  <threadedComment ref="A46" dT="2025-02-06T08:27:41.14" personId="{F16A5B05-7692-4C42-B0B7-B381C94FD5B9}" id="{9CC0E51F-62BD-461D-A082-3FB6C9E99512}">
    <text>Checking that this will be populated based on survey completion, not sitting as a standard list across inventory?</text>
  </threadedComment>
  <threadedComment ref="A46" dT="2025-02-07T01:52:12.09" personId="{F16A5B05-7692-4C42-B0B7-B381C94FD5B9}" id="{0F73820D-93F4-42D7-A7E0-6506EB92F567}" parentId="{9CC0E51F-62BD-461D-A082-3FB6C9E99512}">
    <text>If populated only based on survey input, will aid in allocation manual entry and linkage to other tabs in this workbook</text>
  </threadedComment>
  <threadedComment ref="D46" dT="2025-02-07T09:50:59.80" personId="{F16A5B05-7692-4C42-B0B7-B381C94FD5B9}" id="{59C57B87-92D3-41C6-9DE0-E6B7C1FC3F7E}">
    <text>For future consideration of hay</text>
  </threadedComment>
  <threadedComment ref="F46" dT="2025-02-07T08:00:54.46" personId="{F16A5B05-7692-4C42-B0B7-B381C94FD5B9}" id="{5F3AD747-C21B-4884-8CF1-50B458D0EF21}">
    <text>From questionnaire</text>
  </threadedComment>
  <threadedComment ref="G46" dT="2025-02-07T08:00:46.29" personId="{F16A5B05-7692-4C42-B0B7-B381C94FD5B9}" id="{7D482180-99B7-43A9-B43F-E421E964D434}">
    <text>From questionnaire</text>
  </threadedComment>
  <threadedComment ref="H46" dT="2025-02-07T07:48:47.00" personId="{F16A5B05-7692-4C42-B0B7-B381C94FD5B9}" id="{72592CA7-3995-4897-A78B-95D0C841208F}">
    <text>Ha burnt/ ha sown
Manual calculation - formulas here</text>
  </threadedComment>
  <threadedComment ref="I46" dT="2025-02-07T06:21:55.75" personId="{F16A5B05-7692-4C42-B0B7-B381C94FD5B9}" id="{AEB0CC20-5A23-48D4-BFCC-0A35D03A290C}">
    <text>Flagging for non-GAFF approach and ahead of m whinge to AIA</text>
  </threadedComment>
  <threadedComment ref="J46" dT="2025-02-07T03:10:28.26" personId="{F16A5B05-7692-4C42-B0B7-B381C94FD5B9}" id="{E0AB931D-1264-4C0D-BDE1-5786FA3403D5}">
    <text>Allocation to be based on area sown to crop</text>
  </threadedComment>
  <threadedComment ref="J46" dT="2025-02-07T03:11:08.75" personId="{F16A5B05-7692-4C42-B0B7-B381C94FD5B9}" id="{E977CB98-4121-4321-AEBE-731F7F39D7CD}" parentId="{E0AB931D-1264-4C0D-BDE1-5786FA3403D5}">
    <text>Input formulas here Vinh but I have highlighted it so user can change if necessary</text>
  </threadedComment>
  <threadedComment ref="K46" dT="2025-02-07T03:48:45.84" personId="{F16A5B05-7692-4C42-B0B7-B381C94FD5B9}" id="{F6055863-2DFF-4154-B035-D13DFA65909D}">
    <text>Calculated here based on area sown to each crop</text>
  </threadedComment>
  <threadedComment ref="L46" dT="2025-02-07T03:48:45.84" personId="{F16A5B05-7692-4C42-B0B7-B381C94FD5B9}" id="{4DA44809-3F70-4C5D-80AB-A81A36451D06}">
    <text>Calculated here based on area sown to each crop</text>
  </threadedComment>
  <threadedComment ref="M46" dT="2025-02-07T03:48:45.84" personId="{F16A5B05-7692-4C42-B0B7-B381C94FD5B9}" id="{D0D398E5-AFA5-4122-9345-F2E7F8335C04}">
    <text>Calculated here based on area sown to each crop</text>
  </threadedComment>
  <threadedComment ref="R46" dT="2025-02-07T02:31:31.49" personId="{F16A5B05-7692-4C42-B0B7-B381C94FD5B9}" id="{27E81DBE-B10A-498D-B9F1-ABFC15AB2210}">
    <text xml:space="preserve">Did I mention I dislike this immensely?
- We have four choices:
1. Allocate based on number of commodities (i.e., four crops = 25% to each)
2. Allocated based on area sown (i.e. 2 crops 400ha a 600 ha b - then 40% and 600% respectively)
3. Allocate based on yield
4. No allocation (all to 0%)
</text>
  </threadedComment>
  <threadedComment ref="R46" dT="2025-02-07T02:32:19.69" personId="{F16A5B05-7692-4C42-B0B7-B381C94FD5B9}" id="{B5175395-36C0-468B-90F5-7BE9550F232A}" parentId="{27E81DBE-B10A-498D-B9F1-ABFC15AB2210}">
    <text>I’m tempted assign all to 0 and we can add on our own calculations into the report. I take great issue with these subjective allocation decisions. Can you trial assigned  0% and see if it works?</text>
  </threadedComment>
  <threadedComment ref="N47" dT="2025-02-06T09:56:19.41" personId="{F16A5B05-7692-4C42-B0B7-B381C94FD5B9}" id="{CC0E73E0-DB0D-413D-88DF-A532C1AE61BE}">
    <text>I would link to whatever answer they provide in the vegetation answer for “soil type” - make a generalisation based on that</text>
  </threadedComment>
  <threadedComment ref="N47" dT="2025-02-07T03:55:48.16" personId="{F16A5B05-7692-4C42-B0B7-B381C94FD5B9}" id="{E0105213-0A44-41B7-B059-EDA0DB27715C}" parentId="{CC0E73E0-DB0D-413D-88DF-A532C1AE61BE}">
    <text>Leave here though so can change manually if deem necessary</text>
  </threadedComment>
  <threadedComment ref="N47" dT="2025-02-07T03:56:38.91" personId="{F16A5B05-7692-4C42-B0B7-B381C94FD5B9}" id="{C0B9BC67-989E-4E4C-B492-C95D247842B0}" parentId="{CC0E73E0-DB0D-413D-88DF-A532C1AE61BE}">
    <text>Ie. If soil type = x then soil = light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5" dT="2025-01-09T03:25:32.76" personId="{D79DA878-ABD5-4BC1-84B6-2DF407C6FC98}" id="{39F8F570-365B-4EA6-885F-FB38CE70398E}">
    <text>We can either do a y/n or we can do 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2-07T01:56:12.35" personId="{F16A5B05-7692-4C42-B0B7-B381C94FD5B9}" id="{FD4A9597-2781-47F5-BCFE-B003297C3228}">
    <text>Columns A-C link from Questionnaire</text>
  </threadedComment>
  <threadedComment ref="A1" dT="2025-02-07T01:57:28.36" personId="{F16A5B05-7692-4C42-B0B7-B381C94FD5B9}" id="{CA4C317B-B36D-4B52-93CF-F3F13905044C}" parentId="{FD4A9597-2781-47F5-BCFE-B003297C3228}">
    <text>Actually, I think we need a 2 step process here. 
Client draws map - we review and draw up table for them to complete based on what they have drawn up. Table has:
Planting
Planting date
Species
Soil</text>
  </threadedComment>
  <threadedComment ref="A1" dT="2025-02-07T01:58:21.70" personId="{F16A5B05-7692-4C42-B0B7-B381C94FD5B9}" id="{058E9E3F-0976-47B3-A5BD-5A020F55B57C}" parentId="{FD4A9597-2781-47F5-BCFE-B003297C3228}">
    <text>Then the output of that gets inputted into inventory here. Otherwise too much risk of error and wont collect sufficient data</text>
  </threadedComment>
  <threadedComment ref="B1" dT="2025-02-07T02:47:04.02" personId="{F16A5B05-7692-4C42-B0B7-B381C94FD5B9}" id="{2DB52CDB-938D-42BC-80CA-67E29CEE4F92}">
    <text>Need to make sure all species listed in AIA documentation are in questionnaire</text>
  </threadedComment>
  <threadedComment ref="D1" dT="2025-02-07T02:47:48.10" personId="{F16A5B05-7692-4C42-B0B7-B381C94FD5B9}" id="{33E57C6E-D369-4D68-82B1-52A9A6281A52}">
    <text>Need to make sure questionnaire has all soil type options per AIA documentation not GAFF as GAFF has far less</text>
  </threadedComment>
  <threadedComment ref="E1" dT="2025-02-06T09:59:45.17" personId="{F16A5B05-7692-4C42-B0B7-B381C94FD5B9}" id="{515FEC9A-DD2F-46BD-AAE2-5F992DB1FE36}">
    <text>Will this be manual out of .shp files?</text>
  </threadedComment>
  <threadedComment ref="G1" dT="2025-02-06T10:00:22.14" personId="{F16A5B05-7692-4C42-B0B7-B381C94FD5B9}" id="{23F8D9CC-4C9E-498A-8AF1-71123E2DCAED}">
    <text xml:space="preserve">Manual? Post questionnaire completion? </text>
  </threadedComment>
  <threadedComment ref="G1" dT="2025-02-07T02:39:03.69" personId="{F16A5B05-7692-4C42-B0B7-B381C94FD5B9}" id="{33F3ABD7-2500-4B3A-B0C4-755EB15B3365}" parentId="{23F8D9CC-4C9E-498A-8AF1-71123E2DCAED}">
    <text>Calc from planting year inputted in column F but collected in Stage 2 vegetation data collection</text>
  </threadedComment>
  <threadedComment ref="H1" dT="2025-02-06T10:02:19.95" personId="{F16A5B05-7692-4C42-B0B7-B381C94FD5B9}" id="{D9A1FBA8-A391-47C5-A04E-CB9171FEA719}">
    <text>Gah I detest GAFFs approach to this - so wrong</text>
  </threadedComment>
  <threadedComment ref="I1" dT="2025-02-07T02:46:36.45" personId="{F16A5B05-7692-4C42-B0B7-B381C94FD5B9}" id="{E98FDAD1-DFAE-437B-B87A-DED51861162E}">
    <text>Allocation assumptions will the same per plantings. This will reflect the broader assumption that we want to treat sequestration numbers as one, not per planting.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nufarm.com/au/product/estercide-xtra-680/?gad_source=1&amp;gclid=CjwKCAjw9p24BhB_EiwA8ID5BpxlDqsJjUzbRMw73mMinA1309I8ptx6u7ZFUYpBS8S0Ws5uKyjgORoCgcsQAvD_BwE&amp;gclsrc=aw.ds" TargetMode="External"/><Relationship Id="rId13" Type="http://schemas.openxmlformats.org/officeDocument/2006/relationships/hyperlink" Target="https://www.crop.bayer.com.au/products/herbicides/sakura-850-wg-herbicide" TargetMode="External"/><Relationship Id="rId18" Type="http://schemas.openxmlformats.org/officeDocument/2006/relationships/hyperlink" Target="https://animalcontrol.com.au/products/mouseoff-zinc-phosphide-bait-yr6ny-8gryd-pamaj" TargetMode="External"/><Relationship Id="rId26" Type="http://schemas.openxmlformats.org/officeDocument/2006/relationships/hyperlink" Target="https://www.crop.bayer.com.au/products/bayer-seedgrowth/hombre-ultra-cereal-seed-treatment" TargetMode="External"/><Relationship Id="rId3" Type="http://schemas.openxmlformats.org/officeDocument/2006/relationships/hyperlink" Target="https://www.syngenta.com.au/amistar-xtra" TargetMode="External"/><Relationship Id="rId21" Type="http://schemas.openxmlformats.org/officeDocument/2006/relationships/hyperlink" Target="https://crop-solutions.basf.com.au/products/opus-125" TargetMode="External"/><Relationship Id="rId7" Type="http://schemas.openxmlformats.org/officeDocument/2006/relationships/hyperlink" Target="https://www.syngenta.com.au/product/crop-protection/gramoxone-250" TargetMode="External"/><Relationship Id="rId12" Type="http://schemas.openxmlformats.org/officeDocument/2006/relationships/hyperlink" Target="https://www.sinochem.com.au/wp-content/uploads/2015/07/Roundup-CT_WebLabel_V2.0.pdf" TargetMode="External"/><Relationship Id="rId17" Type="http://schemas.openxmlformats.org/officeDocument/2006/relationships/hyperlink" Target="https://www.imtrade.com.au/product/pirimicarb-500-wg-aphicide/" TargetMode="External"/><Relationship Id="rId25" Type="http://schemas.openxmlformats.org/officeDocument/2006/relationships/hyperlink" Target="https://www.genfarm.com.au/crop-protection/herbicides/genfarm-trifluralin-480-selective-herbicide" TargetMode="External"/><Relationship Id="rId2" Type="http://schemas.openxmlformats.org/officeDocument/2006/relationships/hyperlink" Target="https://cdn.nufarm.com/wp-content/uploads/sites/22/2018/05/21102916/5197-IntakeHiloadGold-22Aug2017.pdf" TargetMode="External"/><Relationship Id="rId16" Type="http://schemas.openxmlformats.org/officeDocument/2006/relationships/hyperlink" Target="https://4farmers.com.au/products/insecticides/alphacypermethrin-100-ec/" TargetMode="External"/><Relationship Id="rId20" Type="http://schemas.openxmlformats.org/officeDocument/2006/relationships/hyperlink" Target="https://www.upl-ltd.com/au/product-details/rancona-c" TargetMode="External"/><Relationship Id="rId29" Type="http://schemas.openxmlformats.org/officeDocument/2006/relationships/hyperlink" Target="https://elabels.apvma.gov.au/61862ELBL.pdf" TargetMode="External"/><Relationship Id="rId1" Type="http://schemas.openxmlformats.org/officeDocument/2006/relationships/hyperlink" Target="https://www.pestgenie.com.au/label/bcs/FOLICUR%20430%20SC_12107747.pdf" TargetMode="External"/><Relationship Id="rId6" Type="http://schemas.openxmlformats.org/officeDocument/2006/relationships/hyperlink" Target="https://specialistsales.com.au/shop/woody-weeds/woody-weed-herbicides/liquid-chemicals/knockout-pro-540-herbicide-glyphosate/?srsltid=AfmBOor4l_1bmY8kI3rlSr5JOVpzgK40xLoAj8FSkK4WZ3h_4r5r5UCN" TargetMode="External"/><Relationship Id="rId11" Type="http://schemas.openxmlformats.org/officeDocument/2006/relationships/hyperlink" Target="https://www.titanag.com.au/wp-content/uploads/2021/05/TITAN_Quizalofop-P-Ethyl_200_PM.pdf" TargetMode="External"/><Relationship Id="rId24" Type="http://schemas.openxmlformats.org/officeDocument/2006/relationships/hyperlink" Target="https://www.crop.bayer.com.au/products/bayer-seedgrowth/gaucho-600-red-flowable-seed-dressing-insecticide" TargetMode="External"/><Relationship Id="rId32" Type="http://schemas.openxmlformats.org/officeDocument/2006/relationships/hyperlink" Target="https://www.genfarm.com.au/crop-protection/herbicides/genfarm-atrazine-900-wg-herbicide" TargetMode="External"/><Relationship Id="rId5" Type="http://schemas.openxmlformats.org/officeDocument/2006/relationships/hyperlink" Target="https://corteva.showpad.com/share/0aTwfCiXvnqsfpYV1eABn" TargetMode="External"/><Relationship Id="rId15" Type="http://schemas.openxmlformats.org/officeDocument/2006/relationships/hyperlink" Target="https://www.crop.bayer.com.au/products/herbicides/tigrex-selective-herbicide" TargetMode="External"/><Relationship Id="rId23" Type="http://schemas.openxmlformats.org/officeDocument/2006/relationships/hyperlink" Target="https://nufarm.com/au/product/weedmaster-dst/?gad_source=1&amp;gclid=CjwKCAjw9p24BhB_EiwA8ID5BqiXb6348xXJpbcjjDikXVDF-f9-6rlPOQ9eoGcPsVfc-uLRyv8mXhoCTR8QAvD_BwE&amp;gclsrc=aw.ds" TargetMode="External"/><Relationship Id="rId28" Type="http://schemas.openxmlformats.org/officeDocument/2006/relationships/hyperlink" Target="https://ag.fmc.com/au/en/products/insecticides-miticides/trojan-insecticide" TargetMode="External"/><Relationship Id="rId10" Type="http://schemas.openxmlformats.org/officeDocument/2006/relationships/hyperlink" Target="https://www.corteva.com.au/products-and-solutions/crop-protection/lontrel-750sg.html" TargetMode="External"/><Relationship Id="rId19" Type="http://schemas.openxmlformats.org/officeDocument/2006/relationships/hyperlink" Target="https://www.syngenta.com.au/product/crop-protection/maxim-xl" TargetMode="External"/><Relationship Id="rId31" Type="http://schemas.openxmlformats.org/officeDocument/2006/relationships/hyperlink" Target="https://www.genfarm.com.au/crop-protection/herbicides/genfarm-diquat-200-non-residual-herbicide" TargetMode="External"/><Relationship Id="rId4" Type="http://schemas.openxmlformats.org/officeDocument/2006/relationships/hyperlink" Target="https://www.genfarm.com.au/crop-protection/herbicides/genfarm-clethodim-240ec-selective-herbicide" TargetMode="External"/><Relationship Id="rId9" Type="http://schemas.openxmlformats.org/officeDocument/2006/relationships/hyperlink" Target="https://www.syngenta.com.au/product/crop-protection/logran-b-power" TargetMode="External"/><Relationship Id="rId14" Type="http://schemas.openxmlformats.org/officeDocument/2006/relationships/hyperlink" Target="https://apparentag.com.au/documents/brochures/65158_APPARENT_SIMAZINE_900_WG_HERBICIDE_Booklet_1.pdf" TargetMode="External"/><Relationship Id="rId22" Type="http://schemas.openxmlformats.org/officeDocument/2006/relationships/hyperlink" Target="https://nufarm.com/au/product/glyphosate-450/?gad_source=1&amp;gclid=CjwKCAjw9p24BhB_EiwA8ID5BsD8j-VrPm72qPt-TnKPHpHOfV0NtWOwylvOiqKebNbLzO3noByPtBoCmBkQAvD_BwE&amp;gclsrc=aw.ds" TargetMode="External"/><Relationship Id="rId27" Type="http://schemas.openxmlformats.org/officeDocument/2006/relationships/hyperlink" Target="https://www.genfarm.com.au/crop-protection/fungicides/genfarm-flutriafol-500-sc-fungicide" TargetMode="External"/><Relationship Id="rId30" Type="http://schemas.openxmlformats.org/officeDocument/2006/relationships/hyperlink" Target="https://nufarm.com/au/product/shirquat-250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A9A2-392D-406A-A753-437F1A036465}">
  <dimension ref="A1:R59"/>
  <sheetViews>
    <sheetView topLeftCell="A43" zoomScaleNormal="100" workbookViewId="0">
      <selection activeCell="I63" sqref="I63"/>
    </sheetView>
  </sheetViews>
  <sheetFormatPr defaultRowHeight="15" x14ac:dyDescent="0.25"/>
  <cols>
    <col min="1" max="1" width="53" customWidth="1"/>
    <col min="2" max="2" width="9.7109375" bestFit="1" customWidth="1"/>
    <col min="3" max="3" width="11" bestFit="1" customWidth="1"/>
    <col min="4" max="5" width="16.7109375" customWidth="1"/>
    <col min="6" max="6" width="15.140625" customWidth="1"/>
    <col min="7" max="7" width="16.85546875" customWidth="1"/>
    <col min="8" max="9" width="15.42578125" customWidth="1"/>
    <col min="10" max="10" width="13.7109375" customWidth="1"/>
    <col min="11" max="11" width="23.140625" bestFit="1" customWidth="1"/>
    <col min="12" max="12" width="10.5703125" customWidth="1"/>
    <col min="13" max="13" width="14.85546875" customWidth="1"/>
    <col min="14" max="14" width="13.85546875" customWidth="1"/>
    <col min="15" max="15" width="10.42578125" customWidth="1"/>
  </cols>
  <sheetData>
    <row r="1" spans="1:13" ht="45" customHeight="1" x14ac:dyDescent="0.25">
      <c r="A1" s="31" t="s">
        <v>817</v>
      </c>
      <c r="F1" s="46"/>
      <c r="G1" t="s">
        <v>818</v>
      </c>
    </row>
    <row r="2" spans="1:13" x14ac:dyDescent="0.25">
      <c r="A2" t="s">
        <v>819</v>
      </c>
      <c r="F2" s="47"/>
      <c r="G2" t="s">
        <v>820</v>
      </c>
    </row>
    <row r="3" spans="1:13" x14ac:dyDescent="0.25">
      <c r="A3" t="s">
        <v>821</v>
      </c>
      <c r="M3" s="22"/>
    </row>
    <row r="4" spans="1:13" x14ac:dyDescent="0.25">
      <c r="A4" t="s">
        <v>822</v>
      </c>
      <c r="M4" s="22"/>
    </row>
    <row r="5" spans="1:13" ht="30" customHeight="1" x14ac:dyDescent="0.25">
      <c r="A5" t="s">
        <v>823</v>
      </c>
      <c r="M5" s="22"/>
    </row>
    <row r="6" spans="1:13" x14ac:dyDescent="0.25">
      <c r="A6" s="31" t="s">
        <v>108</v>
      </c>
      <c r="M6" s="22"/>
    </row>
    <row r="7" spans="1:13" x14ac:dyDescent="0.25">
      <c r="A7" t="s">
        <v>824</v>
      </c>
    </row>
    <row r="8" spans="1:13" x14ac:dyDescent="0.25">
      <c r="A8" t="s">
        <v>825</v>
      </c>
    </row>
    <row r="9" spans="1:13" x14ac:dyDescent="0.25">
      <c r="A9" t="s">
        <v>826</v>
      </c>
    </row>
    <row r="10" spans="1:13" x14ac:dyDescent="0.25">
      <c r="A10" t="s">
        <v>827</v>
      </c>
    </row>
    <row r="11" spans="1:13" x14ac:dyDescent="0.25">
      <c r="A11" s="31" t="s">
        <v>828</v>
      </c>
    </row>
    <row r="12" spans="1:13" x14ac:dyDescent="0.25">
      <c r="A12" t="s">
        <v>829</v>
      </c>
    </row>
    <row r="13" spans="1:13" x14ac:dyDescent="0.25">
      <c r="A13" t="s">
        <v>830</v>
      </c>
    </row>
    <row r="14" spans="1:13" x14ac:dyDescent="0.25">
      <c r="A14" t="s">
        <v>831</v>
      </c>
    </row>
    <row r="15" spans="1:13" x14ac:dyDescent="0.25">
      <c r="A15" t="s">
        <v>832</v>
      </c>
    </row>
    <row r="16" spans="1:13" x14ac:dyDescent="0.25">
      <c r="A16" t="s">
        <v>833</v>
      </c>
    </row>
    <row r="17" spans="1:18" x14ac:dyDescent="0.25">
      <c r="A17" t="s">
        <v>834</v>
      </c>
    </row>
    <row r="18" spans="1:18" x14ac:dyDescent="0.25">
      <c r="A18" s="31" t="s">
        <v>835</v>
      </c>
    </row>
    <row r="19" spans="1:18" x14ac:dyDescent="0.25">
      <c r="A19" t="s">
        <v>836</v>
      </c>
    </row>
    <row r="20" spans="1:18" x14ac:dyDescent="0.25">
      <c r="A20" t="s">
        <v>837</v>
      </c>
    </row>
    <row r="21" spans="1:18" x14ac:dyDescent="0.25">
      <c r="A21" s="31" t="s">
        <v>838</v>
      </c>
    </row>
    <row r="22" spans="1:18" x14ac:dyDescent="0.25">
      <c r="A22" t="s">
        <v>839</v>
      </c>
    </row>
    <row r="23" spans="1:18" x14ac:dyDescent="0.25">
      <c r="A23" t="s">
        <v>840</v>
      </c>
    </row>
    <row r="24" spans="1:18" x14ac:dyDescent="0.25">
      <c r="A24" s="31" t="s">
        <v>841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A25" t="s">
        <v>842</v>
      </c>
    </row>
    <row r="26" spans="1:18" x14ac:dyDescent="0.25">
      <c r="A26" t="s">
        <v>843</v>
      </c>
    </row>
    <row r="27" spans="1:18" x14ac:dyDescent="0.25">
      <c r="A27" s="31" t="s">
        <v>844</v>
      </c>
    </row>
    <row r="28" spans="1:18" x14ac:dyDescent="0.25">
      <c r="A28" t="s">
        <v>845</v>
      </c>
    </row>
    <row r="29" spans="1:18" x14ac:dyDescent="0.25">
      <c r="A29" t="s">
        <v>846</v>
      </c>
    </row>
    <row r="30" spans="1:18" x14ac:dyDescent="0.25">
      <c r="A30" t="s">
        <v>847</v>
      </c>
    </row>
    <row r="31" spans="1:18" x14ac:dyDescent="0.25">
      <c r="A31" t="s">
        <v>848</v>
      </c>
    </row>
    <row r="32" spans="1:18" x14ac:dyDescent="0.25">
      <c r="A32" s="31" t="s">
        <v>849</v>
      </c>
    </row>
    <row r="33" spans="1:18" x14ac:dyDescent="0.25">
      <c r="A33" t="s">
        <v>850</v>
      </c>
    </row>
    <row r="34" spans="1:18" x14ac:dyDescent="0.25">
      <c r="A34" t="s">
        <v>852</v>
      </c>
    </row>
    <row r="35" spans="1:18" x14ac:dyDescent="0.25">
      <c r="A35" t="s">
        <v>851</v>
      </c>
    </row>
    <row r="36" spans="1:18" x14ac:dyDescent="0.25">
      <c r="A36" t="s">
        <v>853</v>
      </c>
      <c r="B36">
        <f>B33+B34-B35</f>
        <v>0</v>
      </c>
      <c r="G36" s="31"/>
      <c r="H36" s="31"/>
      <c r="I36" s="31"/>
      <c r="N36" s="31"/>
    </row>
    <row r="37" spans="1:18" x14ac:dyDescent="0.25">
      <c r="A37" t="s">
        <v>854</v>
      </c>
      <c r="G37" s="31"/>
      <c r="H37" s="31"/>
      <c r="I37" s="31"/>
      <c r="N37" s="31"/>
    </row>
    <row r="38" spans="1:18" x14ac:dyDescent="0.25">
      <c r="A38" t="s">
        <v>856</v>
      </c>
      <c r="G38" s="31"/>
      <c r="H38" s="31"/>
      <c r="I38" s="31"/>
      <c r="N38" s="31"/>
    </row>
    <row r="39" spans="1:18" x14ac:dyDescent="0.25">
      <c r="A39" t="s">
        <v>855</v>
      </c>
      <c r="G39" s="31"/>
      <c r="H39" s="31"/>
      <c r="I39" s="31"/>
      <c r="N39" s="31"/>
    </row>
    <row r="40" spans="1:18" x14ac:dyDescent="0.25">
      <c r="A40" t="s">
        <v>857</v>
      </c>
      <c r="B40">
        <f>B37+B38-B39</f>
        <v>0</v>
      </c>
      <c r="G40" s="31"/>
      <c r="H40" s="31"/>
      <c r="I40" s="31"/>
      <c r="N40" s="31"/>
    </row>
    <row r="41" spans="1:18" x14ac:dyDescent="0.25">
      <c r="A41" t="s">
        <v>858</v>
      </c>
      <c r="G41" s="31"/>
      <c r="H41" s="31"/>
      <c r="I41" s="31"/>
      <c r="N41" s="31"/>
    </row>
    <row r="42" spans="1:18" x14ac:dyDescent="0.25">
      <c r="A42" t="s">
        <v>860</v>
      </c>
      <c r="G42" s="31"/>
      <c r="H42" s="31"/>
      <c r="I42" s="31"/>
      <c r="N42" s="31"/>
    </row>
    <row r="43" spans="1:18" x14ac:dyDescent="0.25">
      <c r="A43" t="s">
        <v>859</v>
      </c>
      <c r="G43" s="31"/>
      <c r="H43" s="31"/>
      <c r="I43" s="31"/>
      <c r="N43" s="31"/>
    </row>
    <row r="44" spans="1:18" x14ac:dyDescent="0.25">
      <c r="A44" t="s">
        <v>861</v>
      </c>
      <c r="B44">
        <f>B41+B42-B43</f>
        <v>0</v>
      </c>
      <c r="G44" s="31"/>
      <c r="H44" s="31"/>
      <c r="I44" s="31"/>
      <c r="N44" s="31"/>
    </row>
    <row r="45" spans="1:18" x14ac:dyDescent="0.25">
      <c r="I45" s="31"/>
      <c r="J45" s="31"/>
      <c r="K45" s="31"/>
      <c r="P45" s="31"/>
    </row>
    <row r="46" spans="1:18" ht="75" x14ac:dyDescent="0.25">
      <c r="A46" s="31" t="s">
        <v>258</v>
      </c>
      <c r="B46" s="31" t="s">
        <v>259</v>
      </c>
      <c r="C46" s="32" t="s">
        <v>295</v>
      </c>
      <c r="D46" s="48" t="s">
        <v>862</v>
      </c>
      <c r="E46" s="48" t="s">
        <v>863</v>
      </c>
      <c r="F46" s="32" t="s">
        <v>864</v>
      </c>
      <c r="G46" s="32" t="s">
        <v>865</v>
      </c>
      <c r="H46" s="32" t="s">
        <v>293</v>
      </c>
      <c r="I46" s="49" t="s">
        <v>866</v>
      </c>
      <c r="J46" s="32" t="s">
        <v>867</v>
      </c>
      <c r="K46" s="32" t="s">
        <v>907</v>
      </c>
      <c r="L46" s="32" t="s">
        <v>908</v>
      </c>
      <c r="M46" s="32" t="s">
        <v>909</v>
      </c>
      <c r="N46" s="22" t="s">
        <v>421</v>
      </c>
      <c r="O46" s="22" t="s">
        <v>486</v>
      </c>
      <c r="P46" s="22" t="s">
        <v>487</v>
      </c>
      <c r="Q46" s="32" t="s">
        <v>868</v>
      </c>
      <c r="R46" s="32" t="s">
        <v>869</v>
      </c>
    </row>
    <row r="47" spans="1:18" x14ac:dyDescent="0.25">
      <c r="A47" t="s">
        <v>110</v>
      </c>
      <c r="D47" s="50"/>
      <c r="E47" s="50"/>
      <c r="H47" s="30">
        <f>IFERROR(G47/B47,0)</f>
        <v>0</v>
      </c>
      <c r="I47" s="47"/>
      <c r="J47" s="51">
        <f>IFERROR(B47/SUM($B$47:$B$58),0)</f>
        <v>0</v>
      </c>
      <c r="K47" s="63">
        <f>IFERROR($B$36*B47/SUM($B$47:$B$58),0)</f>
        <v>0</v>
      </c>
      <c r="L47" s="63">
        <f>IFERROR($B$40*B47/SUM($B$47:$B$58),0)</f>
        <v>0</v>
      </c>
      <c r="M47" s="63">
        <f>IFERROR($B$44*B47/SUM($B$47:$B$58),0)</f>
        <v>0</v>
      </c>
      <c r="N47" s="46" t="s">
        <v>420</v>
      </c>
      <c r="O47" t="s">
        <v>495</v>
      </c>
      <c r="P47" t="s">
        <v>490</v>
      </c>
      <c r="Q47" s="46" t="str">
        <f>A47</f>
        <v>Wheat</v>
      </c>
      <c r="R47" s="46"/>
    </row>
    <row r="48" spans="1:18" x14ac:dyDescent="0.25">
      <c r="A48" t="s">
        <v>111</v>
      </c>
      <c r="D48" s="50"/>
      <c r="E48" s="50"/>
      <c r="H48" s="30">
        <f t="shared" ref="H48:H58" si="0">IFERROR(G48/B48,0)</f>
        <v>0</v>
      </c>
      <c r="I48" s="47"/>
      <c r="J48" s="51">
        <f t="shared" ref="J48:J58" si="1">IFERROR(B48/SUM($B$47:$B$58),0)</f>
        <v>0</v>
      </c>
      <c r="K48" s="63">
        <f t="shared" ref="K48:K58" si="2">IFERROR($B$36*B48/SUM($B$47:$B$58),0)</f>
        <v>0</v>
      </c>
      <c r="L48" s="63">
        <f t="shared" ref="L48:L58" si="3">IFERROR($B$40*B48/SUM($B$47:$B$58),0)</f>
        <v>0</v>
      </c>
      <c r="M48" s="63">
        <f t="shared" ref="M48:M58" si="4">IFERROR($B$44*B48/SUM($B$47:$B$58),0)</f>
        <v>0</v>
      </c>
      <c r="N48" s="46"/>
      <c r="Q48" s="46" t="str">
        <f t="shared" ref="Q48:Q59" si="5">A48</f>
        <v>Barley</v>
      </c>
      <c r="R48" s="46"/>
    </row>
    <row r="49" spans="1:18" x14ac:dyDescent="0.25">
      <c r="A49" t="s">
        <v>112</v>
      </c>
      <c r="D49" s="50"/>
      <c r="E49" s="50"/>
      <c r="H49" s="30">
        <f t="shared" si="0"/>
        <v>0</v>
      </c>
      <c r="I49" s="47"/>
      <c r="J49" s="51">
        <f t="shared" si="1"/>
        <v>0</v>
      </c>
      <c r="K49" s="63">
        <f t="shared" si="2"/>
        <v>0</v>
      </c>
      <c r="L49" s="63">
        <f t="shared" si="3"/>
        <v>0</v>
      </c>
      <c r="M49" s="63">
        <f t="shared" si="4"/>
        <v>0</v>
      </c>
      <c r="N49" s="46"/>
      <c r="Q49" s="46" t="str">
        <f t="shared" si="5"/>
        <v>Canola</v>
      </c>
      <c r="R49" s="46"/>
    </row>
    <row r="50" spans="1:18" x14ac:dyDescent="0.25">
      <c r="A50" t="s">
        <v>79</v>
      </c>
      <c r="D50" s="50"/>
      <c r="E50" s="50"/>
      <c r="H50" s="30">
        <f t="shared" si="0"/>
        <v>0</v>
      </c>
      <c r="I50" s="47"/>
      <c r="J50" s="51">
        <f t="shared" si="1"/>
        <v>0</v>
      </c>
      <c r="K50" s="63">
        <f t="shared" si="2"/>
        <v>0</v>
      </c>
      <c r="L50" s="63">
        <f t="shared" si="3"/>
        <v>0</v>
      </c>
      <c r="M50" s="63">
        <f t="shared" si="4"/>
        <v>0</v>
      </c>
      <c r="N50" s="46"/>
      <c r="Q50" s="46" t="str">
        <f t="shared" si="5"/>
        <v>Lupins</v>
      </c>
      <c r="R50" s="46"/>
    </row>
    <row r="51" spans="1:18" x14ac:dyDescent="0.25">
      <c r="A51" t="s">
        <v>113</v>
      </c>
      <c r="D51" s="50"/>
      <c r="E51" s="50"/>
      <c r="H51" s="30">
        <f t="shared" si="0"/>
        <v>0</v>
      </c>
      <c r="I51" s="47"/>
      <c r="J51" s="51">
        <f t="shared" si="1"/>
        <v>0</v>
      </c>
      <c r="K51" s="63">
        <f t="shared" si="2"/>
        <v>0</v>
      </c>
      <c r="L51" s="63">
        <f t="shared" si="3"/>
        <v>0</v>
      </c>
      <c r="M51" s="63">
        <f t="shared" si="4"/>
        <v>0</v>
      </c>
      <c r="N51" s="46"/>
      <c r="Q51" s="46" t="str">
        <f t="shared" si="5"/>
        <v>Oats</v>
      </c>
      <c r="R51" s="46"/>
    </row>
    <row r="52" spans="1:18" x14ac:dyDescent="0.25">
      <c r="A52" t="s">
        <v>75</v>
      </c>
      <c r="D52" s="50"/>
      <c r="E52" s="50"/>
      <c r="H52" s="30">
        <f t="shared" si="0"/>
        <v>0</v>
      </c>
      <c r="I52" s="47"/>
      <c r="J52" s="51">
        <f t="shared" si="1"/>
        <v>0</v>
      </c>
      <c r="K52" s="63">
        <f t="shared" si="2"/>
        <v>0</v>
      </c>
      <c r="L52" s="63">
        <f t="shared" si="3"/>
        <v>0</v>
      </c>
      <c r="M52" s="63">
        <f t="shared" si="4"/>
        <v>0</v>
      </c>
      <c r="N52" s="46"/>
      <c r="Q52" s="46" t="str">
        <f t="shared" si="5"/>
        <v>Hay</v>
      </c>
      <c r="R52" s="46"/>
    </row>
    <row r="53" spans="1:18" x14ac:dyDescent="0.25">
      <c r="A53" t="s">
        <v>114</v>
      </c>
      <c r="D53" s="50"/>
      <c r="E53" s="50"/>
      <c r="H53" s="30">
        <f t="shared" si="0"/>
        <v>0</v>
      </c>
      <c r="I53" s="47"/>
      <c r="J53" s="51">
        <f t="shared" si="1"/>
        <v>0</v>
      </c>
      <c r="K53" s="63">
        <f t="shared" si="2"/>
        <v>0</v>
      </c>
      <c r="L53" s="63">
        <f t="shared" si="3"/>
        <v>0</v>
      </c>
      <c r="M53" s="63">
        <f t="shared" si="4"/>
        <v>0</v>
      </c>
      <c r="N53" s="46"/>
      <c r="Q53" s="46" t="str">
        <f t="shared" si="5"/>
        <v>Triticale</v>
      </c>
      <c r="R53" s="46"/>
    </row>
    <row r="54" spans="1:18" x14ac:dyDescent="0.25">
      <c r="A54" t="s">
        <v>115</v>
      </c>
      <c r="D54" s="50"/>
      <c r="E54" s="50"/>
      <c r="H54" s="30">
        <f t="shared" si="0"/>
        <v>0</v>
      </c>
      <c r="I54" s="47"/>
      <c r="J54" s="51">
        <f t="shared" si="1"/>
        <v>0</v>
      </c>
      <c r="K54" s="63">
        <f t="shared" si="2"/>
        <v>0</v>
      </c>
      <c r="L54" s="63">
        <f t="shared" si="3"/>
        <v>0</v>
      </c>
      <c r="M54" s="63">
        <f t="shared" si="4"/>
        <v>0</v>
      </c>
      <c r="N54" s="46"/>
      <c r="Q54" s="46" t="str">
        <f t="shared" si="5"/>
        <v>Field Peas</v>
      </c>
      <c r="R54" s="46"/>
    </row>
    <row r="55" spans="1:18" x14ac:dyDescent="0.25">
      <c r="A55" t="s">
        <v>116</v>
      </c>
      <c r="D55" s="50"/>
      <c r="E55" s="50"/>
      <c r="H55" s="30">
        <f t="shared" si="0"/>
        <v>0</v>
      </c>
      <c r="I55" s="47"/>
      <c r="J55" s="51">
        <f t="shared" si="1"/>
        <v>0</v>
      </c>
      <c r="K55" s="63">
        <f t="shared" si="2"/>
        <v>0</v>
      </c>
      <c r="L55" s="63">
        <f t="shared" si="3"/>
        <v>0</v>
      </c>
      <c r="M55" s="63">
        <f t="shared" si="4"/>
        <v>0</v>
      </c>
      <c r="N55" s="46"/>
      <c r="Q55" s="46" t="str">
        <f t="shared" si="5"/>
        <v>Chick Peas</v>
      </c>
      <c r="R55" s="46"/>
    </row>
    <row r="56" spans="1:18" x14ac:dyDescent="0.25">
      <c r="A56" t="s">
        <v>117</v>
      </c>
      <c r="D56" s="50"/>
      <c r="E56" s="50"/>
      <c r="H56" s="30">
        <f t="shared" si="0"/>
        <v>0</v>
      </c>
      <c r="I56" s="47"/>
      <c r="J56" s="51">
        <f t="shared" si="1"/>
        <v>0</v>
      </c>
      <c r="K56" s="63">
        <f t="shared" si="2"/>
        <v>0</v>
      </c>
      <c r="L56" s="63">
        <f t="shared" si="3"/>
        <v>0</v>
      </c>
      <c r="M56" s="63">
        <f t="shared" si="4"/>
        <v>0</v>
      </c>
      <c r="N56" s="46"/>
      <c r="Q56" s="46" t="str">
        <f t="shared" si="5"/>
        <v>Faba Beans</v>
      </c>
      <c r="R56" s="46"/>
    </row>
    <row r="57" spans="1:18" x14ac:dyDescent="0.25">
      <c r="A57" t="s">
        <v>118</v>
      </c>
      <c r="D57" s="50"/>
      <c r="E57" s="50"/>
      <c r="H57" s="30">
        <f t="shared" si="0"/>
        <v>0</v>
      </c>
      <c r="I57" s="47"/>
      <c r="J57" s="51">
        <f t="shared" si="1"/>
        <v>0</v>
      </c>
      <c r="K57" s="63">
        <f t="shared" si="2"/>
        <v>0</v>
      </c>
      <c r="L57" s="63">
        <f t="shared" si="3"/>
        <v>0</v>
      </c>
      <c r="M57" s="63">
        <f t="shared" si="4"/>
        <v>0</v>
      </c>
      <c r="N57" s="46"/>
      <c r="Q57" s="46" t="str">
        <f t="shared" si="5"/>
        <v>Lentils</v>
      </c>
      <c r="R57" s="46"/>
    </row>
    <row r="58" spans="1:18" x14ac:dyDescent="0.25">
      <c r="A58" t="s">
        <v>119</v>
      </c>
      <c r="D58" s="50"/>
      <c r="E58" s="50"/>
      <c r="H58" s="30">
        <f t="shared" si="0"/>
        <v>0</v>
      </c>
      <c r="I58" s="47"/>
      <c r="J58" s="51">
        <f t="shared" si="1"/>
        <v>0</v>
      </c>
      <c r="K58" s="63">
        <f t="shared" si="2"/>
        <v>0</v>
      </c>
      <c r="L58" s="63">
        <f t="shared" si="3"/>
        <v>0</v>
      </c>
      <c r="M58" s="63">
        <f t="shared" si="4"/>
        <v>0</v>
      </c>
      <c r="N58" s="46"/>
      <c r="Q58" s="46" t="str">
        <f t="shared" si="5"/>
        <v>Other Grains</v>
      </c>
      <c r="R58" s="46"/>
    </row>
    <row r="59" spans="1:18" x14ac:dyDescent="0.25">
      <c r="A59" s="31"/>
      <c r="Q59" s="52">
        <f t="shared" si="5"/>
        <v>0</v>
      </c>
    </row>
  </sheetData>
  <dataValidations count="2">
    <dataValidation type="decimal" allowBlank="1" showInputMessage="1" showErrorMessage="1" error="Percentage only" sqref="H47:H58 J47:M58" xr:uid="{5E21332E-1FB2-4011-95F1-1EA61C1DEF1A}">
      <formula1>0</formula1>
      <formula2>1</formula2>
    </dataValidation>
    <dataValidation type="list" allowBlank="1" showInputMessage="1" showErrorMessage="1" sqref="O47:O58" xr:uid="{CAA18A20-D9CA-4C8A-9DA1-78157B2888B4}">
      <formula1>"Harvesting Conventional, Harvesting Rotary, Mowing Conventional, Mowing Rotary, Swathing Conventional, Swathing Rotary"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B97A-9F0D-4EBA-B947-381AC2557A8D}">
  <dimension ref="A1:N41"/>
  <sheetViews>
    <sheetView topLeftCell="A14" workbookViewId="0">
      <selection activeCell="A29" sqref="A29"/>
    </sheetView>
  </sheetViews>
  <sheetFormatPr defaultRowHeight="15" x14ac:dyDescent="0.25"/>
  <cols>
    <col min="1" max="1" width="34.85546875" customWidth="1"/>
    <col min="2" max="13" width="12.7109375" customWidth="1"/>
    <col min="14" max="14" width="15.5703125" customWidth="1"/>
  </cols>
  <sheetData>
    <row r="1" spans="1:14" ht="31.5" x14ac:dyDescent="0.25">
      <c r="B1" s="53" t="str">
        <f>'Farm Data - Grains'!B1</f>
        <v>Wheat</v>
      </c>
      <c r="C1" s="53" t="str">
        <f>'Farm Data - Grains'!C1</f>
        <v>Barley</v>
      </c>
      <c r="D1" s="53" t="str">
        <f>'Farm Data - Grains'!D1</f>
        <v>Canola</v>
      </c>
      <c r="E1" s="53" t="str">
        <f>'Farm Data - Grains'!E1</f>
        <v>Lupins</v>
      </c>
      <c r="F1" s="53" t="str">
        <f>'Farm Data - Grains'!F1</f>
        <v>Oats</v>
      </c>
      <c r="G1" s="53" t="str">
        <f>'Farm Data - Grains'!G1</f>
        <v>Hay</v>
      </c>
      <c r="H1" s="53" t="str">
        <f>'Farm Data - Grains'!H1</f>
        <v>Triticale</v>
      </c>
      <c r="I1" s="53" t="str">
        <f>'Farm Data - Grains'!I1</f>
        <v>Field Peas</v>
      </c>
      <c r="J1" s="53" t="str">
        <f>'Farm Data - Grains'!J1</f>
        <v>Chick Peas</v>
      </c>
      <c r="K1" s="53" t="str">
        <f>'Farm Data - Grains'!K1</f>
        <v>Faba Beans</v>
      </c>
      <c r="L1" s="53" t="str">
        <f>'Farm Data - Grains'!L1</f>
        <v>Lentils</v>
      </c>
      <c r="M1" s="53" t="str">
        <f>'Farm Data - Grains'!M1</f>
        <v>Other Grains</v>
      </c>
      <c r="N1" s="53" t="s">
        <v>870</v>
      </c>
    </row>
    <row r="2" spans="1:14" x14ac:dyDescent="0.25">
      <c r="A2" s="66" t="s">
        <v>871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4" x14ac:dyDescent="0.25">
      <c r="A3" s="54" t="str">
        <f>'Farm Data - Grains'!A2</f>
        <v>Average grain yield (t/ha)</v>
      </c>
      <c r="B3" s="55">
        <f>'Farm Data - Grains'!B2</f>
        <v>0</v>
      </c>
      <c r="C3" s="55">
        <f>'Farm Data - Grains'!C2</f>
        <v>0</v>
      </c>
      <c r="D3" s="55">
        <f>'Farm Data - Grains'!D2</f>
        <v>0</v>
      </c>
      <c r="E3" s="55">
        <f>'Farm Data - Grains'!E2</f>
        <v>0</v>
      </c>
      <c r="F3" s="55">
        <f>'Farm Data - Grains'!F2</f>
        <v>0</v>
      </c>
      <c r="G3" s="55">
        <f>'Farm Data - Grains'!G2</f>
        <v>0</v>
      </c>
      <c r="H3" s="55">
        <f>'Farm Data - Grains'!H2</f>
        <v>0</v>
      </c>
      <c r="I3" s="55">
        <f>'Farm Data - Grains'!I2</f>
        <v>0</v>
      </c>
      <c r="J3" s="55">
        <f>'Farm Data - Grains'!J2</f>
        <v>0</v>
      </c>
      <c r="K3" s="55">
        <f>'Farm Data - Grains'!K2</f>
        <v>0</v>
      </c>
      <c r="L3" s="55">
        <f>'Farm Data - Grains'!L2</f>
        <v>0</v>
      </c>
      <c r="M3" s="55">
        <f>'Farm Data - Grains'!M2</f>
        <v>0</v>
      </c>
      <c r="N3" s="55" t="e">
        <f>AVERAGEIF(B3:M3, "&lt;&gt;0")</f>
        <v>#DIV/0!</v>
      </c>
    </row>
    <row r="4" spans="1:14" x14ac:dyDescent="0.25">
      <c r="A4" s="54" t="str">
        <f>'Farm Data - Grains'!A3</f>
        <v>Area sown (ha)</v>
      </c>
      <c r="B4" s="55">
        <f>'Farm Data - Grains'!B3</f>
        <v>0</v>
      </c>
      <c r="C4" s="55">
        <f>'Farm Data - Grains'!C3</f>
        <v>0</v>
      </c>
      <c r="D4" s="55">
        <f>'Farm Data - Grains'!D3</f>
        <v>0</v>
      </c>
      <c r="E4" s="55">
        <f>'Farm Data - Grains'!E3</f>
        <v>0</v>
      </c>
      <c r="F4" s="55">
        <f>'Farm Data - Grains'!F3</f>
        <v>0</v>
      </c>
      <c r="G4" s="55">
        <f>'Farm Data - Grains'!G3</f>
        <v>0</v>
      </c>
      <c r="H4" s="55">
        <f>'Farm Data - Grains'!H3</f>
        <v>0</v>
      </c>
      <c r="I4" s="55">
        <f>'Farm Data - Grains'!I3</f>
        <v>0</v>
      </c>
      <c r="J4" s="55">
        <f>'Farm Data - Grains'!J3</f>
        <v>0</v>
      </c>
      <c r="K4" s="55">
        <f>'Farm Data - Grains'!K3</f>
        <v>0</v>
      </c>
      <c r="L4" s="55">
        <f>'Farm Data - Grains'!L3</f>
        <v>0</v>
      </c>
      <c r="M4" s="55">
        <f>'Farm Data - Grains'!M3</f>
        <v>0</v>
      </c>
      <c r="N4" s="55">
        <f>SUMIF(B4:M4, "&lt;&gt;0")</f>
        <v>0</v>
      </c>
    </row>
    <row r="5" spans="1:14" x14ac:dyDescent="0.25">
      <c r="A5" s="54" t="s">
        <v>872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>
        <f>SUMIF(B5:M5, "&lt;&gt;0")</f>
        <v>0</v>
      </c>
    </row>
    <row r="6" spans="1:14" x14ac:dyDescent="0.25">
      <c r="A6" s="54" t="s">
        <v>873</v>
      </c>
      <c r="B6" s="56">
        <f>'Farm Data - Grains'!B12</f>
        <v>0</v>
      </c>
      <c r="C6" s="56">
        <f>'Farm Data - Grains'!C12</f>
        <v>0</v>
      </c>
      <c r="D6" s="56">
        <f>'Farm Data - Grains'!D12</f>
        <v>0</v>
      </c>
      <c r="E6" s="56">
        <f>'Farm Data - Grains'!E12</f>
        <v>0</v>
      </c>
      <c r="F6" s="56">
        <f>'Farm Data - Grains'!F12</f>
        <v>0</v>
      </c>
      <c r="G6" s="56">
        <f>'Farm Data - Grains'!G12</f>
        <v>0</v>
      </c>
      <c r="H6" s="56">
        <f>'Farm Data - Grains'!H12</f>
        <v>0</v>
      </c>
      <c r="I6" s="56">
        <f>'Farm Data - Grains'!I12</f>
        <v>0</v>
      </c>
      <c r="J6" s="56">
        <f>'Farm Data - Grains'!J12</f>
        <v>0</v>
      </c>
      <c r="K6" s="56">
        <f>'Farm Data - Grains'!K12</f>
        <v>0</v>
      </c>
      <c r="L6" s="56">
        <f>'Farm Data - Grains'!L12</f>
        <v>0</v>
      </c>
      <c r="M6" s="56">
        <f>'Farm Data - Grains'!M12</f>
        <v>0</v>
      </c>
      <c r="N6" s="56" t="e">
        <f>(SUM((B4*B6),(C4*C6),(D4*D6),(E4*E6),(F4*F6),(G4*G6),(H4*H6),(I4*I6),(J4*J6),(K4*K6),(L4*L6),(M4*M6)))/N4</f>
        <v>#DIV/0!</v>
      </c>
    </row>
    <row r="7" spans="1:14" x14ac:dyDescent="0.25">
      <c r="A7" s="67" t="s">
        <v>849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x14ac:dyDescent="0.25">
      <c r="A8" s="57" t="s">
        <v>874</v>
      </c>
      <c r="B8" s="55">
        <f ca="1">'Farm Data - Grains'!B13</f>
        <v>0</v>
      </c>
      <c r="C8" s="55">
        <f ca="1">'Farm Data - Grains'!C13</f>
        <v>0</v>
      </c>
      <c r="D8" s="55">
        <f ca="1">'Farm Data - Grains'!D13</f>
        <v>0</v>
      </c>
      <c r="E8" s="55">
        <f ca="1">'Farm Data - Grains'!E13</f>
        <v>0</v>
      </c>
      <c r="F8" s="55">
        <f ca="1">'Farm Data - Grains'!F13</f>
        <v>0</v>
      </c>
      <c r="G8" s="55">
        <f ca="1">'Farm Data - Grains'!G13</f>
        <v>0</v>
      </c>
      <c r="H8" s="55">
        <f ca="1">'Farm Data - Grains'!H13</f>
        <v>0</v>
      </c>
      <c r="I8" s="55">
        <f ca="1">'Farm Data - Grains'!I13</f>
        <v>0</v>
      </c>
      <c r="J8" s="55">
        <f ca="1">'Farm Data - Grains'!J13</f>
        <v>0</v>
      </c>
      <c r="K8" s="55">
        <f ca="1">'Farm Data - Grains'!K13</f>
        <v>0</v>
      </c>
      <c r="L8" s="55">
        <f ca="1">'Farm Data - Grains'!L13</f>
        <v>0</v>
      </c>
      <c r="M8" s="55">
        <f ca="1">'Farm Data - Grains'!M13</f>
        <v>0</v>
      </c>
      <c r="N8" s="55">
        <f ca="1">SUMIF(B8:M8, "&lt;&gt;0")</f>
        <v>0</v>
      </c>
    </row>
    <row r="9" spans="1:14" x14ac:dyDescent="0.25">
      <c r="A9" s="57" t="s">
        <v>875</v>
      </c>
      <c r="B9" s="55">
        <f ca="1">'Farm Data - Grains'!B14</f>
        <v>0</v>
      </c>
      <c r="C9" s="55">
        <f ca="1">'Farm Data - Grains'!C14</f>
        <v>0</v>
      </c>
      <c r="D9" s="55">
        <f ca="1">'Farm Data - Grains'!D14</f>
        <v>0</v>
      </c>
      <c r="E9" s="55">
        <f ca="1">'Farm Data - Grains'!E14</f>
        <v>0</v>
      </c>
      <c r="F9" s="55">
        <f ca="1">'Farm Data - Grains'!F14</f>
        <v>0</v>
      </c>
      <c r="G9" s="55">
        <f ca="1">'Farm Data - Grains'!G14</f>
        <v>0</v>
      </c>
      <c r="H9" s="55">
        <f ca="1">'Farm Data - Grains'!H14</f>
        <v>0</v>
      </c>
      <c r="I9" s="55">
        <f ca="1">'Farm Data - Grains'!I14</f>
        <v>0</v>
      </c>
      <c r="J9" s="55">
        <f ca="1">'Farm Data - Grains'!J14</f>
        <v>0</v>
      </c>
      <c r="K9" s="55">
        <f ca="1">'Farm Data - Grains'!K14</f>
        <v>0</v>
      </c>
      <c r="L9" s="55">
        <f ca="1">'Farm Data - Grains'!L14</f>
        <v>0</v>
      </c>
      <c r="M9" s="55">
        <f ca="1">'Farm Data - Grains'!M14</f>
        <v>0</v>
      </c>
      <c r="N9" s="55">
        <f t="shared" ref="N9:N10" ca="1" si="0">SUMIF(B9:M9, "&lt;&gt;0")</f>
        <v>0</v>
      </c>
    </row>
    <row r="10" spans="1:14" x14ac:dyDescent="0.25">
      <c r="A10" s="57" t="s">
        <v>876</v>
      </c>
      <c r="B10" s="55" cm="1">
        <f t="array" aca="1" ref="B10" ca="1">SUMPRODUCT(--('Fuel Usage - Input'!$E$2:$E$54=B$1),--('Fuel Usage - Input'!$F$2:$F$54="LPG"),'Fuel Usage - Input'!$P$2:$P$54)</f>
        <v>0</v>
      </c>
      <c r="C10" s="55" cm="1">
        <f t="array" aca="1" ref="C10" ca="1">SUMPRODUCT(--('Fuel Usage - Input'!$E$2:$E$54=C$1),--('Fuel Usage - Input'!$F$2:$F$54="LPG"),'Fuel Usage - Input'!$P$2:$P$54)</f>
        <v>0</v>
      </c>
      <c r="D10" s="55" cm="1">
        <f t="array" aca="1" ref="D10" ca="1">SUMPRODUCT(--('Fuel Usage - Input'!$E$2:$E$54=D$1),--('Fuel Usage - Input'!$F$2:$F$54="LPG"),'Fuel Usage - Input'!$P$2:$P$54)</f>
        <v>0</v>
      </c>
      <c r="E10" s="55" cm="1">
        <f t="array" aca="1" ref="E10" ca="1">SUMPRODUCT(--('Fuel Usage - Input'!$E$2:$E$54=E$1),--('Fuel Usage - Input'!$F$2:$F$54="LPG"),'Fuel Usage - Input'!$P$2:$P$54)</f>
        <v>0</v>
      </c>
      <c r="F10" s="55" cm="1">
        <f t="array" aca="1" ref="F10" ca="1">SUMPRODUCT(--('Fuel Usage - Input'!$E$2:$E$54=F$1),--('Fuel Usage - Input'!$F$2:$F$54="LPG"),'Fuel Usage - Input'!$P$2:$P$54)</f>
        <v>0</v>
      </c>
      <c r="G10" s="55" cm="1">
        <f t="array" aca="1" ref="G10" ca="1">SUMPRODUCT(--('Fuel Usage - Input'!$E$2:$E$54=G$1),--('Fuel Usage - Input'!$F$2:$F$54="LPG"),'Fuel Usage - Input'!$P$2:$P$54)</f>
        <v>0</v>
      </c>
      <c r="H10" s="55" cm="1">
        <f t="array" aca="1" ref="H10" ca="1">SUMPRODUCT(--('Fuel Usage - Input'!$E$2:$E$54=H$1),--('Fuel Usage - Input'!$F$2:$F$54="LPG"),'Fuel Usage - Input'!$P$2:$P$54)</f>
        <v>0</v>
      </c>
      <c r="I10" s="55" cm="1">
        <f t="array" aca="1" ref="I10" ca="1">SUMPRODUCT(--('Fuel Usage - Input'!$E$2:$E$54=I$1),--('Fuel Usage - Input'!$F$2:$F$54="LPG"),'Fuel Usage - Input'!$P$2:$P$54)</f>
        <v>0</v>
      </c>
      <c r="J10" s="55" cm="1">
        <f t="array" aca="1" ref="J10" ca="1">SUMPRODUCT(--('Fuel Usage - Input'!$E$2:$E$54=J$1),--('Fuel Usage - Input'!$F$2:$F$54="LPG"),'Fuel Usage - Input'!$P$2:$P$54)</f>
        <v>0</v>
      </c>
      <c r="K10" s="55" cm="1">
        <f t="array" aca="1" ref="K10" ca="1">SUMPRODUCT(--('Fuel Usage - Input'!$E$2:$E$54=K$1),--('Fuel Usage - Input'!$F$2:$F$54="LPG"),'Fuel Usage - Input'!$P$2:$P$54)</f>
        <v>0</v>
      </c>
      <c r="L10" s="55" cm="1">
        <f t="array" aca="1" ref="L10" ca="1">SUMPRODUCT(--('Fuel Usage - Input'!$E$2:$E$54=L$1),--('Fuel Usage - Input'!$F$2:$F$54="LPG"),'Fuel Usage - Input'!$P$2:$P$54)</f>
        <v>0</v>
      </c>
      <c r="M10" s="55" cm="1">
        <f t="array" aca="1" ref="M10" ca="1">SUMPRODUCT(--('Fuel Usage - Input'!$E$2:$E$54=M$1),--('Fuel Usage - Input'!$F$2:$F$54="LPG"),'Fuel Usage - Input'!$P$2:$P$54)</f>
        <v>0</v>
      </c>
      <c r="N10" s="55">
        <f t="shared" ca="1" si="0"/>
        <v>0</v>
      </c>
    </row>
    <row r="11" spans="1:14" x14ac:dyDescent="0.25">
      <c r="A11" s="65" t="s">
        <v>877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1:14" x14ac:dyDescent="0.25">
      <c r="A12" s="58" t="s">
        <v>878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5">
        <f t="shared" ref="N12:N28" si="1">SUM(B12:M12)</f>
        <v>0</v>
      </c>
    </row>
    <row r="13" spans="1:14" x14ac:dyDescent="0.25">
      <c r="A13" s="54" t="s">
        <v>879</v>
      </c>
      <c r="B13" s="55">
        <f>'Farm Data - Grains'!B10</f>
        <v>0</v>
      </c>
      <c r="C13" s="55">
        <f>'Farm Data - Grains'!C10</f>
        <v>0</v>
      </c>
      <c r="D13" s="55">
        <f>'Farm Data - Grains'!D10</f>
        <v>0</v>
      </c>
      <c r="E13" s="55">
        <f>'Farm Data - Grains'!E10</f>
        <v>0</v>
      </c>
      <c r="F13" s="55">
        <f>'Farm Data - Grains'!F10</f>
        <v>0</v>
      </c>
      <c r="G13" s="55">
        <f>'Farm Data - Grains'!G10</f>
        <v>0</v>
      </c>
      <c r="H13" s="55">
        <f>'Farm Data - Grains'!H10</f>
        <v>0</v>
      </c>
      <c r="I13" s="55">
        <f>'Farm Data - Grains'!I10</f>
        <v>0</v>
      </c>
      <c r="J13" s="55">
        <f>'Farm Data - Grains'!J10</f>
        <v>0</v>
      </c>
      <c r="K13" s="55">
        <f>'Farm Data - Grains'!K10</f>
        <v>0</v>
      </c>
      <c r="L13" s="55">
        <f>'Farm Data - Grains'!L10</f>
        <v>0</v>
      </c>
      <c r="M13" s="55">
        <f>'Farm Data - Grains'!M10</f>
        <v>0</v>
      </c>
      <c r="N13" s="55">
        <f t="shared" si="1"/>
        <v>0</v>
      </c>
    </row>
    <row r="14" spans="1:14" ht="30" x14ac:dyDescent="0.25">
      <c r="A14" s="54" t="s">
        <v>880</v>
      </c>
      <c r="B14" s="55">
        <f ca="1">'Farm Data - Grains'!B11</f>
        <v>0</v>
      </c>
      <c r="C14" s="55">
        <f ca="1">'Farm Data - Grains'!C11</f>
        <v>0</v>
      </c>
      <c r="D14" s="55">
        <f ca="1">'Farm Data - Grains'!D11</f>
        <v>0</v>
      </c>
      <c r="E14" s="55">
        <f ca="1">'Farm Data - Grains'!E11</f>
        <v>0</v>
      </c>
      <c r="F14" s="55">
        <f ca="1">'Farm Data - Grains'!F11</f>
        <v>0</v>
      </c>
      <c r="G14" s="55">
        <f ca="1">'Farm Data - Grains'!G11</f>
        <v>0</v>
      </c>
      <c r="H14" s="55">
        <f ca="1">'Farm Data - Grains'!H11</f>
        <v>0</v>
      </c>
      <c r="I14" s="55">
        <f ca="1">'Farm Data - Grains'!I11</f>
        <v>0</v>
      </c>
      <c r="J14" s="55">
        <f ca="1">'Farm Data - Grains'!J11</f>
        <v>0</v>
      </c>
      <c r="K14" s="55">
        <f ca="1">'Farm Data - Grains'!K11</f>
        <v>0</v>
      </c>
      <c r="L14" s="55">
        <f ca="1">'Farm Data - Grains'!L11</f>
        <v>0</v>
      </c>
      <c r="M14" s="55">
        <f ca="1">'Farm Data - Grains'!M11</f>
        <v>0</v>
      </c>
      <c r="N14" s="55">
        <f ca="1">IFERROR(AVERAGEIF(B14:M14, "&lt;&gt;0",B14:M14),0)</f>
        <v>0</v>
      </c>
    </row>
    <row r="15" spans="1:14" x14ac:dyDescent="0.25">
      <c r="A15" s="54" t="s">
        <v>125</v>
      </c>
      <c r="B15" s="60">
        <f ca="1">IFERROR(SUMIF('Fertiliser Applied - Input'!$C$2:$C$131,"=wheat",'Fertiliser Applied - Input'!$J$2:$J$95)/B$4,0)</f>
        <v>0</v>
      </c>
      <c r="C15" s="60">
        <f ca="1">IFERROR(SUMIF('Fertiliser Applied - Input'!$C$2:$C$131,"=barley",'Fertiliser Applied - Input'!$J$2:$J$95)/C$4,0)</f>
        <v>0</v>
      </c>
      <c r="D15" s="60">
        <f ca="1">IFERROR(SUMIF('Fertiliser Applied - Input'!$C$2:$C$131,"=canola",'Fertiliser Applied - Input'!$J$2:$J$95)/D$4,0)</f>
        <v>0</v>
      </c>
      <c r="E15" s="60">
        <f ca="1">IFERROR(SUMIF('Fertiliser Applied - Input'!$C$2:$C$131,"=lupins",'Fertiliser Applied - Input'!$J$2:$J$95)/E$4,0)</f>
        <v>0</v>
      </c>
      <c r="F15" s="60">
        <f ca="1">IFERROR(SUMIF('Fertiliser Applied - Input'!$C$2:$C$131,"=oats",'Fertiliser Applied - Input'!$J$2:$J$95)/F$4,0)</f>
        <v>0</v>
      </c>
      <c r="G15" s="60">
        <f ca="1">IFERROR(SUMIF('Fertiliser Applied - Input'!$C$2:$C$131,"=hay",'Fertiliser Applied - Input'!$J$2:$J$95)/G$4,0)</f>
        <v>0</v>
      </c>
      <c r="H15" s="60">
        <f ca="1">IFERROR(SUMIF('Fertiliser Applied - Input'!$C$2:$C$131,"=triticale",'Fertiliser Applied - Input'!$J$2:$J$95)/H$4,0)</f>
        <v>0</v>
      </c>
      <c r="I15" s="60">
        <f ca="1">IFERROR(SUMIF('Fertiliser Applied - Input'!$C$2:$C$131,"=field peas",'Fertiliser Applied - Input'!$J$2:$J$95)/I$4,0)</f>
        <v>0</v>
      </c>
      <c r="J15" s="60">
        <f ca="1">IFERROR(SUMIF('Fertiliser Applied - Input'!$C$2:$C$131,"=chick peas",'Fertiliser Applied - Input'!$J$2:$J$95)/J$4,0)</f>
        <v>0</v>
      </c>
      <c r="K15" s="60">
        <f ca="1">IFERROR(SUMIF('Fertiliser Applied - Input'!$C$2:$C$131,"=faba beans",'Fertiliser Applied - Input'!$J$2:$J$95)/K$4,0)</f>
        <v>0</v>
      </c>
      <c r="L15" s="60">
        <f ca="1">IFERROR(SUMIF('Fertiliser Applied - Input'!$C$2:$C$131,"=lentils",'Fertiliser Applied - Input'!$J$2:$J$95)/L$4,0)</f>
        <v>0</v>
      </c>
      <c r="M15" s="60">
        <f ca="1">IFERROR(SUMIF('Fertiliser Applied - Input'!$C$2:$C$131,"=other grains",'Fertiliser Applied - Input'!$J$2:$J$95)/M$4,0)</f>
        <v>0</v>
      </c>
      <c r="N15" s="55">
        <f t="shared" ca="1" si="1"/>
        <v>0</v>
      </c>
    </row>
    <row r="16" spans="1:14" ht="30" x14ac:dyDescent="0.25">
      <c r="A16" s="54" t="s">
        <v>121</v>
      </c>
      <c r="B16" s="60">
        <f ca="1">IFERROR(SUMIF('Fertiliser Applied - Input'!$C$2:$C$131,"=wheat",'Fertiliser Applied - Input'!$I$2:$I$95)/B$4,0)</f>
        <v>0</v>
      </c>
      <c r="C16" s="60">
        <f ca="1">IFERROR(SUMIF('Fertiliser Applied - Input'!$C$2:$C$131,"=barley",'Fertiliser Applied - Input'!$I$2:$I$95)/C$4,0)</f>
        <v>0</v>
      </c>
      <c r="D16" s="60">
        <f ca="1">IFERROR(SUMIF('Fertiliser Applied - Input'!$C$2:$C$131,"=canola",'Fertiliser Applied - Input'!$I$2:$I$95)/D$4,0)</f>
        <v>0</v>
      </c>
      <c r="E16" s="60">
        <f ca="1">IFERROR(SUMIF('Fertiliser Applied - Input'!$C$2:$C$131,"=lupins",'Fertiliser Applied - Input'!$I$2:$I$95)/E$4,0)</f>
        <v>0</v>
      </c>
      <c r="F16" s="60">
        <f ca="1">IFERROR(SUMIF('Fertiliser Applied - Input'!$C$2:$C$131,"=oats",'Fertiliser Applied - Input'!$I$2:$I$95)/F$4,0)</f>
        <v>0</v>
      </c>
      <c r="G16" s="60">
        <f ca="1">IFERROR(SUMIF('Fertiliser Applied - Input'!$C$2:$C$131,"=hay",'Fertiliser Applied - Input'!$I$2:$I$95)/G$4,0)</f>
        <v>0</v>
      </c>
      <c r="H16" s="60">
        <f ca="1">IFERROR(SUMIF('Fertiliser Applied - Input'!$C$2:$C$131,"=triticale",'Fertiliser Applied - Input'!$I$2:$I$95)/H$4,0)</f>
        <v>0</v>
      </c>
      <c r="I16" s="60">
        <f ca="1">IFERROR(SUMIF('Fertiliser Applied - Input'!$C$2:$C$131,"=field peas",'Fertiliser Applied - Input'!$I$2:$I$95)/I$4,0)</f>
        <v>0</v>
      </c>
      <c r="J16" s="60">
        <f ca="1">IFERROR(SUMIF('Fertiliser Applied - Input'!$C$2:$C$131,"=chick peas",'Fertiliser Applied - Input'!$I$2:$I$95)/J$4,0)</f>
        <v>0</v>
      </c>
      <c r="K16" s="60">
        <f ca="1">IFERROR(SUMIF('Fertiliser Applied - Input'!$C$2:$C$131,"=faba beans",'Fertiliser Applied - Input'!$I$2:$I$95)/K$4,0)</f>
        <v>0</v>
      </c>
      <c r="L16" s="60">
        <f ca="1">IFERROR(SUMIF('Fertiliser Applied - Input'!$C$2:$C$131,"=lentils",'Fertiliser Applied - Input'!$I$2:$I$95)/L$4,0)</f>
        <v>0</v>
      </c>
      <c r="M16" s="60">
        <f ca="1">IFERROR(SUMIF('Fertiliser Applied - Input'!$C$2:$C$131,"=other grains",'Fertiliser Applied - Input'!$I$2:$I$95)/M$4,0)</f>
        <v>0</v>
      </c>
      <c r="N16" s="55">
        <f t="shared" ca="1" si="1"/>
        <v>0</v>
      </c>
    </row>
    <row r="17" spans="1:14" ht="30" x14ac:dyDescent="0.25">
      <c r="A17" s="54" t="s">
        <v>126</v>
      </c>
      <c r="B17" s="60">
        <f ca="1">IFERROR(SUMIF('Fertiliser Applied - Input'!$C$2:$C$131,"=wheat",'Fertiliser Applied - Input'!$K$2:$K$95)/B$4,0)</f>
        <v>0</v>
      </c>
      <c r="C17" s="60">
        <v>0</v>
      </c>
      <c r="D17" s="60">
        <f ca="1">IFERROR(SUMIF('Fertiliser Applied - Input'!$C$2:$C$131,"=canola",'Fertiliser Applied - Input'!$K$2:$K$95)/D$4,0)</f>
        <v>0</v>
      </c>
      <c r="E17" s="60">
        <f ca="1">IFERROR(SUMIF('Fertiliser Applied - Input'!$C$2:$C$131,"=lupins",'Fertiliser Applied - Input'!$K$2:$K$95)/E$4,0)</f>
        <v>0</v>
      </c>
      <c r="F17" s="60">
        <f ca="1">IFERROR(SUMIF('Fertiliser Applied - Input'!$C$2:$C$131,"=oats",'Fertiliser Applied - Input'!$K$2:$K$95)/F$4,0)</f>
        <v>0</v>
      </c>
      <c r="G17" s="60">
        <f ca="1">IFERROR(SUMIF('Fertiliser Applied - Input'!$C$2:$C$131,"=hay",'Fertiliser Applied - Input'!$K$2:$K$95)/G$4,0)</f>
        <v>0</v>
      </c>
      <c r="H17" s="60">
        <f ca="1">IFERROR(SUMIF('Fertiliser Applied - Input'!$C$2:$C$131,"=triticale",'Fertiliser Applied - Input'!$K$2:$K$95)/H$4,0)</f>
        <v>0</v>
      </c>
      <c r="I17" s="60">
        <f ca="1">IFERROR(SUMIF('Fertiliser Applied - Input'!$C$2:$C$131,"=field peas",'Fertiliser Applied - Input'!$K$2:$K$95)/I$4,0)</f>
        <v>0</v>
      </c>
      <c r="J17" s="60">
        <f ca="1">IFERROR(SUMIF('Fertiliser Applied - Input'!$C$2:$C$131,"=chick peas",'Fertiliser Applied - Input'!$K$2:$K$95)/J$4,0)</f>
        <v>0</v>
      </c>
      <c r="K17" s="60">
        <f ca="1">IFERROR(SUMIF('Fertiliser Applied - Input'!$C$2:$C$131,"=faba beans",'Fertiliser Applied - Input'!$K$2:$K$95)/K$4,0)</f>
        <v>0</v>
      </c>
      <c r="L17" s="60">
        <f ca="1">IFERROR(SUMIF('Fertiliser Applied - Input'!$C$2:$C$131,"=lentils",'Fertiliser Applied - Input'!$K$2:$K$95)/L$4,0)</f>
        <v>0</v>
      </c>
      <c r="M17" s="60">
        <f ca="1">IFERROR(SUMIF('Fertiliser Applied - Input'!$C$2:$C$131,"=other grains",'Fertiliser Applied - Input'!$K$2:$K$95)/M$4,0)</f>
        <v>0</v>
      </c>
      <c r="N17" s="55">
        <f t="shared" ca="1" si="1"/>
        <v>0</v>
      </c>
    </row>
    <row r="18" spans="1:14" x14ac:dyDescent="0.25">
      <c r="A18" s="54" t="s">
        <v>123</v>
      </c>
      <c r="B18" s="60">
        <f ca="1">IFERROR(SUMIF('Fertiliser Applied - Input'!$C$2:$C$131,"=wheat",'Fertiliser Applied - Input'!$M$2:$M$95)/B$4,0)</f>
        <v>0</v>
      </c>
      <c r="C18" s="60">
        <f ca="1">IFERROR(SUMIF('Fertiliser Applied - Input'!$C$2:$C$131,"=barley",'Fertiliser Applied - Input'!$L$2:$L$95)/C$4,0)</f>
        <v>0</v>
      </c>
      <c r="D18" s="60">
        <f ca="1">IFERROR(SUMIF('Fertiliser Applied - Input'!$C$2:$C$131,"=canola",'Fertiliser Applied - Input'!$L$2:$L$95)/D$4,0)</f>
        <v>0</v>
      </c>
      <c r="E18" s="60">
        <f ca="1">IFERROR(SUMIF('Fertiliser Applied - Input'!$C$2:$C$131,"=lupins",'Fertiliser Applied - Input'!$L$2:$L$95)/E$4,0)</f>
        <v>0</v>
      </c>
      <c r="F18" s="60">
        <f ca="1">IFERROR(SUMIF('Fertiliser Applied - Input'!$C$2:$C$131,"=oats",'Fertiliser Applied - Input'!$L$2:$L$95)/F$4,0)</f>
        <v>0</v>
      </c>
      <c r="G18" s="60">
        <f ca="1">IFERROR(SUMIF('Fertiliser Applied - Input'!$C$2:$C$131,"=hay",'Fertiliser Applied - Input'!$L$2:$L$95)/G$4,0)</f>
        <v>0</v>
      </c>
      <c r="H18" s="60">
        <f ca="1">IFERROR(SUMIF('Fertiliser Applied - Input'!$C$2:$C$131,"=triticale",'Fertiliser Applied - Input'!$L$2:$L$95)/H$4,0)</f>
        <v>0</v>
      </c>
      <c r="I18" s="60">
        <f ca="1">IFERROR(SUMIF('Fertiliser Applied - Input'!$C$2:$C$131,"=field peas",'Fertiliser Applied - Input'!$L$2:$L$95)/I$4,0)</f>
        <v>0</v>
      </c>
      <c r="J18" s="60">
        <f ca="1">IFERROR(SUMIF('Fertiliser Applied - Input'!$C$2:$C$131,"=chick peas",'Fertiliser Applied - Input'!$L$2:$L$95)/J$4,0)</f>
        <v>0</v>
      </c>
      <c r="K18" s="60">
        <f ca="1">IFERROR(SUMIF('Fertiliser Applied - Input'!$C$2:$C$131,"=faba beans",'Fertiliser Applied - Input'!$L$2:$L$95)/K$4,0)</f>
        <v>0</v>
      </c>
      <c r="L18" s="60">
        <f ca="1">IFERROR(SUMIF('Fertiliser Applied - Input'!$C$2:$C$131,"=lentils",'Fertiliser Applied - Input'!$L$2:$L$95)/L$4,0)</f>
        <v>0</v>
      </c>
      <c r="M18" s="60">
        <f ca="1">IFERROR(SUMIF('Fertiliser Applied - Input'!$C$2:$C$131,"=other grains",'Fertiliser Applied - Input'!$L$2:$L$95)/M$4,0)</f>
        <v>0</v>
      </c>
      <c r="N18" s="55">
        <f t="shared" ca="1" si="1"/>
        <v>0</v>
      </c>
    </row>
    <row r="19" spans="1:14" x14ac:dyDescent="0.25">
      <c r="A19" s="54" t="s">
        <v>122</v>
      </c>
      <c r="B19" s="60">
        <f ca="1">IFERROR(SUMIF('Fertiliser Applied - Input'!$C$2:$C$131,"=wheat",'Fertiliser Applied - Input'!$M$2:$M$95)/B$4,0)</f>
        <v>0</v>
      </c>
      <c r="C19" s="60">
        <f ca="1">IFERROR(SUMIF('Fertiliser Applied - Input'!$C$2:$C$131,"=barley",'Fertiliser Applied - Input'!$M$2:$M$95)/C$4,0)</f>
        <v>0</v>
      </c>
      <c r="D19" s="60">
        <f ca="1">IFERROR(SUMIF('Fertiliser Applied - Input'!$C$2:$C$131,"=canola",'Fertiliser Applied - Input'!$M$2:$M$95)/D$4,0)</f>
        <v>0</v>
      </c>
      <c r="E19" s="60">
        <f ca="1">IFERROR(SUMIF('Fertiliser Applied - Input'!$C$2:$C$131,"=lupins",'Fertiliser Applied - Input'!$M$2:$M$95)/E$4,0)</f>
        <v>0</v>
      </c>
      <c r="F19" s="60">
        <f ca="1">IFERROR(SUMIF('Fertiliser Applied - Input'!$C$2:$C$131,"=oats",'Fertiliser Applied - Input'!$M$2:$M$95)/F$4,0)</f>
        <v>0</v>
      </c>
      <c r="G19" s="60">
        <f ca="1">IFERROR(SUMIF('Fertiliser Applied - Input'!$C$2:$C$131,"=hay",'Fertiliser Applied - Input'!$M$2:$M$95)/G$4,0)</f>
        <v>0</v>
      </c>
      <c r="H19" s="60">
        <f ca="1">IFERROR(SUMIF('Fertiliser Applied - Input'!$C$2:$C$131,"=triticale",'Fertiliser Applied - Input'!$M$2:$M$95)/H$4,0)</f>
        <v>0</v>
      </c>
      <c r="I19" s="60">
        <f ca="1">IFERROR(SUMIF('Fertiliser Applied - Input'!$C$2:$C$131,"=field peas",'Fertiliser Applied - Input'!$M$2:$M$95)/I$4,0)</f>
        <v>0</v>
      </c>
      <c r="J19" s="60">
        <f ca="1">IFERROR(SUMIF('Fertiliser Applied - Input'!$C$2:$C$131,"=chick peas",'Fertiliser Applied - Input'!$M$2:$M$95)/J$4,0)</f>
        <v>0</v>
      </c>
      <c r="K19" s="60">
        <f ca="1">IFERROR(SUMIF('Fertiliser Applied - Input'!$C$2:$C$131,"=faba beans",'Fertiliser Applied - Input'!$M$2:$M$95)/K$4,0)</f>
        <v>0</v>
      </c>
      <c r="L19" s="60">
        <f ca="1">IFERROR(SUMIF('Fertiliser Applied - Input'!$C$2:$C$131,"=lentils",'Fertiliser Applied - Input'!$M$2:$M$95)/L$4,0)</f>
        <v>0</v>
      </c>
      <c r="M19" s="60">
        <f ca="1">IFERROR(SUMIF('Fertiliser Applied - Input'!$C$2:$C$131,"=other grains",'Fertiliser Applied - Input'!$M$2:$M$95)/M$4,0)</f>
        <v>0</v>
      </c>
      <c r="N19" s="55">
        <f t="shared" ca="1" si="1"/>
        <v>0</v>
      </c>
    </row>
    <row r="20" spans="1:14" x14ac:dyDescent="0.25">
      <c r="A20" s="54" t="s">
        <v>124</v>
      </c>
      <c r="B20" s="60">
        <f ca="1">IFERROR(SUMIF('Fertiliser Applied - Input'!$C$2:$C$131,"=wheat",'Fertiliser Applied - Input'!$N$2:$N$95)/B$4,0)</f>
        <v>0</v>
      </c>
      <c r="C20" s="60">
        <f ca="1">IFERROR(SUMIF('Fertiliser Applied - Input'!$C$2:$C$131,"=barley",'Fertiliser Applied - Input'!$N$2:$N$95)/C$4,0)</f>
        <v>0</v>
      </c>
      <c r="D20" s="60">
        <f ca="1">IFERROR(SUMIF('Fertiliser Applied - Input'!$C$2:$C$131,"=canola",'Fertiliser Applied - Input'!$N$2:$N$95)/D$4,0)</f>
        <v>0</v>
      </c>
      <c r="E20" s="60">
        <f ca="1">IFERROR(SUMIF('Fertiliser Applied - Input'!$C$2:$C$131,"=lupins",'Fertiliser Applied - Input'!$N$2:$N$95)/E$4,0)</f>
        <v>0</v>
      </c>
      <c r="F20" s="60">
        <f ca="1">IFERROR(SUMIF('Fertiliser Applied - Input'!$C$2:$C$131,"=oats",'Fertiliser Applied - Input'!$N$2:$N$95)/F$4,0)</f>
        <v>0</v>
      </c>
      <c r="G20" s="60">
        <f ca="1">IFERROR(SUMIF('Fertiliser Applied - Input'!$C$2:$C$131,"=hay",'Fertiliser Applied - Input'!$N$2:$N$95)/G$4,0)</f>
        <v>0</v>
      </c>
      <c r="H20" s="60">
        <f ca="1">IFERROR(SUMIF('Fertiliser Applied - Input'!$C$2:$C$131,"=triticale",'Fertiliser Applied - Input'!$N$2:$N$95)/H$4,0)</f>
        <v>0</v>
      </c>
      <c r="I20" s="60">
        <f ca="1">IFERROR(SUMIF('Fertiliser Applied - Input'!$C$2:$C$131,"=field peas",'Fertiliser Applied - Input'!$N$2:$N$95)/I$4,0)</f>
        <v>0</v>
      </c>
      <c r="J20" s="60">
        <f ca="1">IFERROR(SUMIF('Fertiliser Applied - Input'!$C$2:$C$131,"=chick peas",'Fertiliser Applied - Input'!$N$2:$N$95)/J$4,0)</f>
        <v>0</v>
      </c>
      <c r="K20" s="60">
        <f ca="1">IFERROR(SUMIF('Fertiliser Applied - Input'!$C$2:$C$131,"=faba beans",'Fertiliser Applied - Input'!$N$2:$N$95)/K$4,0)</f>
        <v>0</v>
      </c>
      <c r="L20" s="60">
        <f ca="1">IFERROR(SUMIF('Fertiliser Applied - Input'!$C$2:$C$131,"=lentils",'Fertiliser Applied - Input'!$N$2:$N$95)/L$4,0)</f>
        <v>0</v>
      </c>
      <c r="M20" s="60">
        <f ca="1">IFERROR(SUMIF('Fertiliser Applied - Input'!$C$2:$C$131,"=other grains",'Fertiliser Applied - Input'!$N$2:$N$95)/M$4,0)</f>
        <v>0</v>
      </c>
      <c r="N20" s="55">
        <f t="shared" ca="1" si="1"/>
        <v>0</v>
      </c>
    </row>
    <row r="21" spans="1:14" x14ac:dyDescent="0.25">
      <c r="A21" s="67" t="s">
        <v>881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</row>
    <row r="22" spans="1:14" ht="30" x14ac:dyDescent="0.25">
      <c r="A22" s="54" t="s">
        <v>882</v>
      </c>
      <c r="B22" s="61">
        <f>'Farm Data - Grains'!B18</f>
        <v>0</v>
      </c>
      <c r="C22" s="61">
        <f>'Farm Data - Grains'!C18</f>
        <v>0</v>
      </c>
      <c r="D22" s="61">
        <f>'Farm Data - Grains'!D18</f>
        <v>0</v>
      </c>
      <c r="E22" s="61">
        <f>'Farm Data - Grains'!E18</f>
        <v>0</v>
      </c>
      <c r="F22" s="61">
        <f>'Farm Data - Grains'!F18</f>
        <v>0</v>
      </c>
      <c r="G22" s="61">
        <f>'Farm Data - Grains'!G18</f>
        <v>0</v>
      </c>
      <c r="H22" s="61">
        <f>'Farm Data - Grains'!H18</f>
        <v>0</v>
      </c>
      <c r="I22" s="61">
        <f>'Farm Data - Grains'!I18</f>
        <v>0</v>
      </c>
      <c r="J22" s="61">
        <f>'Farm Data - Grains'!J18</f>
        <v>0</v>
      </c>
      <c r="K22" s="61">
        <f>'Farm Data - Grains'!K18</f>
        <v>0</v>
      </c>
      <c r="L22" s="61">
        <f>'Farm Data - Grains'!L18</f>
        <v>0</v>
      </c>
      <c r="M22" s="61">
        <f>'Farm Data - Grains'!M18</f>
        <v>0</v>
      </c>
      <c r="N22" s="61">
        <f t="shared" si="1"/>
        <v>0</v>
      </c>
    </row>
    <row r="23" spans="1:14" ht="30" x14ac:dyDescent="0.25">
      <c r="A23" s="54" t="s">
        <v>883</v>
      </c>
      <c r="B23" s="61">
        <f>'Farm Data - Grains'!B17</f>
        <v>0</v>
      </c>
      <c r="C23" s="61">
        <f>'Farm Data - Grains'!C17</f>
        <v>0</v>
      </c>
      <c r="D23" s="61">
        <f>'Farm Data - Grains'!D17</f>
        <v>0</v>
      </c>
      <c r="E23" s="61">
        <f>'Farm Data - Grains'!E17</f>
        <v>0</v>
      </c>
      <c r="F23" s="61">
        <f>'Farm Data - Grains'!F17</f>
        <v>0</v>
      </c>
      <c r="G23" s="61">
        <f>'Farm Data - Grains'!G17</f>
        <v>0</v>
      </c>
      <c r="H23" s="61">
        <f>'Farm Data - Grains'!H17</f>
        <v>0</v>
      </c>
      <c r="I23" s="61">
        <f>'Farm Data - Grains'!I17</f>
        <v>0</v>
      </c>
      <c r="J23" s="61">
        <f>'Farm Data - Grains'!J17</f>
        <v>0</v>
      </c>
      <c r="K23" s="61">
        <f>'Farm Data - Grains'!K17</f>
        <v>0</v>
      </c>
      <c r="L23" s="61">
        <f>'Farm Data - Grains'!L17</f>
        <v>0</v>
      </c>
      <c r="M23" s="61">
        <f>'Farm Data - Grains'!M17</f>
        <v>0</v>
      </c>
      <c r="N23" s="61">
        <f t="shared" si="1"/>
        <v>0</v>
      </c>
    </row>
    <row r="24" spans="1:14" x14ac:dyDescent="0.25">
      <c r="A24" s="67" t="s">
        <v>884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</row>
    <row r="25" spans="1:14" x14ac:dyDescent="0.25">
      <c r="A25" s="54" t="s">
        <v>885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>
        <f t="shared" ref="N25:N26" si="2">SUM(B25:M25)</f>
        <v>0</v>
      </c>
    </row>
    <row r="26" spans="1:14" x14ac:dyDescent="0.25">
      <c r="A26" s="54" t="s">
        <v>886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>
        <f t="shared" si="2"/>
        <v>0</v>
      </c>
    </row>
    <row r="27" spans="1:14" x14ac:dyDescent="0.25">
      <c r="A27" s="67" t="s">
        <v>887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</row>
    <row r="28" spans="1:14" x14ac:dyDescent="0.25">
      <c r="A28" s="61" t="str">
        <f>'Farm Data - Grains'!A15</f>
        <v>electricityAllocation</v>
      </c>
      <c r="B28" s="61">
        <f>'Farm Data - Grains'!B15</f>
        <v>0</v>
      </c>
      <c r="C28" s="61">
        <f>'Farm Data - Grains'!C15</f>
        <v>0</v>
      </c>
      <c r="D28" s="61">
        <f>'Farm Data - Grains'!D15</f>
        <v>0</v>
      </c>
      <c r="E28" s="61">
        <f>'Farm Data - Grains'!E15</f>
        <v>0</v>
      </c>
      <c r="F28" s="61">
        <f>'Farm Data - Grains'!F15</f>
        <v>0</v>
      </c>
      <c r="G28" s="61">
        <f>'Farm Data - Grains'!G15</f>
        <v>0</v>
      </c>
      <c r="H28" s="61">
        <f>'Farm Data - Grains'!H15</f>
        <v>0</v>
      </c>
      <c r="I28" s="61">
        <f>'Farm Data - Grains'!I15</f>
        <v>0</v>
      </c>
      <c r="J28" s="61">
        <f>'Farm Data - Grains'!J15</f>
        <v>0</v>
      </c>
      <c r="K28" s="61">
        <f>'Farm Data - Grains'!K15</f>
        <v>0</v>
      </c>
      <c r="L28" s="61">
        <f>'Farm Data - Grains'!L15</f>
        <v>0</v>
      </c>
      <c r="M28" s="61">
        <f>'Farm Data - Grains'!M15</f>
        <v>0</v>
      </c>
      <c r="N28" s="61">
        <f t="shared" si="1"/>
        <v>0</v>
      </c>
    </row>
    <row r="29" spans="1:14" ht="30" x14ac:dyDescent="0.25">
      <c r="A29" s="54" t="str">
        <f>'Farm Data - Grains'!A16</f>
        <v>Annual Electricity Use (state Grid) (KWh)</v>
      </c>
      <c r="B29" s="30">
        <f>'Farm Data - Grains'!B16</f>
        <v>0</v>
      </c>
      <c r="C29" s="30">
        <f>'Farm Data - Grains'!C16</f>
        <v>0</v>
      </c>
      <c r="D29" s="30">
        <f>'Farm Data - Grains'!D16</f>
        <v>0</v>
      </c>
      <c r="E29" s="30">
        <f>'Farm Data - Grains'!E16</f>
        <v>0</v>
      </c>
      <c r="F29" s="30">
        <f>'Farm Data - Grains'!F16</f>
        <v>0</v>
      </c>
      <c r="G29" s="30">
        <f>'Farm Data - Grains'!G16</f>
        <v>0</v>
      </c>
      <c r="H29" s="30">
        <f>'Farm Data - Grains'!H16</f>
        <v>0</v>
      </c>
      <c r="I29" s="30">
        <f>'Farm Data - Grains'!I16</f>
        <v>0</v>
      </c>
      <c r="J29" s="30">
        <f>'Farm Data - Grains'!J16</f>
        <v>0</v>
      </c>
      <c r="K29" s="30">
        <f>'Farm Data - Grains'!K16</f>
        <v>0</v>
      </c>
      <c r="L29" s="30">
        <f>'Farm Data - Grains'!L16</f>
        <v>0</v>
      </c>
      <c r="M29" s="30">
        <f>'Farm Data - Grains'!M16</f>
        <v>0</v>
      </c>
      <c r="N29" s="30" t="e">
        <f>(SUM((B28*B29),(C28*C29),(D28*D29),(E28*E29),(F28*F29),(G28*G29),(H28*H29),(I28*I29),(J28*J29),(K28*K29),(L28*L29),(M28*M29)))/N28</f>
        <v>#DIV/0!</v>
      </c>
    </row>
    <row r="30" spans="1:14" x14ac:dyDescent="0.25">
      <c r="A30" s="65" t="s">
        <v>888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</row>
    <row r="31" spans="1:14" x14ac:dyDescent="0.25">
      <c r="A31" s="61" t="s">
        <v>889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>
        <f>SUM(B31:M31)</f>
        <v>0</v>
      </c>
    </row>
    <row r="32" spans="1:14" x14ac:dyDescent="0.25">
      <c r="A32" s="61" t="s">
        <v>890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1:14" x14ac:dyDescent="0.25">
      <c r="A33" s="65" t="s">
        <v>891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</row>
    <row r="34" spans="1:14" x14ac:dyDescent="0.25">
      <c r="A34" s="62" t="s">
        <v>892</v>
      </c>
      <c r="B34" s="62">
        <f ca="1">IFERROR(OFFSET('Vegetation - Input'!$I$1,MATCH(B1,'Vegetation - Input'!$H$2:$H$54,0),0),"")</f>
        <v>15</v>
      </c>
      <c r="C34" s="62">
        <f ca="1">IFERROR(OFFSET('Vegetation - Input'!$I$1,MATCH(C1,'Vegetation - Input'!$H$2:$H$54,0),0),"")</f>
        <v>10</v>
      </c>
      <c r="D34" s="62">
        <f ca="1">IFERROR(OFFSET('Vegetation - Input'!$I$1,MATCH(D1,'Vegetation - Input'!$H$2:$H$54,0),0),"")</f>
        <v>15</v>
      </c>
      <c r="E34" s="62" t="str">
        <f ca="1">IFERROR(OFFSET('Vegetation - Input'!$I$1,MATCH(E1,'Vegetation - Input'!$H$2:$H$54,0),0),"")</f>
        <v/>
      </c>
      <c r="F34" s="62" t="str">
        <f ca="1">IFERROR(OFFSET('Vegetation - Input'!$I$1,MATCH(F1,'Vegetation - Input'!$H$2:$H$54,0),0),"")</f>
        <v/>
      </c>
      <c r="G34" s="62" t="str">
        <f ca="1">IFERROR(OFFSET('Vegetation - Input'!$I$1,MATCH(G1,'Vegetation - Input'!$H$2:$H$54,0),0),"")</f>
        <v/>
      </c>
      <c r="H34" s="62" t="str">
        <f ca="1">IFERROR(OFFSET('Vegetation - Input'!$I$1,MATCH(H1,'Vegetation - Input'!$H$2:$H$54,0),0),"")</f>
        <v/>
      </c>
      <c r="I34" s="62" t="str">
        <f ca="1">IFERROR(OFFSET('Vegetation - Input'!$I$1,MATCH(I1,'Vegetation - Input'!$H$2:$H$54,0),0),"")</f>
        <v/>
      </c>
      <c r="J34" s="62" t="str">
        <f ca="1">IFERROR(OFFSET('Vegetation - Input'!$I$1,MATCH(J1,'Vegetation - Input'!$H$2:$H$54,0),0),"")</f>
        <v/>
      </c>
      <c r="K34" s="62" t="str">
        <f ca="1">IFERROR(OFFSET('Vegetation - Input'!$I$1,MATCH(K1,'Vegetation - Input'!$H$2:$H$54,0),0),"")</f>
        <v/>
      </c>
      <c r="L34" s="62" t="str">
        <f ca="1">IFERROR(OFFSET('Vegetation - Input'!$I$1,MATCH(L1,'Vegetation - Input'!$H$2:$H$54,0),0),"")</f>
        <v/>
      </c>
      <c r="M34" s="62" t="str">
        <f ca="1">IFERROR(OFFSET('Vegetation - Input'!$I$1,MATCH(M1,'Vegetation - Input'!$H$2:$H$54,0),0),"")</f>
        <v/>
      </c>
      <c r="N34" s="62"/>
    </row>
    <row r="35" spans="1:14" x14ac:dyDescent="0.25">
      <c r="A35" s="62" t="s">
        <v>893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>
        <f>SUM('Vegetation - Input'!E2:E24)</f>
        <v>80</v>
      </c>
    </row>
    <row r="36" spans="1:14" x14ac:dyDescent="0.25">
      <c r="A36" s="61" t="s">
        <v>894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 t="e">
        <f>AVERAGE('Vegetation - Input'!G2:G24)</f>
        <v>#DIV/0!</v>
      </c>
    </row>
    <row r="37" spans="1:14" ht="45" x14ac:dyDescent="0.25">
      <c r="A37" s="61" t="s">
        <v>895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54" t="str">
        <f>_xlfn.TEXTJOIN(": ", FALSE,'Vegetation - Input'!B2:B4)</f>
        <v>Sugar Gum: Old man Saltbush: Pink Mallee</v>
      </c>
    </row>
    <row r="39" spans="1:14" x14ac:dyDescent="0.25">
      <c r="F39" t="str">
        <f ca="1">IFERROR(OFFSET('Vegetation - Input'!$A$1,MATCH(F1,'Vegetation - Input'!$H$2:$H$54,0),0),"")</f>
        <v/>
      </c>
      <c r="G39" t="str">
        <f ca="1">IFERROR(OFFSET('Vegetation - Input'!$A$1,MATCH(G1,'Vegetation - Input'!$H$2:$H$54,0),0),"")</f>
        <v/>
      </c>
      <c r="H39" t="str">
        <f ca="1">IFERROR(OFFSET('Vegetation - Input'!$A$1,MATCH(H1,'Vegetation - Input'!$H$2:$H$54,0),0),"")</f>
        <v/>
      </c>
      <c r="I39" t="str">
        <f ca="1">IFERROR(OFFSET('Vegetation - Input'!$A$1,MATCH(I1,'Vegetation - Input'!$H$2:$H$54,0),0),"")</f>
        <v/>
      </c>
      <c r="J39" t="str">
        <f ca="1">IFERROR(OFFSET('Vegetation - Input'!$A$1,MATCH(J1,'Vegetation - Input'!$H$2:$H$54,0),0),"")</f>
        <v/>
      </c>
    </row>
    <row r="40" spans="1:14" x14ac:dyDescent="0.25">
      <c r="F40" t="str">
        <f ca="1">IFERROR(OFFSET('Vegetation - Input'!$E$1,MATCH(F1,'Vegetation - Input'!$H$2:$H$54,0),0),"")</f>
        <v/>
      </c>
    </row>
    <row r="41" spans="1:14" x14ac:dyDescent="0.25">
      <c r="F41" t="str">
        <f ca="1">IFERROR(OFFSET('Vegetation - Input'!$G$1,MATCH(F1,'Vegetation - Input'!$H$2:$H$54,0),0),"")</f>
        <v/>
      </c>
      <c r="G41" t="str">
        <f ca="1">IFERROR(OFFSET('Vegetation - Input'!$G$1,MATCH(G1,'Vegetation - Input'!$H$2:$H$54,0),0),"")</f>
        <v/>
      </c>
    </row>
  </sheetData>
  <mergeCells count="8">
    <mergeCell ref="A30:N30"/>
    <mergeCell ref="A33:N33"/>
    <mergeCell ref="A2:N2"/>
    <mergeCell ref="A7:N7"/>
    <mergeCell ref="A11:N11"/>
    <mergeCell ref="A21:N21"/>
    <mergeCell ref="A24:N24"/>
    <mergeCell ref="A27:N2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D6A7-1D21-4D48-9093-EED289D5958C}">
  <dimension ref="A1:Q54"/>
  <sheetViews>
    <sheetView zoomScaleNormal="100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22.7109375" bestFit="1" customWidth="1"/>
    <col min="2" max="2" width="22.7109375" customWidth="1"/>
    <col min="3" max="3" width="19.28515625" bestFit="1" customWidth="1"/>
    <col min="4" max="4" width="14.7109375" bestFit="1" customWidth="1"/>
    <col min="5" max="8" width="14.7109375" customWidth="1"/>
    <col min="9" max="9" width="12.28515625" bestFit="1" customWidth="1"/>
    <col min="10" max="10" width="14" bestFit="1" customWidth="1"/>
    <col min="11" max="11" width="9.5703125" bestFit="1" customWidth="1"/>
    <col min="12" max="12" width="15.28515625" bestFit="1" customWidth="1"/>
    <col min="13" max="15" width="14.28515625" bestFit="1" customWidth="1"/>
  </cols>
  <sheetData>
    <row r="1" spans="1:17" x14ac:dyDescent="0.25">
      <c r="A1" t="s">
        <v>127</v>
      </c>
      <c r="B1" t="s">
        <v>497</v>
      </c>
      <c r="C1" t="s">
        <v>128</v>
      </c>
      <c r="D1" t="s">
        <v>129</v>
      </c>
      <c r="E1" t="s">
        <v>142</v>
      </c>
      <c r="F1" t="s">
        <v>269</v>
      </c>
      <c r="G1" t="s">
        <v>270</v>
      </c>
      <c r="H1" t="s">
        <v>910</v>
      </c>
      <c r="I1" t="s">
        <v>150</v>
      </c>
      <c r="J1" t="s">
        <v>133</v>
      </c>
      <c r="K1" t="s">
        <v>134</v>
      </c>
      <c r="L1" t="s">
        <v>135</v>
      </c>
      <c r="M1" t="s">
        <v>130</v>
      </c>
      <c r="N1" t="s">
        <v>131</v>
      </c>
      <c r="O1" t="s">
        <v>136</v>
      </c>
    </row>
    <row r="2" spans="1:17" x14ac:dyDescent="0.25">
      <c r="I2" s="27">
        <f>F2*G2</f>
        <v>0</v>
      </c>
      <c r="J2" s="27">
        <f>IFERROR(IF(AND(NOT(OR(IFERROR(FIND("Urea",A2,1),0)&gt;0,IFERROR(FIND("UAN",A2,1),0)&gt;0)),ISBLANK(E2)),VLOOKUP($A2,'Fert Comp'!$A$2:$F$319,2,0)/100*($I2*1000)*IF(ISBLANK($C2),1,$C2),0),0)</f>
        <v>0</v>
      </c>
      <c r="K2" s="27">
        <f>IFERROR(IF(OR(IFERROR(FIND(A2,"Urea",1),0)&gt;0,E2="Urea"),VLOOKUP($A2,'Fert Comp'!$A$2:$F$319,2,0)/100*($I2*1000)*IF(ISBLANK($C2),1,$C2),0),0)</f>
        <v>0</v>
      </c>
      <c r="L2" s="27">
        <f>IFERROR(IF(OR(IFERROR(FIND(A2,"UAN",1),0)&gt;0,E2="UAN"),VLOOKUP($A2,'Fert Comp'!$A$2:$F$319,2,0)/100*($I2*1000)*IF(ISBLANK($C2),1,$C2),0),0)</f>
        <v>0</v>
      </c>
      <c r="M2" s="27">
        <f>IFERROR(VLOOKUP($A2,'Fert Comp'!$A$2:$F$319,3,0)/100*($I2*1000)*IF(ISBLANK($C2),1,$C2),0)</f>
        <v>0</v>
      </c>
      <c r="N2" s="27">
        <f>IFERROR(VLOOKUP($A2,'Fert Comp'!$A$2:$F$319,4,0)/100*($I2*1000)*IF(ISBLANK($C2),1,$C2),0)</f>
        <v>0</v>
      </c>
      <c r="O2" s="27">
        <f>IFERROR(VLOOKUP($A2,'Fert Comp'!$A$2:$F$319,5,0)/100*($I2*1000)*IF(ISBLANK($C2),1,$C2),0)</f>
        <v>0</v>
      </c>
      <c r="P2" s="27"/>
      <c r="Q2" s="27"/>
    </row>
    <row r="3" spans="1:17" x14ac:dyDescent="0.25">
      <c r="I3" s="27">
        <f t="shared" ref="I3:I54" si="0">F3*G3</f>
        <v>0</v>
      </c>
      <c r="J3" s="27">
        <f>IFERROR(IF(AND(NOT(OR(IFERROR(FIND("Urea",A3,1),0)&gt;0,IFERROR(FIND("UAN",A3,1),0)&gt;0)),ISBLANK(E3)),VLOOKUP($A3,'Fert Comp'!$A$2:$F$319,2,0)/100*($I3*1000)*IF(ISBLANK($C3),1,$C3),0),0)</f>
        <v>0</v>
      </c>
      <c r="K3" s="27">
        <f>IFERROR(IF(OR(IFERROR(FIND(A3,"Urea",1),0)&gt;0,E3="Urea"),VLOOKUP($A3,'Fert Comp'!$A$2:$F$319,2,0)/100*($I3*1000)*IF(ISBLANK($C3),1,$C3),0),0)</f>
        <v>0</v>
      </c>
      <c r="L3" s="27">
        <f>IFERROR(IF(OR(IFERROR(FIND(A3,"UAN",1),0)&gt;0,E3="UAN"),VLOOKUP($A3,'Fert Comp'!$A$2:$F$319,2,0)/100*($I3*1000)*IF(ISBLANK($C3),1,$C3),0),0)</f>
        <v>0</v>
      </c>
      <c r="M3" s="27">
        <f>IFERROR(VLOOKUP($A3,'Fert Comp'!$A$2:$F$319,3,0)/100*($I3*1000)*IF(ISBLANK($C3),1,$C3),0)</f>
        <v>0</v>
      </c>
      <c r="N3" s="27">
        <f>IFERROR(VLOOKUP($A3,'Fert Comp'!$A$2:$F$319,4,0)/100*($I3*1000)*IF(ISBLANK($C3),1,$C3),0)</f>
        <v>0</v>
      </c>
      <c r="O3" s="27">
        <f>IFERROR(VLOOKUP($A3,'Fert Comp'!$A$2:$F$319,5,0)/100*($I3*1000)*IF(ISBLANK($C3),1,$C3),0)</f>
        <v>0</v>
      </c>
      <c r="P3" s="27"/>
      <c r="Q3" s="27"/>
    </row>
    <row r="4" spans="1:17" x14ac:dyDescent="0.25">
      <c r="I4" s="27">
        <f t="shared" si="0"/>
        <v>0</v>
      </c>
      <c r="J4" s="27">
        <f>IFERROR(IF(AND(NOT(OR(IFERROR(FIND("Urea",A4,1),0)&gt;0,IFERROR(FIND("UAN",A4,1),0)&gt;0)),ISBLANK(E4)),VLOOKUP($A4,'Fert Comp'!$A$2:$F$319,2,0)/100*($I4*1000)*IF(ISBLANK($C4),1,$C4),0),0)</f>
        <v>0</v>
      </c>
      <c r="K4" s="27">
        <f>IFERROR(IF(OR(IFERROR(FIND(A4,"Urea",1),0)&gt;0,E4="Urea"),VLOOKUP($A4,'Fert Comp'!$A$2:$F$319,2,0)/100*($I4*1000)*IF(ISBLANK($C4),1,$C4),0),0)</f>
        <v>0</v>
      </c>
      <c r="L4" s="27">
        <f>IFERROR(IF(OR(IFERROR(FIND(A4,"UAN",1),0)&gt;0,E4="UAN"),VLOOKUP($A4,'Fert Comp'!$A$2:$F$319,2,0)/100*($I4*1000)*IF(ISBLANK($C4),1,$C4),0),0)</f>
        <v>0</v>
      </c>
      <c r="M4" s="27">
        <f>IFERROR(VLOOKUP($A4,'Fert Comp'!$A$2:$F$319,3,0)/100*($I4*1000)*IF(ISBLANK($C4),1,$C4),0)</f>
        <v>0</v>
      </c>
      <c r="N4" s="27">
        <f>IFERROR(VLOOKUP($A4,'Fert Comp'!$A$2:$F$319,4,0)/100*($I4*1000)*IF(ISBLANK($C4),1,$C4),0)</f>
        <v>0</v>
      </c>
      <c r="O4" s="27">
        <f>IFERROR(VLOOKUP($A4,'Fert Comp'!$A$2:$F$319,5,0)/100*($I4*1000)*IF(ISBLANK($C4),1,$C4),0)</f>
        <v>0</v>
      </c>
      <c r="P4" s="27"/>
    </row>
    <row r="5" spans="1:17" x14ac:dyDescent="0.25">
      <c r="I5" s="27">
        <f t="shared" si="0"/>
        <v>0</v>
      </c>
      <c r="J5" s="27">
        <f>IFERROR(IF(AND(NOT(OR(IFERROR(FIND("Urea",A5,1),0)&gt;0,IFERROR(FIND("UAN",A5,1),0)&gt;0)),ISBLANK(E5)),VLOOKUP($A5,'Fert Comp'!$A$2:$F$319,2,0)/100*($I5*1000)*IF(ISBLANK($C5),1,$C5),0),0)</f>
        <v>0</v>
      </c>
      <c r="K5" s="27">
        <f>IFERROR(IF(OR(IFERROR(FIND(A5,"Urea",1),0)&gt;0,E5="Urea"),VLOOKUP($A5,'Fert Comp'!$A$2:$F$319,2,0)/100*($I5*1000)*IF(ISBLANK($C5),1,$C5),0),0)</f>
        <v>0</v>
      </c>
      <c r="L5" s="27">
        <f>IFERROR(IF(OR(IFERROR(FIND(A5,"UAN",1),0)&gt;0,E5="UAN"),VLOOKUP($A5,'Fert Comp'!$A$2:$F$319,2,0)/100*($I5*1000)*IF(ISBLANK($C5),1,$C5),0),0)</f>
        <v>0</v>
      </c>
      <c r="M5" s="27">
        <f>IFERROR(VLOOKUP($A5,'Fert Comp'!$A$2:$F$319,3,0)/100*($I5*1000)*IF(ISBLANK($C5),1,$C5),0)</f>
        <v>0</v>
      </c>
      <c r="N5" s="27">
        <f>IFERROR(VLOOKUP($A5,'Fert Comp'!$A$2:$F$319,4,0)/100*($I5*1000)*IF(ISBLANK($C5),1,$C5),0)</f>
        <v>0</v>
      </c>
      <c r="O5" s="27">
        <f>IFERROR(VLOOKUP($A5,'Fert Comp'!$A$2:$F$319,5,0)/100*($I5*1000)*IF(ISBLANK($C5),1,$C5),0)</f>
        <v>0</v>
      </c>
      <c r="P5" s="27"/>
    </row>
    <row r="6" spans="1:17" x14ac:dyDescent="0.25">
      <c r="I6" s="27">
        <f t="shared" si="0"/>
        <v>0</v>
      </c>
      <c r="J6" s="27">
        <f>IFERROR(IF(AND(NOT(OR(IFERROR(FIND("Urea",A6,1),0)&gt;0,IFERROR(FIND("UAN",A6,1),0)&gt;0)),ISBLANK(E6)),VLOOKUP($A6,'Fert Comp'!$A$2:$F$319,2,0)/100*($I6*1000)*IF(ISBLANK($C6),1,$C6),0),0)</f>
        <v>0</v>
      </c>
      <c r="K6" s="27">
        <f>IFERROR(IF(OR(IFERROR(FIND(A6,"Urea",1),0)&gt;0,E6="Urea"),VLOOKUP($A6,'Fert Comp'!$A$2:$F$319,2,0)/100*($I6*1000)*IF(ISBLANK($C6),1,$C6),0),0)</f>
        <v>0</v>
      </c>
      <c r="L6" s="27">
        <f>IFERROR(IF(OR(IFERROR(FIND(A6,"UAN",1),0)&gt;0,E6="UAN"),VLOOKUP($A6,'Fert Comp'!$A$2:$F$319,2,0)/100*($I6*1000)*IF(ISBLANK($C6),1,$C6),0),0)</f>
        <v>0</v>
      </c>
      <c r="M6" s="27">
        <f>IFERROR(VLOOKUP($A6,'Fert Comp'!$A$2:$F$319,3,0)/100*($I6*1000)*IF(ISBLANK($C6),1,$C6),0)</f>
        <v>0</v>
      </c>
      <c r="N6" s="27">
        <f>IFERROR(VLOOKUP($A6,'Fert Comp'!$A$2:$F$319,4,0)/100*($I6*1000)*IF(ISBLANK($C6),1,$C6),0)</f>
        <v>0</v>
      </c>
      <c r="O6" s="27">
        <f>IFERROR(VLOOKUP($A6,'Fert Comp'!$A$2:$F$319,5,0)/100*($I6*1000)*IF(ISBLANK($C6),1,$C6),0)</f>
        <v>0</v>
      </c>
      <c r="P6" s="27"/>
    </row>
    <row r="7" spans="1:17" x14ac:dyDescent="0.25">
      <c r="I7" s="27">
        <f t="shared" si="0"/>
        <v>0</v>
      </c>
      <c r="J7" s="27">
        <f>IFERROR(IF(AND(NOT(OR(IFERROR(FIND("Urea",A7,1),0)&gt;0,IFERROR(FIND("UAN",A7,1),0)&gt;0)),ISBLANK(E7)),VLOOKUP($A7,'Fert Comp'!$A$2:$F$319,2,0)/100*($I7*1000)*IF(ISBLANK($C7),1,$C7),0),0)</f>
        <v>0</v>
      </c>
      <c r="K7" s="27">
        <f>IFERROR(IF(OR(IFERROR(FIND(A7,"Urea",1),0)&gt;0,E7="Urea"),VLOOKUP($A7,'Fert Comp'!$A$2:$F$319,2,0)/100*($I7*1000)*IF(ISBLANK($C7),1,$C7),0),0)</f>
        <v>0</v>
      </c>
      <c r="L7" s="27">
        <f>IFERROR(IF(OR(IFERROR(FIND(A7,"UAN",1),0)&gt;0,E7="UAN"),VLOOKUP($A7,'Fert Comp'!$A$2:$F$319,2,0)/100*($I7*1000)*IF(ISBLANK($C7),1,$C7),0),0)</f>
        <v>0</v>
      </c>
      <c r="M7" s="27">
        <f>IFERROR(VLOOKUP($A7,'Fert Comp'!$A$2:$F$319,3,0)/100*($I7*1000)*IF(ISBLANK($C7),1,$C7),0)</f>
        <v>0</v>
      </c>
      <c r="N7" s="27">
        <f>IFERROR(VLOOKUP($A7,'Fert Comp'!$A$2:$F$319,4,0)/100*($I7*1000)*IF(ISBLANK($C7),1,$C7),0)</f>
        <v>0</v>
      </c>
      <c r="O7" s="27">
        <f>IFERROR(VLOOKUP($A7,'Fert Comp'!$A$2:$F$319,5,0)/100*($I7*1000)*IF(ISBLANK($C7),1,$C7),0)</f>
        <v>0</v>
      </c>
      <c r="P7" s="27"/>
    </row>
    <row r="8" spans="1:17" x14ac:dyDescent="0.25">
      <c r="I8" s="27">
        <f t="shared" si="0"/>
        <v>0</v>
      </c>
      <c r="J8" s="27">
        <f>IFERROR(IF(AND(NOT(OR(IFERROR(FIND("Urea",A8,1),0)&gt;0,IFERROR(FIND("UAN",A8,1),0)&gt;0)),ISBLANK(E8)),VLOOKUP($A8,'Fert Comp'!$A$2:$F$319,2,0)/100*($I8*1000)*IF(ISBLANK($C8),1,$C8),0),0)</f>
        <v>0</v>
      </c>
      <c r="K8" s="27">
        <f>IFERROR(IF(OR(IFERROR(FIND(A8,"Urea",1),0)&gt;0,E8="Urea"),VLOOKUP($A8,'Fert Comp'!$A$2:$F$319,2,0)/100*($I8*1000)*IF(ISBLANK($C8),1,$C8),0),0)</f>
        <v>0</v>
      </c>
      <c r="L8" s="27">
        <f>IFERROR(IF(OR(IFERROR(FIND(A8,"UAN",1),0)&gt;0,E8="UAN"),VLOOKUP($A8,'Fert Comp'!$A$2:$F$319,2,0)/100*($I8*1000)*IF(ISBLANK($C8),1,$C8),0),0)</f>
        <v>0</v>
      </c>
      <c r="M8" s="27">
        <f>IFERROR(VLOOKUP($A8,'Fert Comp'!$A$2:$F$319,3,0)/100*($I8*1000)*IF(ISBLANK($C8),1,$C8),0)</f>
        <v>0</v>
      </c>
      <c r="N8" s="27">
        <f>IFERROR(VLOOKUP($A8,'Fert Comp'!$A$2:$F$319,4,0)/100*($I8*1000)*IF(ISBLANK($C8),1,$C8),0)</f>
        <v>0</v>
      </c>
      <c r="O8" s="27">
        <f>IFERROR(VLOOKUP($A8,'Fert Comp'!$A$2:$F$319,5,0)/100*($I8*1000)*IF(ISBLANK($C8),1,$C8),0)</f>
        <v>0</v>
      </c>
      <c r="P8" s="27"/>
    </row>
    <row r="9" spans="1:17" x14ac:dyDescent="0.25">
      <c r="I9" s="27">
        <f t="shared" si="0"/>
        <v>0</v>
      </c>
      <c r="J9" s="27">
        <f>IFERROR(IF(AND(NOT(OR(IFERROR(FIND("Urea",A9,1),0)&gt;0,IFERROR(FIND("UAN",A9,1),0)&gt;0)),ISBLANK(E9)),VLOOKUP($A9,'Fert Comp'!$A$2:$F$319,2,0)/100*($I9*1000)*IF(ISBLANK($C9),1,$C9),0),0)</f>
        <v>0</v>
      </c>
      <c r="K9" s="27">
        <f>IFERROR(IF(OR(IFERROR(FIND(A9,"Urea",1),0)&gt;0,E9="Urea"),VLOOKUP($A9,'Fert Comp'!$A$2:$F$319,2,0)/100*($I9*1000)*IF(ISBLANK($C9),1,$C9),0),0)</f>
        <v>0</v>
      </c>
      <c r="L9" s="27">
        <f>IFERROR(IF(OR(IFERROR(FIND(A9,"UAN",1),0)&gt;0,E9="UAN"),VLOOKUP($A9,'Fert Comp'!$A$2:$F$319,2,0)/100*($I9*1000)*IF(ISBLANK($C9),1,$C9),0),0)</f>
        <v>0</v>
      </c>
      <c r="M9" s="27">
        <f>IFERROR(VLOOKUP($A9,'Fert Comp'!$A$2:$F$319,3,0)/100*($I9*1000)*IF(ISBLANK($C9),1,$C9),0)</f>
        <v>0</v>
      </c>
      <c r="N9" s="27">
        <f>IFERROR(VLOOKUP($A9,'Fert Comp'!$A$2:$F$319,4,0)/100*($I9*1000)*IF(ISBLANK($C9),1,$C9),0)</f>
        <v>0</v>
      </c>
      <c r="O9" s="27">
        <f>IFERROR(VLOOKUP($A9,'Fert Comp'!$A$2:$F$319,5,0)/100*($I9*1000)*IF(ISBLANK($C9),1,$C9),0)</f>
        <v>0</v>
      </c>
      <c r="P9" s="27"/>
    </row>
    <row r="10" spans="1:17" x14ac:dyDescent="0.25">
      <c r="I10" s="27">
        <f t="shared" si="0"/>
        <v>0</v>
      </c>
      <c r="J10" s="27">
        <f>IFERROR(IF(AND(NOT(OR(IFERROR(FIND("Urea",A10,1),0)&gt;0,IFERROR(FIND("UAN",A10,1),0)&gt;0)),ISBLANK(E10)),VLOOKUP($A10,'Fert Comp'!$A$2:$F$319,2,0)/100*($I10*1000)*IF(ISBLANK($C10),1,$C10),0),0)</f>
        <v>0</v>
      </c>
      <c r="K10" s="27">
        <f>IFERROR(IF(OR(IFERROR(FIND(A10,"Urea",1),0)&gt;0,E10="Urea"),VLOOKUP($A10,'Fert Comp'!$A$2:$F$319,2,0)/100*($I10*1000)*IF(ISBLANK($C10),1,$C10),0),0)</f>
        <v>0</v>
      </c>
      <c r="L10" s="27">
        <f>IFERROR(IF(OR(IFERROR(FIND(A10,"UAN",1),0)&gt;0,E10="UAN"),VLOOKUP($A10,'Fert Comp'!$A$2:$F$319,2,0)/100*($I10*1000)*IF(ISBLANK($C10),1,$C10),0),0)</f>
        <v>0</v>
      </c>
      <c r="M10" s="27">
        <f>IFERROR(VLOOKUP($A10,'Fert Comp'!$A$2:$F$319,3,0)/100*($I10*1000)*IF(ISBLANK($C10),1,$C10),0)</f>
        <v>0</v>
      </c>
      <c r="N10" s="27">
        <f>IFERROR(VLOOKUP($A10,'Fert Comp'!$A$2:$F$319,4,0)/100*($I10*1000)*IF(ISBLANK($C10),1,$C10),0)</f>
        <v>0</v>
      </c>
      <c r="O10" s="27">
        <f>IFERROR(VLOOKUP($A10,'Fert Comp'!$A$2:$F$319,5,0)/100*($I10*1000)*IF(ISBLANK($C10),1,$C10),0)</f>
        <v>0</v>
      </c>
      <c r="P10" s="27"/>
    </row>
    <row r="11" spans="1:17" x14ac:dyDescent="0.25">
      <c r="I11" s="27">
        <f t="shared" si="0"/>
        <v>0</v>
      </c>
      <c r="J11" s="27">
        <f>IFERROR(IF(AND(NOT(OR(IFERROR(FIND("Urea",A11,1),0)&gt;0,IFERROR(FIND("UAN",A11,1),0)&gt;0)),ISBLANK(E11)),VLOOKUP($A11,'Fert Comp'!$A$2:$F$319,2,0)/100*($I11*1000)*IF(ISBLANK($C11),1,$C11),0),0)</f>
        <v>0</v>
      </c>
      <c r="K11" s="27">
        <f>IFERROR(IF(OR(IFERROR(FIND(A11,"Urea",1),0)&gt;0,E11="Urea"),VLOOKUP($A11,'Fert Comp'!$A$2:$F$319,2,0)/100*($I11*1000)*IF(ISBLANK($C11),1,$C11),0),0)</f>
        <v>0</v>
      </c>
      <c r="L11" s="27">
        <f>IFERROR(IF(OR(IFERROR(FIND(A11,"UAN",1),0)&gt;0,E11="UAN"),VLOOKUP($A11,'Fert Comp'!$A$2:$F$319,2,0)/100*($I11*1000)*IF(ISBLANK($C11),1,$C11),0),0)</f>
        <v>0</v>
      </c>
      <c r="M11" s="27">
        <f>IFERROR(VLOOKUP($A11,'Fert Comp'!$A$2:$F$319,3,0)/100*($I11*1000)*IF(ISBLANK($C11),1,$C11),0)</f>
        <v>0</v>
      </c>
      <c r="N11" s="27">
        <f>IFERROR(VLOOKUP($A11,'Fert Comp'!$A$2:$F$319,4,0)/100*($I11*1000)*IF(ISBLANK($C11),1,$C11),0)</f>
        <v>0</v>
      </c>
      <c r="O11" s="27">
        <f>IFERROR(VLOOKUP($A11,'Fert Comp'!$A$2:$F$319,5,0)/100*($I11*1000)*IF(ISBLANK($C11),1,$C11),0)</f>
        <v>0</v>
      </c>
      <c r="P11" s="27"/>
    </row>
    <row r="12" spans="1:17" x14ac:dyDescent="0.25">
      <c r="I12" s="27">
        <f t="shared" si="0"/>
        <v>0</v>
      </c>
      <c r="J12" s="27">
        <f>IFERROR(IF(AND(NOT(OR(IFERROR(FIND("Urea",A12,1),0)&gt;0,IFERROR(FIND("UAN",A12,1),0)&gt;0)),ISBLANK(E12)),VLOOKUP($A12,'Fert Comp'!$A$2:$F$319,2,0)/100*($I12*1000)*IF(ISBLANK($C12),1,$C12),0),0)</f>
        <v>0</v>
      </c>
      <c r="K12" s="27">
        <f>IFERROR(IF(OR(IFERROR(FIND(A12,"Urea",1),0)&gt;0,E12="Urea"),VLOOKUP($A12,'Fert Comp'!$A$2:$F$319,2,0)/100*($I12*1000)*IF(ISBLANK($C12),1,$C12),0),0)</f>
        <v>0</v>
      </c>
      <c r="L12" s="27">
        <f>IFERROR(IF(OR(IFERROR(FIND(A12,"UAN",1),0)&gt;0,E12="UAN"),VLOOKUP($A12,'Fert Comp'!$A$2:$F$319,2,0)/100*($I12*1000)*IF(ISBLANK($C12),1,$C12),0),0)</f>
        <v>0</v>
      </c>
      <c r="M12" s="27">
        <f>IFERROR(VLOOKUP($A12,'Fert Comp'!$A$2:$F$319,3,0)/100*($I12*1000)*IF(ISBLANK($C12),1,$C12),0)</f>
        <v>0</v>
      </c>
      <c r="N12" s="27">
        <f>IFERROR(VLOOKUP($A12,'Fert Comp'!$A$2:$F$319,4,0)/100*($I12*1000)*IF(ISBLANK($C12),1,$C12),0)</f>
        <v>0</v>
      </c>
      <c r="O12" s="27">
        <f>IFERROR(VLOOKUP($A12,'Fert Comp'!$A$2:$F$319,5,0)/100*($I12*1000)*IF(ISBLANK($C12),1,$C12),0)</f>
        <v>0</v>
      </c>
      <c r="P12" s="27"/>
    </row>
    <row r="13" spans="1:17" x14ac:dyDescent="0.25">
      <c r="I13" s="27">
        <f t="shared" si="0"/>
        <v>0</v>
      </c>
      <c r="J13" s="27">
        <f>IFERROR(IF(AND(NOT(OR(IFERROR(FIND("Urea",A13,1),0)&gt;0,IFERROR(FIND("UAN",A13,1),0)&gt;0)),ISBLANK(E13)),VLOOKUP($A13,'Fert Comp'!$A$2:$F$319,2,0)/100*($I13*1000)*IF(ISBLANK($C13),1,$C13),0),0)</f>
        <v>0</v>
      </c>
      <c r="K13" s="27">
        <f>IFERROR(IF(OR(IFERROR(FIND(A13,"Urea",1),0)&gt;0,E13="Urea"),VLOOKUP($A13,'Fert Comp'!$A$2:$F$319,2,0)/100*($I13*1000)*IF(ISBLANK($C13),1,$C13),0),0)</f>
        <v>0</v>
      </c>
      <c r="L13" s="27">
        <f>IFERROR(IF(OR(IFERROR(FIND(A13,"UAN",1),0)&gt;0,E13="UAN"),VLOOKUP($A13,'Fert Comp'!$A$2:$F$319,2,0)/100*($I13*1000)*IF(ISBLANK($C13),1,$C13),0),0)</f>
        <v>0</v>
      </c>
      <c r="M13" s="27">
        <f>IFERROR(VLOOKUP($A13,'Fert Comp'!$A$2:$F$319,3,0)/100*($I13*1000)*IF(ISBLANK($C13),1,$C13),0)</f>
        <v>0</v>
      </c>
      <c r="N13" s="27">
        <f>IFERROR(VLOOKUP($A13,'Fert Comp'!$A$2:$F$319,4,0)/100*($I13*1000)*IF(ISBLANK($C13),1,$C13),0)</f>
        <v>0</v>
      </c>
      <c r="O13" s="27">
        <f>IFERROR(VLOOKUP($A13,'Fert Comp'!$A$2:$F$319,5,0)/100*($I13*1000)*IF(ISBLANK($C13),1,$C13),0)</f>
        <v>0</v>
      </c>
      <c r="P13" s="27"/>
    </row>
    <row r="14" spans="1:17" x14ac:dyDescent="0.25">
      <c r="I14" s="27">
        <f t="shared" si="0"/>
        <v>0</v>
      </c>
      <c r="J14" s="27">
        <f>IFERROR(IF(AND(NOT(OR(IFERROR(FIND("Urea",A14,1),0)&gt;0,IFERROR(FIND("UAN",A14,1),0)&gt;0)),ISBLANK(E14)),VLOOKUP($A14,'Fert Comp'!$A$2:$F$319,2,0)/100*($I14*1000)*IF(ISBLANK($C14),1,$C14),0),0)</f>
        <v>0</v>
      </c>
      <c r="K14" s="27">
        <f>IFERROR(IF(OR(IFERROR(FIND(A14,"Urea",1),0)&gt;0,E14="Urea"),VLOOKUP($A14,'Fert Comp'!$A$2:$F$319,2,0)/100*($I14*1000)*IF(ISBLANK($C14),1,$C14),0),0)</f>
        <v>0</v>
      </c>
      <c r="L14" s="27">
        <f>IFERROR(IF(OR(IFERROR(FIND(A14,"UAN",1),0)&gt;0,E14="UAN"),VLOOKUP($A14,'Fert Comp'!$A$2:$F$319,2,0)/100*($I14*1000)*IF(ISBLANK($C14),1,$C14),0),0)</f>
        <v>0</v>
      </c>
      <c r="M14" s="27">
        <f>IFERROR(VLOOKUP($A14,'Fert Comp'!$A$2:$F$319,3,0)/100*($I14*1000)*IF(ISBLANK($C14),1,$C14),0)</f>
        <v>0</v>
      </c>
      <c r="N14" s="27">
        <f>IFERROR(VLOOKUP($A14,'Fert Comp'!$A$2:$F$319,4,0)/100*($I14*1000)*IF(ISBLANK($C14),1,$C14),0)</f>
        <v>0</v>
      </c>
      <c r="O14" s="27">
        <f>IFERROR(VLOOKUP($A14,'Fert Comp'!$A$2:$F$319,5,0)/100*($I14*1000)*IF(ISBLANK($C14),1,$C14),0)</f>
        <v>0</v>
      </c>
      <c r="P14" s="27"/>
    </row>
    <row r="15" spans="1:17" x14ac:dyDescent="0.25">
      <c r="I15" s="27">
        <f t="shared" si="0"/>
        <v>0</v>
      </c>
      <c r="J15" s="27">
        <f>IFERROR(IF(AND(NOT(OR(IFERROR(FIND("Urea",A15,1),0)&gt;0,IFERROR(FIND("UAN",A15,1),0)&gt;0)),ISBLANK(E15)),VLOOKUP($A15,'Fert Comp'!$A$2:$F$319,2,0)/100*($I15*1000)*IF(ISBLANK($C15),1,$C15),0),0)</f>
        <v>0</v>
      </c>
      <c r="K15" s="27">
        <f>IFERROR(IF(OR(IFERROR(FIND(A15,"Urea",1),0)&gt;0,E15="Urea"),VLOOKUP($A15,'Fert Comp'!$A$2:$F$319,2,0)/100*($I15*1000)*IF(ISBLANK($C15),1,$C15),0),0)</f>
        <v>0</v>
      </c>
      <c r="L15" s="27">
        <f>IFERROR(IF(OR(IFERROR(FIND(A15,"UAN",1),0)&gt;0,E15="UAN"),VLOOKUP($A15,'Fert Comp'!$A$2:$F$319,2,0)/100*($I15*1000)*IF(ISBLANK($C15),1,$C15),0),0)</f>
        <v>0</v>
      </c>
      <c r="M15" s="27">
        <f>IFERROR(VLOOKUP($A15,'Fert Comp'!$A$2:$F$319,3,0)/100*($I15*1000)*IF(ISBLANK($C15),1,$C15),0)</f>
        <v>0</v>
      </c>
      <c r="N15" s="27">
        <f>IFERROR(VLOOKUP($A15,'Fert Comp'!$A$2:$F$319,4,0)/100*($I15*1000)*IF(ISBLANK($C15),1,$C15),0)</f>
        <v>0</v>
      </c>
      <c r="O15" s="27">
        <f>IFERROR(VLOOKUP($A15,'Fert Comp'!$A$2:$F$319,5,0)/100*($I15*1000)*IF(ISBLANK($C15),1,$C15),0)</f>
        <v>0</v>
      </c>
      <c r="P15" s="27"/>
    </row>
    <row r="16" spans="1:17" x14ac:dyDescent="0.25">
      <c r="I16" s="27">
        <f t="shared" si="0"/>
        <v>0</v>
      </c>
      <c r="J16" s="27">
        <f>IFERROR(IF(AND(NOT(OR(IFERROR(FIND("Urea",A16,1),0)&gt;0,IFERROR(FIND("UAN",A16,1),0)&gt;0)),ISBLANK(E16)),VLOOKUP($A16,'Fert Comp'!$A$2:$F$319,2,0)/100*($I16*1000)*IF(ISBLANK($C16),1,$C16),0),0)</f>
        <v>0</v>
      </c>
      <c r="K16" s="27">
        <f>IFERROR(IF(OR(IFERROR(FIND(A16,"Urea",1),0)&gt;0,E16="Urea"),VLOOKUP($A16,'Fert Comp'!$A$2:$F$319,2,0)/100*($I16*1000)*IF(ISBLANK($C16),1,$C16),0),0)</f>
        <v>0</v>
      </c>
      <c r="L16" s="27">
        <f>IFERROR(IF(OR(IFERROR(FIND(A16,"UAN",1),0)&gt;0,E16="UAN"),VLOOKUP($A16,'Fert Comp'!$A$2:$F$319,2,0)/100*($I16*1000)*IF(ISBLANK($C16),1,$C16),0),0)</f>
        <v>0</v>
      </c>
      <c r="M16" s="27">
        <f>IFERROR(VLOOKUP($A16,'Fert Comp'!$A$2:$F$319,3,0)/100*($I16*1000)*IF(ISBLANK($C16),1,$C16),0)</f>
        <v>0</v>
      </c>
      <c r="N16" s="27">
        <f>IFERROR(VLOOKUP($A16,'Fert Comp'!$A$2:$F$319,4,0)/100*($I16*1000)*IF(ISBLANK($C16),1,$C16),0)</f>
        <v>0</v>
      </c>
      <c r="O16" s="27">
        <f>IFERROR(VLOOKUP($A16,'Fert Comp'!$A$2:$F$319,5,0)/100*($I16*1000)*IF(ISBLANK($C16),1,$C16),0)</f>
        <v>0</v>
      </c>
      <c r="P16" s="27"/>
    </row>
    <row r="17" spans="9:16" x14ac:dyDescent="0.25">
      <c r="I17" s="27">
        <f t="shared" si="0"/>
        <v>0</v>
      </c>
      <c r="J17" s="27">
        <f>IFERROR(IF(AND(NOT(OR(IFERROR(FIND("Urea",A17,1),0)&gt;0,IFERROR(FIND("UAN",A17,1),0)&gt;0)),ISBLANK(E17)),VLOOKUP($A17,'Fert Comp'!$A$2:$F$319,2,0)/100*($I17*1000)*IF(ISBLANK($C17),1,$C17),0),0)</f>
        <v>0</v>
      </c>
      <c r="K17" s="27">
        <f>IFERROR(IF(OR(IFERROR(FIND(A17,"Urea",1),0)&gt;0,E17="Urea"),VLOOKUP($A17,'Fert Comp'!$A$2:$F$319,2,0)/100*($I17*1000)*IF(ISBLANK($C17),1,$C17),0),0)</f>
        <v>0</v>
      </c>
      <c r="L17" s="27">
        <f>IFERROR(IF(OR(IFERROR(FIND(A17,"UAN",1),0)&gt;0,E17="UAN"),VLOOKUP($A17,'Fert Comp'!$A$2:$F$319,2,0)/100*($I17*1000)*IF(ISBLANK($C17),1,$C17),0),0)</f>
        <v>0</v>
      </c>
      <c r="M17" s="27">
        <f>IFERROR(VLOOKUP($A17,'Fert Comp'!$A$2:$F$319,3,0)/100*($I17*1000)*IF(ISBLANK($C17),1,$C17),0)</f>
        <v>0</v>
      </c>
      <c r="N17" s="27">
        <f>IFERROR(VLOOKUP($A17,'Fert Comp'!$A$2:$F$319,4,0)/100*($I17*1000)*IF(ISBLANK($C17),1,$C17),0)</f>
        <v>0</v>
      </c>
      <c r="O17" s="27">
        <f>IFERROR(VLOOKUP($A17,'Fert Comp'!$A$2:$F$319,5,0)/100*($I17*1000)*IF(ISBLANK($C17),1,$C17),0)</f>
        <v>0</v>
      </c>
      <c r="P17" s="27"/>
    </row>
    <row r="18" spans="9:16" x14ac:dyDescent="0.25">
      <c r="I18" s="27">
        <f t="shared" si="0"/>
        <v>0</v>
      </c>
      <c r="J18" s="27">
        <f>IFERROR(IF(AND(NOT(OR(IFERROR(FIND("Urea",A18,1),0)&gt;0,IFERROR(FIND("UAN",A18,1),0)&gt;0)),ISBLANK(E18)),VLOOKUP($A18,'Fert Comp'!$A$2:$F$319,2,0)/100*($I18*1000)*IF(ISBLANK($C18),1,$C18),0),0)</f>
        <v>0</v>
      </c>
      <c r="K18" s="27">
        <f>IFERROR(IF(OR(IFERROR(FIND(A18,"Urea",1),0)&gt;0,E18="Urea"),VLOOKUP($A18,'Fert Comp'!$A$2:$F$319,2,0)/100*($I18*1000)*IF(ISBLANK($C18),1,$C18),0),0)</f>
        <v>0</v>
      </c>
      <c r="L18" s="27">
        <f>IFERROR(IF(OR(IFERROR(FIND(A18,"UAN",1),0)&gt;0,E18="UAN"),VLOOKUP($A18,'Fert Comp'!$A$2:$F$319,2,0)/100*($I18*1000)*IF(ISBLANK($C18),1,$C18),0),0)</f>
        <v>0</v>
      </c>
      <c r="M18" s="27">
        <f>IFERROR(VLOOKUP($A18,'Fert Comp'!$A$2:$F$319,3,0)/100*($I18*1000)*IF(ISBLANK($C18),1,$C18),0)</f>
        <v>0</v>
      </c>
      <c r="N18" s="27">
        <f>IFERROR(VLOOKUP($A18,'Fert Comp'!$A$2:$F$319,4,0)/100*($I18*1000)*IF(ISBLANK($C18),1,$C18),0)</f>
        <v>0</v>
      </c>
      <c r="O18" s="27">
        <f>IFERROR(VLOOKUP($A18,'Fert Comp'!$A$2:$F$319,5,0)/100*($I18*1000)*IF(ISBLANK($C18),1,$C18),0)</f>
        <v>0</v>
      </c>
      <c r="P18" s="27"/>
    </row>
    <row r="19" spans="9:16" x14ac:dyDescent="0.25">
      <c r="I19" s="27">
        <f t="shared" si="0"/>
        <v>0</v>
      </c>
      <c r="J19" s="27">
        <f>IFERROR(IF(AND(NOT(OR(IFERROR(FIND("Urea",A19,1),0)&gt;0,IFERROR(FIND("UAN",A19,1),0)&gt;0)),ISBLANK(E19)),VLOOKUP($A19,'Fert Comp'!$A$2:$F$319,2,0)/100*($I19*1000)*IF(ISBLANK($C19),1,$C19),0),0)</f>
        <v>0</v>
      </c>
      <c r="K19" s="27">
        <f>IFERROR(IF(OR(IFERROR(FIND(A19,"Urea",1),0)&gt;0,E19="Urea"),VLOOKUP($A19,'Fert Comp'!$A$2:$F$319,2,0)/100*($I19*1000)*IF(ISBLANK($C19),1,$C19),0),0)</f>
        <v>0</v>
      </c>
      <c r="L19" s="27">
        <f>IFERROR(IF(OR(IFERROR(FIND(A19,"UAN",1),0)&gt;0,E19="UAN"),VLOOKUP($A19,'Fert Comp'!$A$2:$F$319,2,0)/100*($I19*1000)*IF(ISBLANK($C19),1,$C19),0),0)</f>
        <v>0</v>
      </c>
      <c r="M19" s="27">
        <f>IFERROR(VLOOKUP($A19,'Fert Comp'!$A$2:$F$319,3,0)/100*($I19*1000)*IF(ISBLANK($C19),1,$C19),0)</f>
        <v>0</v>
      </c>
      <c r="N19" s="27">
        <f>IFERROR(VLOOKUP($A19,'Fert Comp'!$A$2:$F$319,4,0)/100*($I19*1000)*IF(ISBLANK($C19),1,$C19),0)</f>
        <v>0</v>
      </c>
      <c r="O19" s="27">
        <f>IFERROR(VLOOKUP($A19,'Fert Comp'!$A$2:$F$319,5,0)/100*($I19*1000)*IF(ISBLANK($C19),1,$C19),0)</f>
        <v>0</v>
      </c>
      <c r="P19" s="27"/>
    </row>
    <row r="20" spans="9:16" x14ac:dyDescent="0.25">
      <c r="I20" s="27">
        <f t="shared" si="0"/>
        <v>0</v>
      </c>
      <c r="J20" s="27">
        <f>IFERROR(IF(AND(NOT(OR(IFERROR(FIND("Urea",A20,1),0)&gt;0,IFERROR(FIND("UAN",A20,1),0)&gt;0)),ISBLANK(E20)),VLOOKUP($A20,'Fert Comp'!$A$2:$F$319,2,0)/100*($I20*1000)*IF(ISBLANK($C20),1,$C20),0),0)</f>
        <v>0</v>
      </c>
      <c r="K20" s="27">
        <f>IFERROR(IF(OR(IFERROR(FIND(A20,"Urea",1),0)&gt;0,E20="Urea"),VLOOKUP($A20,'Fert Comp'!$A$2:$F$319,2,0)/100*($I20*1000)*IF(ISBLANK($C20),1,$C20),0),0)</f>
        <v>0</v>
      </c>
      <c r="L20" s="27">
        <f>IFERROR(IF(OR(IFERROR(FIND(A20,"UAN",1),0)&gt;0,E20="UAN"),VLOOKUP($A20,'Fert Comp'!$A$2:$F$319,2,0)/100*($I20*1000)*IF(ISBLANK($C20),1,$C20),0),0)</f>
        <v>0</v>
      </c>
      <c r="M20" s="27">
        <f>IFERROR(VLOOKUP($A20,'Fert Comp'!$A$2:$F$319,3,0)/100*($I20*1000)*IF(ISBLANK($C20),1,$C20),0)</f>
        <v>0</v>
      </c>
      <c r="N20" s="27">
        <f>IFERROR(VLOOKUP($A20,'Fert Comp'!$A$2:$F$319,4,0)/100*($I20*1000)*IF(ISBLANK($C20),1,$C20),0)</f>
        <v>0</v>
      </c>
      <c r="O20" s="27">
        <f>IFERROR(VLOOKUP($A20,'Fert Comp'!$A$2:$F$319,5,0)/100*($I20*1000)*IF(ISBLANK($C20),1,$C20),0)</f>
        <v>0</v>
      </c>
      <c r="P20" s="27"/>
    </row>
    <row r="21" spans="9:16" x14ac:dyDescent="0.25">
      <c r="I21" s="27">
        <f t="shared" si="0"/>
        <v>0</v>
      </c>
      <c r="J21" s="27">
        <f>IFERROR(IF(AND(NOT(OR(IFERROR(FIND("Urea",A21,1),0)&gt;0,IFERROR(FIND("UAN",A21,1),0)&gt;0)),ISBLANK(E21)),VLOOKUP($A21,'Fert Comp'!$A$2:$F$319,2,0)/100*($I21*1000)*IF(ISBLANK($C21),1,$C21),0),0)</f>
        <v>0</v>
      </c>
      <c r="K21" s="27">
        <f>IFERROR(IF(OR(IFERROR(FIND(A21,"Urea",1),0)&gt;0,E21="Urea"),VLOOKUP($A21,'Fert Comp'!$A$2:$F$319,2,0)/100*($I21*1000)*IF(ISBLANK($C21),1,$C21),0),0)</f>
        <v>0</v>
      </c>
      <c r="L21" s="27">
        <f>IFERROR(IF(OR(IFERROR(FIND(A21,"UAN",1),0)&gt;0,E21="UAN"),VLOOKUP($A21,'Fert Comp'!$A$2:$F$319,2,0)/100*($I21*1000)*IF(ISBLANK($C21),1,$C21),0),0)</f>
        <v>0</v>
      </c>
      <c r="M21" s="27">
        <f>IFERROR(VLOOKUP($A21,'Fert Comp'!$A$2:$F$319,3,0)/100*($I21*1000)*IF(ISBLANK($C21),1,$C21),0)</f>
        <v>0</v>
      </c>
      <c r="N21" s="27">
        <f>IFERROR(VLOOKUP($A21,'Fert Comp'!$A$2:$F$319,4,0)/100*($I21*1000)*IF(ISBLANK($C21),1,$C21),0)</f>
        <v>0</v>
      </c>
      <c r="O21" s="27">
        <f>IFERROR(VLOOKUP($A21,'Fert Comp'!$A$2:$F$319,5,0)/100*($I21*1000)*IF(ISBLANK($C21),1,$C21),0)</f>
        <v>0</v>
      </c>
      <c r="P21" s="27"/>
    </row>
    <row r="22" spans="9:16" x14ac:dyDescent="0.25">
      <c r="I22" s="27">
        <f t="shared" si="0"/>
        <v>0</v>
      </c>
      <c r="J22" s="27">
        <f>IFERROR(IF(AND(NOT(OR(IFERROR(FIND("Urea",A22,1),0)&gt;0,IFERROR(FIND("UAN",A22,1),0)&gt;0)),ISBLANK(E22)),VLOOKUP($A22,'Fert Comp'!$A$2:$F$319,2,0)/100*($I22*1000)*IF(ISBLANK($C22),1,$C22),0),0)</f>
        <v>0</v>
      </c>
      <c r="K22" s="27">
        <f>IFERROR(IF(OR(IFERROR(FIND(A22,"Urea",1),0)&gt;0,E22="Urea"),VLOOKUP($A22,'Fert Comp'!$A$2:$F$319,2,0)/100*($I22*1000)*IF(ISBLANK($C22),1,$C22),0),0)</f>
        <v>0</v>
      </c>
      <c r="L22" s="27">
        <f>IFERROR(IF(OR(IFERROR(FIND(A22,"UAN",1),0)&gt;0,E22="UAN"),VLOOKUP($A22,'Fert Comp'!$A$2:$F$319,2,0)/100*($I22*1000)*IF(ISBLANK($C22),1,$C22),0),0)</f>
        <v>0</v>
      </c>
      <c r="M22" s="27">
        <f>IFERROR(VLOOKUP($A22,'Fert Comp'!$A$2:$F$319,3,0)/100*($I22*1000)*IF(ISBLANK($C22),1,$C22),0)</f>
        <v>0</v>
      </c>
      <c r="N22" s="27">
        <f>IFERROR(VLOOKUP($A22,'Fert Comp'!$A$2:$F$319,4,0)/100*($I22*1000)*IF(ISBLANK($C22),1,$C22),0)</f>
        <v>0</v>
      </c>
      <c r="O22" s="27">
        <f>IFERROR(VLOOKUP($A22,'Fert Comp'!$A$2:$F$319,5,0)/100*($I22*1000)*IF(ISBLANK($C22),1,$C22),0)</f>
        <v>0</v>
      </c>
      <c r="P22" s="27"/>
    </row>
    <row r="23" spans="9:16" x14ac:dyDescent="0.25">
      <c r="I23" s="27">
        <f t="shared" si="0"/>
        <v>0</v>
      </c>
      <c r="J23" s="27">
        <f>IFERROR(IF(AND(NOT(OR(IFERROR(FIND("Urea",A23,1),0)&gt;0,IFERROR(FIND("UAN",A23,1),0)&gt;0)),ISBLANK(E23)),VLOOKUP($A23,'Fert Comp'!$A$2:$F$319,2,0)/100*($I23*1000)*IF(ISBLANK($C23),1,$C23),0),0)</f>
        <v>0</v>
      </c>
      <c r="K23" s="27">
        <f>IFERROR(IF(OR(IFERROR(FIND(A23,"Urea",1),0)&gt;0,E23="Urea"),VLOOKUP($A23,'Fert Comp'!$A$2:$F$319,2,0)/100*($I23*1000)*IF(ISBLANK($C23),1,$C23),0),0)</f>
        <v>0</v>
      </c>
      <c r="L23" s="27">
        <f>IFERROR(IF(OR(IFERROR(FIND(A23,"UAN",1),0)&gt;0,E23="UAN"),VLOOKUP($A23,'Fert Comp'!$A$2:$F$319,2,0)/100*($I23*1000)*IF(ISBLANK($C23),1,$C23),0),0)</f>
        <v>0</v>
      </c>
      <c r="M23" s="27">
        <f>IFERROR(VLOOKUP($A23,'Fert Comp'!$A$2:$F$319,3,0)/100*($I23*1000)*IF(ISBLANK($C23),1,$C23),0)</f>
        <v>0</v>
      </c>
      <c r="N23" s="27">
        <f>IFERROR(VLOOKUP($A23,'Fert Comp'!$A$2:$F$319,4,0)/100*($I23*1000)*IF(ISBLANK($C23),1,$C23),0)</f>
        <v>0</v>
      </c>
      <c r="O23" s="27">
        <f>IFERROR(VLOOKUP($A23,'Fert Comp'!$A$2:$F$319,5,0)/100*($I23*1000)*IF(ISBLANK($C23),1,$C23),0)</f>
        <v>0</v>
      </c>
      <c r="P23" s="27"/>
    </row>
    <row r="24" spans="9:16" x14ac:dyDescent="0.25">
      <c r="I24" s="27">
        <f t="shared" si="0"/>
        <v>0</v>
      </c>
      <c r="J24" s="27">
        <f>IFERROR(IF(AND(NOT(OR(IFERROR(FIND("Urea",A24,1),0)&gt;0,IFERROR(FIND("UAN",A24,1),0)&gt;0)),ISBLANK(E24)),VLOOKUP($A24,'Fert Comp'!$A$2:$F$319,2,0)/100*($I24*1000)*IF(ISBLANK($C24),1,$C24),0),0)</f>
        <v>0</v>
      </c>
      <c r="K24" s="27">
        <f>IFERROR(IF(OR(IFERROR(FIND(A24,"Urea",1),0)&gt;0,E24="Urea"),VLOOKUP($A24,'Fert Comp'!$A$2:$F$319,2,0)/100*($I24*1000)*IF(ISBLANK($C24),1,$C24),0),0)</f>
        <v>0</v>
      </c>
      <c r="L24" s="27">
        <f>IFERROR(IF(OR(IFERROR(FIND(A24,"UAN",1),0)&gt;0,E24="UAN"),VLOOKUP($A24,'Fert Comp'!$A$2:$F$319,2,0)/100*($I24*1000)*IF(ISBLANK($C24),1,$C24),0),0)</f>
        <v>0</v>
      </c>
      <c r="M24" s="27">
        <f>IFERROR(VLOOKUP($A24,'Fert Comp'!$A$2:$F$319,3,0)/100*($I24*1000)*IF(ISBLANK($C24),1,$C24),0)</f>
        <v>0</v>
      </c>
      <c r="N24" s="27">
        <f>IFERROR(VLOOKUP($A24,'Fert Comp'!$A$2:$F$319,4,0)/100*($I24*1000)*IF(ISBLANK($C24),1,$C24),0)</f>
        <v>0</v>
      </c>
      <c r="O24" s="27">
        <f>IFERROR(VLOOKUP($A24,'Fert Comp'!$A$2:$F$319,5,0)/100*($I24*1000)*IF(ISBLANK($C24),1,$C24),0)</f>
        <v>0</v>
      </c>
      <c r="P24" s="27"/>
    </row>
    <row r="25" spans="9:16" x14ac:dyDescent="0.25">
      <c r="I25" s="27">
        <f t="shared" si="0"/>
        <v>0</v>
      </c>
      <c r="J25" s="27">
        <f>IFERROR(IF(AND(NOT(OR(IFERROR(FIND("Urea",A25,1),0)&gt;0,IFERROR(FIND("UAN",A25,1),0)&gt;0)),ISBLANK(E25)),VLOOKUP($A25,'Fert Comp'!$A$2:$F$319,2,0)/100*($I25*1000)*IF(ISBLANK($C25),1,$C25),0),0)</f>
        <v>0</v>
      </c>
      <c r="K25" s="27">
        <f>IFERROR(IF(OR(IFERROR(FIND(A25,"Urea",1),0)&gt;0,E25="Urea"),VLOOKUP($A25,'Fert Comp'!$A$2:$F$319,2,0)/100*($I25*1000)*IF(ISBLANK($C25),1,$C25),0),0)</f>
        <v>0</v>
      </c>
      <c r="L25" s="27">
        <f>IFERROR(IF(OR(IFERROR(FIND(A25,"UAN",1),0)&gt;0,E25="UAN"),VLOOKUP($A25,'Fert Comp'!$A$2:$F$319,2,0)/100*($I25*1000)*IF(ISBLANK($C25),1,$C25),0),0)</f>
        <v>0</v>
      </c>
      <c r="M25" s="27">
        <f>IFERROR(VLOOKUP($A25,'Fert Comp'!$A$2:$F$319,3,0)/100*($I25*1000)*IF(ISBLANK($C25),1,$C25),0)</f>
        <v>0</v>
      </c>
      <c r="N25" s="27">
        <f>IFERROR(VLOOKUP($A25,'Fert Comp'!$A$2:$F$319,4,0)/100*($I25*1000)*IF(ISBLANK($C25),1,$C25),0)</f>
        <v>0</v>
      </c>
      <c r="O25" s="27">
        <f>IFERROR(VLOOKUP($A25,'Fert Comp'!$A$2:$F$319,5,0)/100*($I25*1000)*IF(ISBLANK($C25),1,$C25),0)</f>
        <v>0</v>
      </c>
      <c r="P25" s="27"/>
    </row>
    <row r="26" spans="9:16" x14ac:dyDescent="0.25">
      <c r="I26" s="27">
        <f t="shared" si="0"/>
        <v>0</v>
      </c>
      <c r="J26" s="27">
        <f>IFERROR(IF(AND(NOT(OR(IFERROR(FIND("Urea",A26,1),0)&gt;0,IFERROR(FIND("UAN",A26,1),0)&gt;0)),ISBLANK(E26)),VLOOKUP($A26,'Fert Comp'!$A$2:$F$319,2,0)/100*($I26*1000)*IF(ISBLANK($C26),1,$C26),0),0)</f>
        <v>0</v>
      </c>
      <c r="K26" s="27">
        <f>IFERROR(IF(OR(IFERROR(FIND(A26,"Urea",1),0)&gt;0,E26="Urea"),VLOOKUP($A26,'Fert Comp'!$A$2:$F$319,2,0)/100*($I26*1000)*IF(ISBLANK($C26),1,$C26),0),0)</f>
        <v>0</v>
      </c>
      <c r="L26" s="27">
        <f>IFERROR(IF(OR(IFERROR(FIND(A26,"UAN",1),0)&gt;0,E26="UAN"),VLOOKUP($A26,'Fert Comp'!$A$2:$F$319,2,0)/100*($I26*1000)*IF(ISBLANK($C26),1,$C26),0),0)</f>
        <v>0</v>
      </c>
      <c r="M26" s="27">
        <f>IFERROR(VLOOKUP($A26,'Fert Comp'!$A$2:$F$319,3,0)/100*($I26*1000)*IF(ISBLANK($C26),1,$C26),0)</f>
        <v>0</v>
      </c>
      <c r="N26" s="27">
        <f>IFERROR(VLOOKUP($A26,'Fert Comp'!$A$2:$F$319,4,0)/100*($I26*1000)*IF(ISBLANK($C26),1,$C26),0)</f>
        <v>0</v>
      </c>
      <c r="O26" s="27">
        <f>IFERROR(VLOOKUP($A26,'Fert Comp'!$A$2:$F$319,5,0)/100*($I26*1000)*IF(ISBLANK($C26),1,$C26),0)</f>
        <v>0</v>
      </c>
      <c r="P26" s="27"/>
    </row>
    <row r="27" spans="9:16" x14ac:dyDescent="0.25">
      <c r="I27" s="27">
        <f t="shared" si="0"/>
        <v>0</v>
      </c>
      <c r="J27" s="27">
        <f>IFERROR(IF(AND(NOT(OR(IFERROR(FIND("Urea",A27,1),0)&gt;0,IFERROR(FIND("UAN",A27,1),0)&gt;0)),ISBLANK(E27)),VLOOKUP($A27,'Fert Comp'!$A$2:$F$319,2,0)/100*($I27*1000)*IF(ISBLANK($C27),1,$C27),0),0)</f>
        <v>0</v>
      </c>
      <c r="K27" s="27">
        <f>IFERROR(IF(OR(IFERROR(FIND(A27,"Urea",1),0)&gt;0,E27="Urea"),VLOOKUP($A27,'Fert Comp'!$A$2:$F$319,2,0)/100*($I27*1000)*IF(ISBLANK($C27),1,$C27),0),0)</f>
        <v>0</v>
      </c>
      <c r="L27" s="27">
        <f>IFERROR(IF(OR(IFERROR(FIND(A27,"UAN",1),0)&gt;0,E27="UAN"),VLOOKUP($A27,'Fert Comp'!$A$2:$F$319,2,0)/100*($I27*1000)*IF(ISBLANK($C27),1,$C27),0),0)</f>
        <v>0</v>
      </c>
      <c r="M27" s="27">
        <f>IFERROR(VLOOKUP($A27,'Fert Comp'!$A$2:$F$319,3,0)/100*($I27*1000)*IF(ISBLANK($C27),1,$C27),0)</f>
        <v>0</v>
      </c>
      <c r="N27" s="27">
        <f>IFERROR(VLOOKUP($A27,'Fert Comp'!$A$2:$F$319,4,0)/100*($I27*1000)*IF(ISBLANK($C27),1,$C27),0)</f>
        <v>0</v>
      </c>
      <c r="O27" s="27">
        <f>IFERROR(VLOOKUP($A27,'Fert Comp'!$A$2:$F$319,5,0)/100*($I27*1000)*IF(ISBLANK($C27),1,$C27),0)</f>
        <v>0</v>
      </c>
      <c r="P27" s="27"/>
    </row>
    <row r="28" spans="9:16" x14ac:dyDescent="0.25">
      <c r="I28" s="27">
        <f t="shared" si="0"/>
        <v>0</v>
      </c>
      <c r="J28" s="27">
        <f>IFERROR(IF(AND(NOT(OR(IFERROR(FIND("Urea",A28,1),0)&gt;0,IFERROR(FIND("UAN",A28,1),0)&gt;0)),ISBLANK(E28)),VLOOKUP($A28,'Fert Comp'!$A$2:$F$319,2,0)/100*($I28*1000)*IF(ISBLANK($C28),1,$C28),0),0)</f>
        <v>0</v>
      </c>
      <c r="K28" s="27">
        <f>IFERROR(IF(OR(IFERROR(FIND(A28,"Urea",1),0)&gt;0,E28="Urea"),VLOOKUP($A28,'Fert Comp'!$A$2:$F$319,2,0)/100*($I28*1000)*IF(ISBLANK($C28),1,$C28),0),0)</f>
        <v>0</v>
      </c>
      <c r="L28" s="27">
        <f>IFERROR(IF(OR(IFERROR(FIND(A28,"UAN",1),0)&gt;0,E28="UAN"),VLOOKUP($A28,'Fert Comp'!$A$2:$F$319,2,0)/100*($I28*1000)*IF(ISBLANK($C28),1,$C28),0),0)</f>
        <v>0</v>
      </c>
      <c r="M28" s="27">
        <f>IFERROR(VLOOKUP($A28,'Fert Comp'!$A$2:$F$319,3,0)/100*($I28*1000)*IF(ISBLANK($C28),1,$C28),0)</f>
        <v>0</v>
      </c>
      <c r="N28" s="27">
        <f>IFERROR(VLOOKUP($A28,'Fert Comp'!$A$2:$F$319,4,0)/100*($I28*1000)*IF(ISBLANK($C28),1,$C28),0)</f>
        <v>0</v>
      </c>
      <c r="O28" s="27">
        <f>IFERROR(VLOOKUP($A28,'Fert Comp'!$A$2:$F$319,5,0)/100*($I28*1000)*IF(ISBLANK($C28),1,$C28),0)</f>
        <v>0</v>
      </c>
      <c r="P28" s="27"/>
    </row>
    <row r="29" spans="9:16" x14ac:dyDescent="0.25">
      <c r="I29" s="27">
        <f t="shared" si="0"/>
        <v>0</v>
      </c>
      <c r="J29" s="27">
        <f>IFERROR(IF(AND(NOT(OR(IFERROR(FIND("Urea",A29,1),0)&gt;0,IFERROR(FIND("UAN",A29,1),0)&gt;0)),ISBLANK(E29)),VLOOKUP($A29,'Fert Comp'!$A$2:$F$319,2,0)/100*($I29*1000)*IF(ISBLANK($C29),1,$C29),0),0)</f>
        <v>0</v>
      </c>
      <c r="K29" s="27">
        <f>IFERROR(IF(OR(IFERROR(FIND(A29,"Urea",1),0)&gt;0,E29="Urea"),VLOOKUP($A29,'Fert Comp'!$A$2:$F$319,2,0)/100*($I29*1000)*IF(ISBLANK($C29),1,$C29),0),0)</f>
        <v>0</v>
      </c>
      <c r="L29" s="27">
        <f>IFERROR(IF(OR(IFERROR(FIND(A29,"UAN",1),0)&gt;0,E29="UAN"),VLOOKUP($A29,'Fert Comp'!$A$2:$F$319,2,0)/100*($I29*1000)*IF(ISBLANK($C29),1,$C29),0),0)</f>
        <v>0</v>
      </c>
      <c r="M29" s="27">
        <f>IFERROR(VLOOKUP($A29,'Fert Comp'!$A$2:$F$319,3,0)/100*($I29*1000)*IF(ISBLANK($C29),1,$C29),0)</f>
        <v>0</v>
      </c>
      <c r="N29" s="27">
        <f>IFERROR(VLOOKUP($A29,'Fert Comp'!$A$2:$F$319,4,0)/100*($I29*1000)*IF(ISBLANK($C29),1,$C29),0)</f>
        <v>0</v>
      </c>
      <c r="O29" s="27">
        <f>IFERROR(VLOOKUP($A29,'Fert Comp'!$A$2:$F$319,5,0)/100*($I29*1000)*IF(ISBLANK($C29),1,$C29),0)</f>
        <v>0</v>
      </c>
      <c r="P29" s="27"/>
    </row>
    <row r="30" spans="9:16" x14ac:dyDescent="0.25">
      <c r="I30" s="27">
        <f t="shared" si="0"/>
        <v>0</v>
      </c>
      <c r="J30" s="27">
        <f>IFERROR(IF(AND(NOT(OR(IFERROR(FIND("Urea",A30,1),0)&gt;0,IFERROR(FIND("UAN",A30,1),0)&gt;0)),ISBLANK(E30)),VLOOKUP($A30,'Fert Comp'!$A$2:$F$319,2,0)/100*($I30*1000)*IF(ISBLANK($C30),1,$C30),0),0)</f>
        <v>0</v>
      </c>
      <c r="K30" s="27">
        <f>IFERROR(IF(OR(IFERROR(FIND(A30,"Urea",1),0)&gt;0,E30="Urea"),VLOOKUP($A30,'Fert Comp'!$A$2:$F$319,2,0)/100*($I30*1000)*IF(ISBLANK($C30),1,$C30),0),0)</f>
        <v>0</v>
      </c>
      <c r="L30" s="27">
        <f>IFERROR(IF(OR(IFERROR(FIND(A30,"UAN",1),0)&gt;0,E30="UAN"),VLOOKUP($A30,'Fert Comp'!$A$2:$F$319,2,0)/100*($I30*1000)*IF(ISBLANK($C30),1,$C30),0),0)</f>
        <v>0</v>
      </c>
      <c r="M30" s="27">
        <f>IFERROR(VLOOKUP($A30,'Fert Comp'!$A$2:$F$319,3,0)/100*($I30*1000)*IF(ISBLANK($C30),1,$C30),0)</f>
        <v>0</v>
      </c>
      <c r="N30" s="27">
        <f>IFERROR(VLOOKUP($A30,'Fert Comp'!$A$2:$F$319,4,0)/100*($I30*1000)*IF(ISBLANK($C30),1,$C30),0)</f>
        <v>0</v>
      </c>
      <c r="O30" s="27">
        <f>IFERROR(VLOOKUP($A30,'Fert Comp'!$A$2:$F$319,5,0)/100*($I30*1000)*IF(ISBLANK($C30),1,$C30),0)</f>
        <v>0</v>
      </c>
      <c r="P30" s="27"/>
    </row>
    <row r="31" spans="9:16" x14ac:dyDescent="0.25">
      <c r="I31" s="27">
        <f t="shared" si="0"/>
        <v>0</v>
      </c>
      <c r="J31" s="27">
        <f>IFERROR(IF(AND(NOT(OR(IFERROR(FIND("Urea",A31,1),0)&gt;0,IFERROR(FIND("UAN",A31,1),0)&gt;0)),ISBLANK(E31)),VLOOKUP($A31,'Fert Comp'!$A$2:$F$319,2,0)/100*($I31*1000)*IF(ISBLANK($C31),1,$C31),0),0)</f>
        <v>0</v>
      </c>
      <c r="K31" s="27">
        <f>IFERROR(IF(OR(IFERROR(FIND(A31,"Urea",1),0)&gt;0,E31="Urea"),VLOOKUP($A31,'Fert Comp'!$A$2:$F$319,2,0)/100*($I31*1000)*IF(ISBLANK($C31),1,$C31),0),0)</f>
        <v>0</v>
      </c>
      <c r="L31" s="27">
        <f>IFERROR(IF(OR(IFERROR(FIND(A31,"UAN",1),0)&gt;0,E31="UAN"),VLOOKUP($A31,'Fert Comp'!$A$2:$F$319,2,0)/100*($I31*1000)*IF(ISBLANK($C31),1,$C31),0),0)</f>
        <v>0</v>
      </c>
      <c r="M31" s="27">
        <f>IFERROR(VLOOKUP($A31,'Fert Comp'!$A$2:$F$319,3,0)/100*($I31*1000)*IF(ISBLANK($C31),1,$C31),0)</f>
        <v>0</v>
      </c>
      <c r="N31" s="27">
        <f>IFERROR(VLOOKUP($A31,'Fert Comp'!$A$2:$F$319,4,0)/100*($I31*1000)*IF(ISBLANK($C31),1,$C31),0)</f>
        <v>0</v>
      </c>
      <c r="O31" s="27">
        <f>IFERROR(VLOOKUP($A31,'Fert Comp'!$A$2:$F$319,5,0)/100*($I31*1000)*IF(ISBLANK($C31),1,$C31),0)</f>
        <v>0</v>
      </c>
      <c r="P31" s="27"/>
    </row>
    <row r="32" spans="9:16" x14ac:dyDescent="0.25">
      <c r="I32" s="27">
        <f t="shared" si="0"/>
        <v>0</v>
      </c>
      <c r="J32" s="27">
        <f>IFERROR(IF(AND(NOT(OR(IFERROR(FIND("Urea",A32,1),0)&gt;0,IFERROR(FIND("UAN",A32,1),0)&gt;0)),ISBLANK(E32)),VLOOKUP($A32,'Fert Comp'!$A$2:$F$319,2,0)/100*($I32*1000)*IF(ISBLANK($C32),1,$C32),0),0)</f>
        <v>0</v>
      </c>
      <c r="K32" s="27">
        <f>IFERROR(IF(OR(IFERROR(FIND(A32,"Urea",1),0)&gt;0,E32="Urea"),VLOOKUP($A32,'Fert Comp'!$A$2:$F$319,2,0)/100*($I32*1000)*IF(ISBLANK($C32),1,$C32),0),0)</f>
        <v>0</v>
      </c>
      <c r="L32" s="27">
        <f>IFERROR(IF(OR(IFERROR(FIND(A32,"UAN",1),0)&gt;0,E32="UAN"),VLOOKUP($A32,'Fert Comp'!$A$2:$F$319,2,0)/100*($I32*1000)*IF(ISBLANK($C32),1,$C32),0),0)</f>
        <v>0</v>
      </c>
      <c r="M32" s="27">
        <f>IFERROR(VLOOKUP($A32,'Fert Comp'!$A$2:$F$319,3,0)/100*($I32*1000)*IF(ISBLANK($C32),1,$C32),0)</f>
        <v>0</v>
      </c>
      <c r="N32" s="27">
        <f>IFERROR(VLOOKUP($A32,'Fert Comp'!$A$2:$F$319,4,0)/100*($I32*1000)*IF(ISBLANK($C32),1,$C32),0)</f>
        <v>0</v>
      </c>
      <c r="O32" s="27">
        <f>IFERROR(VLOOKUP($A32,'Fert Comp'!$A$2:$F$319,5,0)/100*($I32*1000)*IF(ISBLANK($C32),1,$C32),0)</f>
        <v>0</v>
      </c>
      <c r="P32" s="27"/>
    </row>
    <row r="33" spans="9:16" x14ac:dyDescent="0.25">
      <c r="I33" s="27">
        <f t="shared" si="0"/>
        <v>0</v>
      </c>
      <c r="J33" s="27">
        <f>IFERROR(IF(AND(NOT(OR(IFERROR(FIND("Urea",A33,1),0)&gt;0,IFERROR(FIND("UAN",A33,1),0)&gt;0)),ISBLANK(E33)),VLOOKUP($A33,'Fert Comp'!$A$2:$F$319,2,0)/100*($I33*1000)*IF(ISBLANK($C33),1,$C33),0),0)</f>
        <v>0</v>
      </c>
      <c r="K33" s="27">
        <f>IFERROR(IF(OR(IFERROR(FIND(A33,"Urea",1),0)&gt;0,E33="Urea"),VLOOKUP($A33,'Fert Comp'!$A$2:$F$319,2,0)/100*($I33*1000)*IF(ISBLANK($C33),1,$C33),0),0)</f>
        <v>0</v>
      </c>
      <c r="L33" s="27">
        <f>IFERROR(IF(OR(IFERROR(FIND(A33,"UAN",1),0)&gt;0,E33="UAN"),VLOOKUP($A33,'Fert Comp'!$A$2:$F$319,2,0)/100*($I33*1000)*IF(ISBLANK($C33),1,$C33),0),0)</f>
        <v>0</v>
      </c>
      <c r="M33" s="27">
        <f>IFERROR(VLOOKUP($A33,'Fert Comp'!$A$2:$F$319,3,0)/100*($I33*1000)*IF(ISBLANK($C33),1,$C33),0)</f>
        <v>0</v>
      </c>
      <c r="N33" s="27">
        <f>IFERROR(VLOOKUP($A33,'Fert Comp'!$A$2:$F$319,4,0)/100*($I33*1000)*IF(ISBLANK($C33),1,$C33),0)</f>
        <v>0</v>
      </c>
      <c r="O33" s="27">
        <f>IFERROR(VLOOKUP($A33,'Fert Comp'!$A$2:$F$319,5,0)/100*($I33*1000)*IF(ISBLANK($C33),1,$C33),0)</f>
        <v>0</v>
      </c>
      <c r="P33" s="27"/>
    </row>
    <row r="34" spans="9:16" x14ac:dyDescent="0.25">
      <c r="I34" s="27">
        <f t="shared" si="0"/>
        <v>0</v>
      </c>
      <c r="J34" s="27">
        <f>IFERROR(IF(AND(NOT(OR(IFERROR(FIND("Urea",A34,1),0)&gt;0,IFERROR(FIND("UAN",A34,1),0)&gt;0)),ISBLANK(E34)),VLOOKUP($A34,'Fert Comp'!$A$2:$F$319,2,0)/100*($I34*1000)*IF(ISBLANK($C34),1,$C34),0),0)</f>
        <v>0</v>
      </c>
      <c r="K34" s="27">
        <f>IFERROR(IF(OR(IFERROR(FIND(A34,"Urea",1),0)&gt;0,E34="Urea"),VLOOKUP($A34,'Fert Comp'!$A$2:$F$319,2,0)/100*($I34*1000)*IF(ISBLANK($C34),1,$C34),0),0)</f>
        <v>0</v>
      </c>
      <c r="L34" s="27">
        <f>IFERROR(IF(OR(IFERROR(FIND(A34,"UAN",1),0)&gt;0,E34="UAN"),VLOOKUP($A34,'Fert Comp'!$A$2:$F$319,2,0)/100*($I34*1000)*IF(ISBLANK($C34),1,$C34),0),0)</f>
        <v>0</v>
      </c>
      <c r="M34" s="27">
        <f>IFERROR(VLOOKUP($A34,'Fert Comp'!$A$2:$F$319,3,0)/100*($I34*1000)*IF(ISBLANK($C34),1,$C34),0)</f>
        <v>0</v>
      </c>
      <c r="N34" s="27">
        <f>IFERROR(VLOOKUP($A34,'Fert Comp'!$A$2:$F$319,4,0)/100*($I34*1000)*IF(ISBLANK($C34),1,$C34),0)</f>
        <v>0</v>
      </c>
      <c r="O34" s="27">
        <f>IFERROR(VLOOKUP($A34,'Fert Comp'!$A$2:$F$319,5,0)/100*($I34*1000)*IF(ISBLANK($C34),1,$C34),0)</f>
        <v>0</v>
      </c>
      <c r="P34" s="27"/>
    </row>
    <row r="35" spans="9:16" x14ac:dyDescent="0.25">
      <c r="I35" s="27">
        <f t="shared" si="0"/>
        <v>0</v>
      </c>
      <c r="J35" s="27">
        <f>IFERROR(IF(AND(NOT(OR(IFERROR(FIND("Urea",A35,1),0)&gt;0,IFERROR(FIND("UAN",A35,1),0)&gt;0)),ISBLANK(E35)),VLOOKUP($A35,'Fert Comp'!$A$2:$F$319,2,0)/100*($I35*1000)*IF(ISBLANK($C35),1,$C35),0),0)</f>
        <v>0</v>
      </c>
      <c r="K35" s="27">
        <f>IFERROR(IF(OR(IFERROR(FIND(A35,"Urea",1),0)&gt;0,E35="Urea"),VLOOKUP($A35,'Fert Comp'!$A$2:$F$319,2,0)/100*($I35*1000)*IF(ISBLANK($C35),1,$C35),0),0)</f>
        <v>0</v>
      </c>
      <c r="L35" s="27">
        <f>IFERROR(IF(OR(IFERROR(FIND(A35,"UAN",1),0)&gt;0,E35="UAN"),VLOOKUP($A35,'Fert Comp'!$A$2:$F$319,2,0)/100*($I35*1000)*IF(ISBLANK($C35),1,$C35),0),0)</f>
        <v>0</v>
      </c>
      <c r="M35" s="27">
        <f>IFERROR(VLOOKUP($A35,'Fert Comp'!$A$2:$F$319,3,0)/100*($I35*1000)*IF(ISBLANK($C35),1,$C35),0)</f>
        <v>0</v>
      </c>
      <c r="N35" s="27">
        <f>IFERROR(VLOOKUP($A35,'Fert Comp'!$A$2:$F$319,4,0)/100*($I35*1000)*IF(ISBLANK($C35),1,$C35),0)</f>
        <v>0</v>
      </c>
      <c r="O35" s="27">
        <f>IFERROR(VLOOKUP($A35,'Fert Comp'!$A$2:$F$319,5,0)/100*($I35*1000)*IF(ISBLANK($C35),1,$C35),0)</f>
        <v>0</v>
      </c>
      <c r="P35" s="27"/>
    </row>
    <row r="36" spans="9:16" x14ac:dyDescent="0.25">
      <c r="I36" s="27">
        <f t="shared" si="0"/>
        <v>0</v>
      </c>
      <c r="J36" s="27">
        <f>IFERROR(IF(AND(NOT(OR(IFERROR(FIND("Urea",A36,1),0)&gt;0,IFERROR(FIND("UAN",A36,1),0)&gt;0)),ISBLANK(E36)),VLOOKUP($A36,'Fert Comp'!$A$2:$F$319,2,0)/100*($I36*1000)*IF(ISBLANK($C36),1,$C36),0),0)</f>
        <v>0</v>
      </c>
      <c r="K36" s="27">
        <f>IFERROR(IF(OR(IFERROR(FIND(A36,"Urea",1),0)&gt;0,E36="Urea"),VLOOKUP($A36,'Fert Comp'!$A$2:$F$319,2,0)/100*($I36*1000)*IF(ISBLANK($C36),1,$C36),0),0)</f>
        <v>0</v>
      </c>
      <c r="L36" s="27">
        <f>IFERROR(IF(OR(IFERROR(FIND(A36,"UAN",1),0)&gt;0,E36="UAN"),VLOOKUP($A36,'Fert Comp'!$A$2:$F$319,2,0)/100*($I36*1000)*IF(ISBLANK($C36),1,$C36),0),0)</f>
        <v>0</v>
      </c>
      <c r="M36" s="27">
        <f>IFERROR(VLOOKUP($A36,'Fert Comp'!$A$2:$F$319,3,0)/100*($I36*1000)*IF(ISBLANK($C36),1,$C36),0)</f>
        <v>0</v>
      </c>
      <c r="N36" s="27">
        <f>IFERROR(VLOOKUP($A36,'Fert Comp'!$A$2:$F$319,4,0)/100*($I36*1000)*IF(ISBLANK($C36),1,$C36),0)</f>
        <v>0</v>
      </c>
      <c r="O36" s="27">
        <f>IFERROR(VLOOKUP($A36,'Fert Comp'!$A$2:$F$319,5,0)/100*($I36*1000)*IF(ISBLANK($C36),1,$C36),0)</f>
        <v>0</v>
      </c>
      <c r="P36" s="27"/>
    </row>
    <row r="37" spans="9:16" x14ac:dyDescent="0.25">
      <c r="I37" s="27">
        <f t="shared" si="0"/>
        <v>0</v>
      </c>
      <c r="J37" s="27">
        <f>IFERROR(IF(AND(NOT(OR(IFERROR(FIND("Urea",A37,1),0)&gt;0,IFERROR(FIND("UAN",A37,1),0)&gt;0)),ISBLANK(E37)),VLOOKUP($A37,'Fert Comp'!$A$2:$F$319,2,0)/100*($I37*1000)*IF(ISBLANK($C37),1,$C37),0),0)</f>
        <v>0</v>
      </c>
      <c r="K37" s="27">
        <f>IFERROR(IF(OR(IFERROR(FIND(A37,"Urea",1),0)&gt;0,E37="Urea"),VLOOKUP($A37,'Fert Comp'!$A$2:$F$319,2,0)/100*($I37*1000)*IF(ISBLANK($C37),1,$C37),0),0)</f>
        <v>0</v>
      </c>
      <c r="L37" s="27">
        <f>IFERROR(IF(OR(IFERROR(FIND(A37,"UAN",1),0)&gt;0,E37="UAN"),VLOOKUP($A37,'Fert Comp'!$A$2:$F$319,2,0)/100*($I37*1000)*IF(ISBLANK($C37),1,$C37),0),0)</f>
        <v>0</v>
      </c>
      <c r="M37" s="27">
        <f>IFERROR(VLOOKUP($A37,'Fert Comp'!$A$2:$F$319,3,0)/100*($I37*1000)*IF(ISBLANK($C37),1,$C37),0)</f>
        <v>0</v>
      </c>
      <c r="N37" s="27">
        <f>IFERROR(VLOOKUP($A37,'Fert Comp'!$A$2:$F$319,4,0)/100*($I37*1000)*IF(ISBLANK($C37),1,$C37),0)</f>
        <v>0</v>
      </c>
      <c r="O37" s="27">
        <f>IFERROR(VLOOKUP($A37,'Fert Comp'!$A$2:$F$319,5,0)/100*($I37*1000)*IF(ISBLANK($C37),1,$C37),0)</f>
        <v>0</v>
      </c>
      <c r="P37" s="27"/>
    </row>
    <row r="38" spans="9:16" x14ac:dyDescent="0.25">
      <c r="I38" s="27">
        <f t="shared" si="0"/>
        <v>0</v>
      </c>
      <c r="J38" s="27">
        <f>IFERROR(IF(AND(NOT(OR(IFERROR(FIND("Urea",A38,1),0)&gt;0,IFERROR(FIND("UAN",A38,1),0)&gt;0)),ISBLANK(E38)),VLOOKUP($A38,'Fert Comp'!$A$2:$F$319,2,0)/100*($I38*1000)*IF(ISBLANK($C38),1,$C38),0),0)</f>
        <v>0</v>
      </c>
      <c r="K38" s="27">
        <f>IFERROR(IF(OR(IFERROR(FIND(A38,"Urea",1),0)&gt;0,E38="Urea"),VLOOKUP($A38,'Fert Comp'!$A$2:$F$319,2,0)/100*($I38*1000)*IF(ISBLANK($C38),1,$C38),0),0)</f>
        <v>0</v>
      </c>
      <c r="L38" s="27">
        <f>IFERROR(IF(OR(IFERROR(FIND(A38,"UAN",1),0)&gt;0,E38="UAN"),VLOOKUP($A38,'Fert Comp'!$A$2:$F$319,2,0)/100*($I38*1000)*IF(ISBLANK($C38),1,$C38),0),0)</f>
        <v>0</v>
      </c>
      <c r="M38" s="27">
        <f>IFERROR(VLOOKUP($A38,'Fert Comp'!$A$2:$F$319,3,0)/100*($I38*1000)*IF(ISBLANK($C38),1,$C38),0)</f>
        <v>0</v>
      </c>
      <c r="N38" s="27">
        <f>IFERROR(VLOOKUP($A38,'Fert Comp'!$A$2:$F$319,4,0)/100*($I38*1000)*IF(ISBLANK($C38),1,$C38),0)</f>
        <v>0</v>
      </c>
      <c r="O38" s="27">
        <f>IFERROR(VLOOKUP($A38,'Fert Comp'!$A$2:$F$319,5,0)/100*($I38*1000)*IF(ISBLANK($C38),1,$C38),0)</f>
        <v>0</v>
      </c>
      <c r="P38" s="27"/>
    </row>
    <row r="39" spans="9:16" x14ac:dyDescent="0.25">
      <c r="I39" s="27">
        <f t="shared" si="0"/>
        <v>0</v>
      </c>
      <c r="J39" s="27">
        <f>IFERROR(IF(AND(NOT(OR(IFERROR(FIND("Urea",A39,1),0)&gt;0,IFERROR(FIND("UAN",A39,1),0)&gt;0)),ISBLANK(E39)),VLOOKUP($A39,'Fert Comp'!$A$2:$F$319,2,0)/100*($I39*1000)*IF(ISBLANK($C39),1,$C39),0),0)</f>
        <v>0</v>
      </c>
      <c r="K39" s="27">
        <f>IFERROR(IF(OR(IFERROR(FIND(A39,"Urea",1),0)&gt;0,E39="Urea"),VLOOKUP($A39,'Fert Comp'!$A$2:$F$319,2,0)/100*($I39*1000)*IF(ISBLANK($C39),1,$C39),0),0)</f>
        <v>0</v>
      </c>
      <c r="L39" s="27">
        <f>IFERROR(IF(OR(IFERROR(FIND(A39,"UAN",1),0)&gt;0,E39="UAN"),VLOOKUP($A39,'Fert Comp'!$A$2:$F$319,2,0)/100*($I39*1000)*IF(ISBLANK($C39),1,$C39),0),0)</f>
        <v>0</v>
      </c>
      <c r="M39" s="27">
        <f>IFERROR(VLOOKUP($A39,'Fert Comp'!$A$2:$F$319,3,0)/100*($I39*1000)*IF(ISBLANK($C39),1,$C39),0)</f>
        <v>0</v>
      </c>
      <c r="N39" s="27">
        <f>IFERROR(VLOOKUP($A39,'Fert Comp'!$A$2:$F$319,4,0)/100*($I39*1000)*IF(ISBLANK($C39),1,$C39),0)</f>
        <v>0</v>
      </c>
      <c r="O39" s="27">
        <f>IFERROR(VLOOKUP($A39,'Fert Comp'!$A$2:$F$319,5,0)/100*($I39*1000)*IF(ISBLANK($C39),1,$C39),0)</f>
        <v>0</v>
      </c>
      <c r="P39" s="27"/>
    </row>
    <row r="40" spans="9:16" x14ac:dyDescent="0.25">
      <c r="I40" s="27">
        <f t="shared" si="0"/>
        <v>0</v>
      </c>
      <c r="J40" s="27">
        <f>IFERROR(IF(AND(NOT(OR(IFERROR(FIND("Urea",A40,1),0)&gt;0,IFERROR(FIND("UAN",A40,1),0)&gt;0)),ISBLANK(E40)),VLOOKUP($A40,'Fert Comp'!$A$2:$F$319,2,0)/100*($I40*1000)*IF(ISBLANK($C40),1,$C40),0),0)</f>
        <v>0</v>
      </c>
      <c r="K40" s="27">
        <f>IFERROR(IF(OR(IFERROR(FIND(A40,"Urea",1),0)&gt;0,E40="Urea"),VLOOKUP($A40,'Fert Comp'!$A$2:$F$319,2,0)/100*($I40*1000)*IF(ISBLANK($C40),1,$C40),0),0)</f>
        <v>0</v>
      </c>
      <c r="L40" s="27">
        <f>IFERROR(IF(OR(IFERROR(FIND(A40,"UAN",1),0)&gt;0,E40="UAN"),VLOOKUP($A40,'Fert Comp'!$A$2:$F$319,2,0)/100*($I40*1000)*IF(ISBLANK($C40),1,$C40),0),0)</f>
        <v>0</v>
      </c>
      <c r="M40" s="27">
        <f>IFERROR(VLOOKUP($A40,'Fert Comp'!$A$2:$F$319,3,0)/100*($I40*1000)*IF(ISBLANK($C40),1,$C40),0)</f>
        <v>0</v>
      </c>
      <c r="N40" s="27">
        <f>IFERROR(VLOOKUP($A40,'Fert Comp'!$A$2:$F$319,4,0)/100*($I40*1000)*IF(ISBLANK($C40),1,$C40),0)</f>
        <v>0</v>
      </c>
      <c r="O40" s="27">
        <f>IFERROR(VLOOKUP($A40,'Fert Comp'!$A$2:$F$319,5,0)/100*($I40*1000)*IF(ISBLANK($C40),1,$C40),0)</f>
        <v>0</v>
      </c>
      <c r="P40" s="27"/>
    </row>
    <row r="41" spans="9:16" x14ac:dyDescent="0.25">
      <c r="I41" s="27">
        <f t="shared" si="0"/>
        <v>0</v>
      </c>
      <c r="J41" s="27">
        <f>IFERROR(IF(AND(NOT(OR(IFERROR(FIND("Urea",A41,1),0)&gt;0,IFERROR(FIND("UAN",A41,1),0)&gt;0)),ISBLANK(E41)),VLOOKUP($A41,'Fert Comp'!$A$2:$F$319,2,0)/100*($I41*1000)*IF(ISBLANK($C41),1,$C41),0),0)</f>
        <v>0</v>
      </c>
      <c r="K41" s="27">
        <f>IFERROR(IF(OR(IFERROR(FIND(A41,"Urea",1),0)&gt;0,E41="Urea"),VLOOKUP($A41,'Fert Comp'!$A$2:$F$319,2,0)/100*($I41*1000)*IF(ISBLANK($C41),1,$C41),0),0)</f>
        <v>0</v>
      </c>
      <c r="L41" s="27">
        <f>IFERROR(IF(OR(IFERROR(FIND(A41,"UAN",1),0)&gt;0,E41="UAN"),VLOOKUP($A41,'Fert Comp'!$A$2:$F$319,2,0)/100*($I41*1000)*IF(ISBLANK($C41),1,$C41),0),0)</f>
        <v>0</v>
      </c>
      <c r="M41" s="27">
        <f>IFERROR(VLOOKUP($A41,'Fert Comp'!$A$2:$F$319,3,0)/100*($I41*1000)*IF(ISBLANK($C41),1,$C41),0)</f>
        <v>0</v>
      </c>
      <c r="N41" s="27">
        <f>IFERROR(VLOOKUP($A41,'Fert Comp'!$A$2:$F$319,4,0)/100*($I41*1000)*IF(ISBLANK($C41),1,$C41),0)</f>
        <v>0</v>
      </c>
      <c r="O41" s="27">
        <f>IFERROR(VLOOKUP($A41,'Fert Comp'!$A$2:$F$319,5,0)/100*($I41*1000)*IF(ISBLANK($C41),1,$C41),0)</f>
        <v>0</v>
      </c>
      <c r="P41" s="27"/>
    </row>
    <row r="42" spans="9:16" x14ac:dyDescent="0.25">
      <c r="I42" s="27">
        <f t="shared" si="0"/>
        <v>0</v>
      </c>
      <c r="J42" s="27">
        <f>IFERROR(IF(AND(NOT(OR(IFERROR(FIND("Urea",A42,1),0)&gt;0,IFERROR(FIND("UAN",A42,1),0)&gt;0)),ISBLANK(E42)),VLOOKUP($A42,'Fert Comp'!$A$2:$F$319,2,0)/100*($I42*1000)*IF(ISBLANK($C42),1,$C42),0),0)</f>
        <v>0</v>
      </c>
      <c r="K42" s="27">
        <f>IFERROR(IF(OR(IFERROR(FIND(A42,"Urea",1),0)&gt;0,E42="Urea"),VLOOKUP($A42,'Fert Comp'!$A$2:$F$319,2,0)/100*($I42*1000)*IF(ISBLANK($C42),1,$C42),0),0)</f>
        <v>0</v>
      </c>
      <c r="L42" s="27">
        <f>IFERROR(IF(OR(IFERROR(FIND(A42,"UAN",1),0)&gt;0,E42="UAN"),VLOOKUP($A42,'Fert Comp'!$A$2:$F$319,2,0)/100*($I42*1000)*IF(ISBLANK($C42),1,$C42),0),0)</f>
        <v>0</v>
      </c>
      <c r="M42" s="27">
        <f>IFERROR(VLOOKUP($A42,'Fert Comp'!$A$2:$F$319,3,0)/100*($I42*1000)*IF(ISBLANK($C42),1,$C42),0)</f>
        <v>0</v>
      </c>
      <c r="N42" s="27">
        <f>IFERROR(VLOOKUP($A42,'Fert Comp'!$A$2:$F$319,4,0)/100*($I42*1000)*IF(ISBLANK($C42),1,$C42),0)</f>
        <v>0</v>
      </c>
      <c r="O42" s="27">
        <f>IFERROR(VLOOKUP($A42,'Fert Comp'!$A$2:$F$319,5,0)/100*($I42*1000)*IF(ISBLANK($C42),1,$C42),0)</f>
        <v>0</v>
      </c>
      <c r="P42" s="27"/>
    </row>
    <row r="43" spans="9:16" x14ac:dyDescent="0.25">
      <c r="I43" s="27">
        <f t="shared" si="0"/>
        <v>0</v>
      </c>
      <c r="J43" s="27">
        <f>IFERROR(IF(AND(NOT(OR(IFERROR(FIND("Urea",A43,1),0)&gt;0,IFERROR(FIND("UAN",A43,1),0)&gt;0)),ISBLANK(E43)),VLOOKUP($A43,'Fert Comp'!$A$2:$F$319,2,0)/100*($I43*1000)*IF(ISBLANK($C43),1,$C43),0),0)</f>
        <v>0</v>
      </c>
      <c r="K43" s="27">
        <f>IFERROR(IF(OR(IFERROR(FIND(A43,"Urea",1),0)&gt;0,E43="Urea"),VLOOKUP($A43,'Fert Comp'!$A$2:$F$319,2,0)/100*($I43*1000)*IF(ISBLANK($C43),1,$C43),0),0)</f>
        <v>0</v>
      </c>
      <c r="L43" s="27">
        <f>IFERROR(IF(OR(IFERROR(FIND(A43,"UAN",1),0)&gt;0,E43="UAN"),VLOOKUP($A43,'Fert Comp'!$A$2:$F$319,2,0)/100*($I43*1000)*IF(ISBLANK($C43),1,$C43),0),0)</f>
        <v>0</v>
      </c>
      <c r="M43" s="27">
        <f>IFERROR(VLOOKUP($A43,'Fert Comp'!$A$2:$F$319,3,0)/100*($I43*1000)*IF(ISBLANK($C43),1,$C43),0)</f>
        <v>0</v>
      </c>
      <c r="N43" s="27">
        <f>IFERROR(VLOOKUP($A43,'Fert Comp'!$A$2:$F$319,4,0)/100*($I43*1000)*IF(ISBLANK($C43),1,$C43),0)</f>
        <v>0</v>
      </c>
      <c r="O43" s="27">
        <f>IFERROR(VLOOKUP($A43,'Fert Comp'!$A$2:$F$319,5,0)/100*($I43*1000)*IF(ISBLANK($C43),1,$C43),0)</f>
        <v>0</v>
      </c>
      <c r="P43" s="27"/>
    </row>
    <row r="44" spans="9:16" x14ac:dyDescent="0.25">
      <c r="I44" s="27">
        <f t="shared" si="0"/>
        <v>0</v>
      </c>
      <c r="J44" s="27">
        <f>IFERROR(IF(AND(NOT(OR(IFERROR(FIND("Urea",A44,1),0)&gt;0,IFERROR(FIND("UAN",A44,1),0)&gt;0)),ISBLANK(E44)),VLOOKUP($A44,'Fert Comp'!$A$2:$F$319,2,0)/100*($I44*1000)*IF(ISBLANK($C44),1,$C44),0),0)</f>
        <v>0</v>
      </c>
      <c r="K44" s="27">
        <f>IFERROR(IF(OR(IFERROR(FIND(A44,"Urea",1),0)&gt;0,E44="Urea"),VLOOKUP($A44,'Fert Comp'!$A$2:$F$319,2,0)/100*($I44*1000)*IF(ISBLANK($C44),1,$C44),0),0)</f>
        <v>0</v>
      </c>
      <c r="L44" s="27">
        <f>IFERROR(IF(OR(IFERROR(FIND(A44,"UAN",1),0)&gt;0,E44="UAN"),VLOOKUP($A44,'Fert Comp'!$A$2:$F$319,2,0)/100*($I44*1000)*IF(ISBLANK($C44),1,$C44),0),0)</f>
        <v>0</v>
      </c>
      <c r="M44" s="27">
        <f>IFERROR(VLOOKUP($A44,'Fert Comp'!$A$2:$F$319,3,0)/100*($I44*1000)*IF(ISBLANK($C44),1,$C44),0)</f>
        <v>0</v>
      </c>
      <c r="N44" s="27">
        <f>IFERROR(VLOOKUP($A44,'Fert Comp'!$A$2:$F$319,4,0)/100*($I44*1000)*IF(ISBLANK($C44),1,$C44),0)</f>
        <v>0</v>
      </c>
      <c r="O44" s="27">
        <f>IFERROR(VLOOKUP($A44,'Fert Comp'!$A$2:$F$319,5,0)/100*($I44*1000)*IF(ISBLANK($C44),1,$C44),0)</f>
        <v>0</v>
      </c>
      <c r="P44" s="27"/>
    </row>
    <row r="45" spans="9:16" x14ac:dyDescent="0.25">
      <c r="I45" s="27">
        <f t="shared" si="0"/>
        <v>0</v>
      </c>
      <c r="J45" s="27">
        <f>IFERROR(IF(AND(NOT(OR(IFERROR(FIND("Urea",A45,1),0)&gt;0,IFERROR(FIND("UAN",A45,1),0)&gt;0)),ISBLANK(E45)),VLOOKUP($A45,'Fert Comp'!$A$2:$F$319,2,0)/100*($I45*1000)*IF(ISBLANK($C45),1,$C45),0),0)</f>
        <v>0</v>
      </c>
      <c r="K45" s="27">
        <f>IFERROR(IF(OR(IFERROR(FIND(A45,"Urea",1),0)&gt;0,E45="Urea"),VLOOKUP($A45,'Fert Comp'!$A$2:$F$319,2,0)/100*($I45*1000)*IF(ISBLANK($C45),1,$C45),0),0)</f>
        <v>0</v>
      </c>
      <c r="L45" s="27">
        <f>IFERROR(IF(OR(IFERROR(FIND(A45,"UAN",1),0)&gt;0,E45="UAN"),VLOOKUP($A45,'Fert Comp'!$A$2:$F$319,2,0)/100*($I45*1000)*IF(ISBLANK($C45),1,$C45),0),0)</f>
        <v>0</v>
      </c>
      <c r="M45" s="27">
        <f>IFERROR(VLOOKUP($A45,'Fert Comp'!$A$2:$F$319,3,0)/100*($I45*1000)*IF(ISBLANK($C45),1,$C45),0)</f>
        <v>0</v>
      </c>
      <c r="N45" s="27">
        <f>IFERROR(VLOOKUP($A45,'Fert Comp'!$A$2:$F$319,4,0)/100*($I45*1000)*IF(ISBLANK($C45),1,$C45),0)</f>
        <v>0</v>
      </c>
      <c r="O45" s="27">
        <f>IFERROR(VLOOKUP($A45,'Fert Comp'!$A$2:$F$319,5,0)/100*($I45*1000)*IF(ISBLANK($C45),1,$C45),0)</f>
        <v>0</v>
      </c>
      <c r="P45" s="27"/>
    </row>
    <row r="46" spans="9:16" x14ac:dyDescent="0.25">
      <c r="I46" s="27">
        <f t="shared" si="0"/>
        <v>0</v>
      </c>
      <c r="J46" s="27">
        <f>IFERROR(IF(AND(NOT(OR(IFERROR(FIND("Urea",A46,1),0)&gt;0,IFERROR(FIND("UAN",A46,1),0)&gt;0)),ISBLANK(E46)),VLOOKUP($A46,'Fert Comp'!$A$2:$F$319,2,0)/100*($I46*1000)*IF(ISBLANK($C46),1,$C46),0),0)</f>
        <v>0</v>
      </c>
      <c r="K46" s="27">
        <f>IFERROR(IF(OR(IFERROR(FIND(A46,"Urea",1),0)&gt;0,E46="Urea"),VLOOKUP($A46,'Fert Comp'!$A$2:$F$319,2,0)/100*($I46*1000)*IF(ISBLANK($C46),1,$C46),0),0)</f>
        <v>0</v>
      </c>
      <c r="L46" s="27">
        <f>IFERROR(IF(OR(IFERROR(FIND(A46,"UAN",1),0)&gt;0,E46="UAN"),VLOOKUP($A46,'Fert Comp'!$A$2:$F$319,2,0)/100*($I46*1000)*IF(ISBLANK($C46),1,$C46),0),0)</f>
        <v>0</v>
      </c>
      <c r="M46" s="27">
        <f>IFERROR(VLOOKUP($A46,'Fert Comp'!$A$2:$F$319,3,0)/100*($I46*1000)*IF(ISBLANK($C46),1,$C46),0)</f>
        <v>0</v>
      </c>
      <c r="N46" s="27">
        <f>IFERROR(VLOOKUP($A46,'Fert Comp'!$A$2:$F$319,4,0)/100*($I46*1000)*IF(ISBLANK($C46),1,$C46),0)</f>
        <v>0</v>
      </c>
      <c r="O46" s="27">
        <f>IFERROR(VLOOKUP($A46,'Fert Comp'!$A$2:$F$319,5,0)/100*($I46*1000)*IF(ISBLANK($C46),1,$C46),0)</f>
        <v>0</v>
      </c>
      <c r="P46" s="27"/>
    </row>
    <row r="47" spans="9:16" x14ac:dyDescent="0.25">
      <c r="I47" s="27">
        <f t="shared" si="0"/>
        <v>0</v>
      </c>
      <c r="J47" s="27">
        <f>IFERROR(IF(AND(NOT(OR(IFERROR(FIND("Urea",A47,1),0)&gt;0,IFERROR(FIND("UAN",A47,1),0)&gt;0)),ISBLANK(E47)),VLOOKUP($A47,'Fert Comp'!$A$2:$F$319,2,0)/100*($I47*1000)*IF(ISBLANK($C47),1,$C47),0),0)</f>
        <v>0</v>
      </c>
      <c r="K47" s="27">
        <f>IFERROR(IF(OR(IFERROR(FIND(A47,"Urea",1),0)&gt;0,E47="Urea"),VLOOKUP($A47,'Fert Comp'!$A$2:$F$319,2,0)/100*($I47*1000)*IF(ISBLANK($C47),1,$C47),0),0)</f>
        <v>0</v>
      </c>
      <c r="L47" s="27">
        <f>IFERROR(IF(OR(IFERROR(FIND(A47,"UAN",1),0)&gt;0,E47="UAN"),VLOOKUP($A47,'Fert Comp'!$A$2:$F$319,2,0)/100*($I47*1000)*IF(ISBLANK($C47),1,$C47),0),0)</f>
        <v>0</v>
      </c>
      <c r="M47" s="27">
        <f>IFERROR(VLOOKUP($A47,'Fert Comp'!$A$2:$F$319,3,0)/100*($I47*1000)*IF(ISBLANK($C47),1,$C47),0)</f>
        <v>0</v>
      </c>
      <c r="N47" s="27">
        <f>IFERROR(VLOOKUP($A47,'Fert Comp'!$A$2:$F$319,4,0)/100*($I47*1000)*IF(ISBLANK($C47),1,$C47),0)</f>
        <v>0</v>
      </c>
      <c r="O47" s="27">
        <f>IFERROR(VLOOKUP($A47,'Fert Comp'!$A$2:$F$319,5,0)/100*($I47*1000)*IF(ISBLANK($C47),1,$C47),0)</f>
        <v>0</v>
      </c>
      <c r="P47" s="27"/>
    </row>
    <row r="48" spans="9:16" x14ac:dyDescent="0.25">
      <c r="I48" s="27">
        <f t="shared" si="0"/>
        <v>0</v>
      </c>
      <c r="J48" s="27">
        <f>IFERROR(IF(AND(NOT(OR(IFERROR(FIND("Urea",A48,1),0)&gt;0,IFERROR(FIND("UAN",A48,1),0)&gt;0)),ISBLANK(E48)),VLOOKUP($A48,'Fert Comp'!$A$2:$F$319,2,0)/100*($I48*1000)*IF(ISBLANK($C48),1,$C48),0),0)</f>
        <v>0</v>
      </c>
      <c r="K48" s="27">
        <f>IFERROR(IF(OR(IFERROR(FIND(A48,"Urea",1),0)&gt;0,E48="Urea"),VLOOKUP($A48,'Fert Comp'!$A$2:$F$319,2,0)/100*($I48*1000)*IF(ISBLANK($C48),1,$C48),0),0)</f>
        <v>0</v>
      </c>
      <c r="L48" s="27">
        <f>IFERROR(IF(OR(IFERROR(FIND(A48,"UAN",1),0)&gt;0,E48="UAN"),VLOOKUP($A48,'Fert Comp'!$A$2:$F$319,2,0)/100*($I48*1000)*IF(ISBLANK($C48),1,$C48),0),0)</f>
        <v>0</v>
      </c>
      <c r="M48" s="27">
        <f>IFERROR(VLOOKUP($A48,'Fert Comp'!$A$2:$F$319,3,0)/100*($I48*1000)*IF(ISBLANK($C48),1,$C48),0)</f>
        <v>0</v>
      </c>
      <c r="N48" s="27">
        <f>IFERROR(VLOOKUP($A48,'Fert Comp'!$A$2:$F$319,4,0)/100*($I48*1000)*IF(ISBLANK($C48),1,$C48),0)</f>
        <v>0</v>
      </c>
      <c r="O48" s="27">
        <f>IFERROR(VLOOKUP($A48,'Fert Comp'!$A$2:$F$319,5,0)/100*($I48*1000)*IF(ISBLANK($C48),1,$C48),0)</f>
        <v>0</v>
      </c>
      <c r="P48" s="27"/>
    </row>
    <row r="49" spans="9:16" x14ac:dyDescent="0.25">
      <c r="I49" s="27">
        <f t="shared" si="0"/>
        <v>0</v>
      </c>
      <c r="J49" s="27">
        <f>IFERROR(IF(AND(NOT(OR(IFERROR(FIND("Urea",A49,1),0)&gt;0,IFERROR(FIND("UAN",A49,1),0)&gt;0)),ISBLANK(E49)),VLOOKUP($A49,'Fert Comp'!$A$2:$F$319,2,0)/100*($I49*1000)*IF(ISBLANK($C49),1,$C49),0),0)</f>
        <v>0</v>
      </c>
      <c r="K49" s="27">
        <f>IFERROR(IF(OR(IFERROR(FIND(A49,"Urea",1),0)&gt;0,E49="Urea"),VLOOKUP($A49,'Fert Comp'!$A$2:$F$319,2,0)/100*($I49*1000)*IF(ISBLANK($C49),1,$C49),0),0)</f>
        <v>0</v>
      </c>
      <c r="L49" s="27">
        <f>IFERROR(IF(OR(IFERROR(FIND(A49,"UAN",1),0)&gt;0,E49="UAN"),VLOOKUP($A49,'Fert Comp'!$A$2:$F$319,2,0)/100*($I49*1000)*IF(ISBLANK($C49),1,$C49),0),0)</f>
        <v>0</v>
      </c>
      <c r="M49" s="27">
        <f>IFERROR(VLOOKUP($A49,'Fert Comp'!$A$2:$F$319,3,0)/100*($I49*1000)*IF(ISBLANK($C49),1,$C49),0)</f>
        <v>0</v>
      </c>
      <c r="N49" s="27">
        <f>IFERROR(VLOOKUP($A49,'Fert Comp'!$A$2:$F$319,4,0)/100*($I49*1000)*IF(ISBLANK($C49),1,$C49),0)</f>
        <v>0</v>
      </c>
      <c r="O49" s="27">
        <f>IFERROR(VLOOKUP($A49,'Fert Comp'!$A$2:$F$319,5,0)/100*($I49*1000)*IF(ISBLANK($C49),1,$C49),0)</f>
        <v>0</v>
      </c>
      <c r="P49" s="27"/>
    </row>
    <row r="50" spans="9:16" x14ac:dyDescent="0.25">
      <c r="I50" s="27">
        <f t="shared" si="0"/>
        <v>0</v>
      </c>
      <c r="J50" s="27">
        <f>IFERROR(IF(AND(NOT(OR(IFERROR(FIND("Urea",A50,1),0)&gt;0,IFERROR(FIND("UAN",A50,1),0)&gt;0)),ISBLANK(E50)),VLOOKUP($A50,'Fert Comp'!$A$2:$F$319,2,0)/100*($I50*1000)*IF(ISBLANK($C50),1,$C50),0),0)</f>
        <v>0</v>
      </c>
      <c r="K50" s="27">
        <f>IFERROR(IF(OR(IFERROR(FIND(A50,"Urea",1),0)&gt;0,E50="Urea"),VLOOKUP($A50,'Fert Comp'!$A$2:$F$319,2,0)/100*($I50*1000)*IF(ISBLANK($C50),1,$C50),0),0)</f>
        <v>0</v>
      </c>
      <c r="L50" s="27">
        <f>IFERROR(IF(OR(IFERROR(FIND(A50,"UAN",1),0)&gt;0,E50="UAN"),VLOOKUP($A50,'Fert Comp'!$A$2:$F$319,2,0)/100*($I50*1000)*IF(ISBLANK($C50),1,$C50),0),0)</f>
        <v>0</v>
      </c>
      <c r="M50" s="27">
        <f>IFERROR(VLOOKUP($A50,'Fert Comp'!$A$2:$F$319,3,0)/100*($I50*1000)*IF(ISBLANK($C50),1,$C50),0)</f>
        <v>0</v>
      </c>
      <c r="N50" s="27">
        <f>IFERROR(VLOOKUP($A50,'Fert Comp'!$A$2:$F$319,4,0)/100*($I50*1000)*IF(ISBLANK($C50),1,$C50),0)</f>
        <v>0</v>
      </c>
      <c r="O50" s="27">
        <f>IFERROR(VLOOKUP($A50,'Fert Comp'!$A$2:$F$319,5,0)/100*($I50*1000)*IF(ISBLANK($C50),1,$C50),0)</f>
        <v>0</v>
      </c>
      <c r="P50" s="27"/>
    </row>
    <row r="51" spans="9:16" x14ac:dyDescent="0.25">
      <c r="I51" s="27">
        <f t="shared" si="0"/>
        <v>0</v>
      </c>
      <c r="J51" s="27">
        <f>IFERROR(IF(AND(NOT(OR(IFERROR(FIND("Urea",A51,1),0)&gt;0,IFERROR(FIND("UAN",A51,1),0)&gt;0)),ISBLANK(E51)),VLOOKUP($A51,'Fert Comp'!$A$2:$F$319,2,0)/100*($I51*1000)*IF(ISBLANK($C51),1,$C51),0),0)</f>
        <v>0</v>
      </c>
      <c r="K51" s="27">
        <f>IFERROR(IF(OR(IFERROR(FIND(A51,"Urea",1),0)&gt;0,E51="Urea"),VLOOKUP($A51,'Fert Comp'!$A$2:$F$319,2,0)/100*($I51*1000)*IF(ISBLANK($C51),1,$C51),0),0)</f>
        <v>0</v>
      </c>
      <c r="L51" s="27">
        <f>IFERROR(IF(OR(IFERROR(FIND(A51,"UAN",1),0)&gt;0,E51="UAN"),VLOOKUP($A51,'Fert Comp'!$A$2:$F$319,2,0)/100*($I51*1000)*IF(ISBLANK($C51),1,$C51),0),0)</f>
        <v>0</v>
      </c>
      <c r="M51" s="27">
        <f>IFERROR(VLOOKUP($A51,'Fert Comp'!$A$2:$F$319,3,0)/100*($I51*1000)*IF(ISBLANK($C51),1,$C51),0)</f>
        <v>0</v>
      </c>
      <c r="N51" s="27">
        <f>IFERROR(VLOOKUP($A51,'Fert Comp'!$A$2:$F$319,4,0)/100*($I51*1000)*IF(ISBLANK($C51),1,$C51),0)</f>
        <v>0</v>
      </c>
      <c r="O51" s="27">
        <f>IFERROR(VLOOKUP($A51,'Fert Comp'!$A$2:$F$319,5,0)/100*($I51*1000)*IF(ISBLANK($C51),1,$C51),0)</f>
        <v>0</v>
      </c>
      <c r="P51" s="27"/>
    </row>
    <row r="52" spans="9:16" x14ac:dyDescent="0.25">
      <c r="I52" s="27">
        <f t="shared" si="0"/>
        <v>0</v>
      </c>
      <c r="J52" s="27">
        <f>IFERROR(IF(AND(NOT(OR(IFERROR(FIND("Urea",A52,1),0)&gt;0,IFERROR(FIND("UAN",A52,1),0)&gt;0)),ISBLANK(E52)),VLOOKUP($A52,'Fert Comp'!$A$2:$F$319,2,0)/100*($I52*1000)*IF(ISBLANK($C52),1,$C52),0),0)</f>
        <v>0</v>
      </c>
      <c r="K52" s="27">
        <f>IFERROR(IF(OR(IFERROR(FIND(A52,"Urea",1),0)&gt;0,E52="Urea"),VLOOKUP($A52,'Fert Comp'!$A$2:$F$319,2,0)/100*($I52*1000)*IF(ISBLANK($C52),1,$C52),0),0)</f>
        <v>0</v>
      </c>
      <c r="L52" s="27">
        <f>IFERROR(IF(OR(IFERROR(FIND(A52,"UAN",1),0)&gt;0,E52="UAN"),VLOOKUP($A52,'Fert Comp'!$A$2:$F$319,2,0)/100*($I52*1000)*IF(ISBLANK($C52),1,$C52),0),0)</f>
        <v>0</v>
      </c>
      <c r="M52" s="27">
        <f>IFERROR(VLOOKUP($A52,'Fert Comp'!$A$2:$F$319,3,0)/100*($I52*1000)*IF(ISBLANK($C52),1,$C52),0)</f>
        <v>0</v>
      </c>
      <c r="N52" s="27">
        <f>IFERROR(VLOOKUP($A52,'Fert Comp'!$A$2:$F$319,4,0)/100*($I52*1000)*IF(ISBLANK($C52),1,$C52),0)</f>
        <v>0</v>
      </c>
      <c r="O52" s="27">
        <f>IFERROR(VLOOKUP($A52,'Fert Comp'!$A$2:$F$319,5,0)/100*($I52*1000)*IF(ISBLANK($C52),1,$C52),0)</f>
        <v>0</v>
      </c>
      <c r="P52" s="27"/>
    </row>
    <row r="53" spans="9:16" x14ac:dyDescent="0.25">
      <c r="I53" s="27">
        <f t="shared" si="0"/>
        <v>0</v>
      </c>
      <c r="J53" s="27">
        <f>IFERROR(IF(AND(NOT(OR(IFERROR(FIND("Urea",A53,1),0)&gt;0,IFERROR(FIND("UAN",A53,1),0)&gt;0)),ISBLANK(E53)),VLOOKUP($A53,'Fert Comp'!$A$2:$F$319,2,0)/100*($I53*1000)*IF(ISBLANK($C53),1,$C53),0),0)</f>
        <v>0</v>
      </c>
      <c r="K53" s="27">
        <f>IFERROR(IF(OR(IFERROR(FIND(A53,"Urea",1),0)&gt;0,E53="Urea"),VLOOKUP($A53,'Fert Comp'!$A$2:$F$319,2,0)/100*($I53*1000)*IF(ISBLANK($C53),1,$C53),0),0)</f>
        <v>0</v>
      </c>
      <c r="L53" s="27">
        <f>IFERROR(IF(OR(IFERROR(FIND(A53,"UAN",1),0)&gt;0,E53="UAN"),VLOOKUP($A53,'Fert Comp'!$A$2:$F$319,2,0)/100*($I53*1000)*IF(ISBLANK($C53),1,$C53),0),0)</f>
        <v>0</v>
      </c>
      <c r="M53" s="27">
        <f>IFERROR(VLOOKUP($A53,'Fert Comp'!$A$2:$F$319,3,0)/100*($I53*1000)*IF(ISBLANK($C53),1,$C53),0)</f>
        <v>0</v>
      </c>
      <c r="N53" s="27">
        <f>IFERROR(VLOOKUP($A53,'Fert Comp'!$A$2:$F$319,4,0)/100*($I53*1000)*IF(ISBLANK($C53),1,$C53),0)</f>
        <v>0</v>
      </c>
      <c r="O53" s="27">
        <f>IFERROR(VLOOKUP($A53,'Fert Comp'!$A$2:$F$319,5,0)/100*($I53*1000)*IF(ISBLANK($C53),1,$C53),0)</f>
        <v>0</v>
      </c>
      <c r="P53" s="27"/>
    </row>
    <row r="54" spans="9:16" x14ac:dyDescent="0.25">
      <c r="I54" s="27">
        <f t="shared" si="0"/>
        <v>0</v>
      </c>
      <c r="J54" s="27">
        <f>IFERROR(IF(AND(NOT(OR(IFERROR(FIND("Urea",A54,1),0)&gt;0,IFERROR(FIND("UAN",A54,1),0)&gt;0)),ISBLANK(E54)),VLOOKUP($A54,'Fert Comp'!$A$2:$F$319,2,0)/100*($I54*1000)*IF(ISBLANK($C54),1,$C54),0),0)</f>
        <v>0</v>
      </c>
      <c r="K54" s="27">
        <f>IFERROR(IF(OR(IFERROR(FIND(A54,"Urea",1),0)&gt;0,E54="Urea"),VLOOKUP($A54,'Fert Comp'!$A$2:$F$319,2,0)/100*($I54*1000)*IF(ISBLANK($C54),1,$C54),0),0)</f>
        <v>0</v>
      </c>
      <c r="L54" s="27">
        <f>IFERROR(IF(OR(IFERROR(FIND(A54,"UAN",1),0)&gt;0,E54="UAN"),VLOOKUP($A54,'Fert Comp'!$A$2:$F$319,2,0)/100*($I54*1000)*IF(ISBLANK($C54),1,$C54),0),0)</f>
        <v>0</v>
      </c>
      <c r="M54" s="27">
        <f>IFERROR(VLOOKUP($A54,'Fert Comp'!$A$2:$F$319,3,0)/100*($I54*1000)*IF(ISBLANK($C54),1,$C54),0)</f>
        <v>0</v>
      </c>
      <c r="N54" s="27">
        <f>IFERROR(VLOOKUP($A54,'Fert Comp'!$A$2:$F$319,4,0)/100*($I54*1000)*IF(ISBLANK($C54),1,$C54),0)</f>
        <v>0</v>
      </c>
      <c r="O54" s="27">
        <f>IFERROR(VLOOKUP($A54,'Fert Comp'!$A$2:$F$319,5,0)/100*($I54*1000)*IF(ISBLANK($C54),1,$C54),0)</f>
        <v>0</v>
      </c>
    </row>
  </sheetData>
  <autoFilter ref="A1:O1" xr:uid="{DF32D6A7-1D21-4D48-9093-EED289D5958C}"/>
  <conditionalFormatting sqref="A2:B54">
    <cfRule type="expression" dxfId="10" priority="3">
      <formula>AND(A2&lt;&gt;"",J2=0,K2=0,L2=0,M2=0,N2=0,O2=0)</formula>
    </cfRule>
  </conditionalFormatting>
  <conditionalFormatting sqref="D2">
    <cfRule type="expression" dxfId="9" priority="1">
      <formula>AND(A2&lt;&gt;"",D2="")</formula>
    </cfRule>
  </conditionalFormatting>
  <dataValidations count="3">
    <dataValidation type="list" allowBlank="1" showInputMessage="1" showErrorMessage="1" sqref="E3:E54" xr:uid="{250DD48F-D808-40D4-97CD-7643AF5F696B}">
      <formula1>"UAN, Urea, No"</formula1>
    </dataValidation>
    <dataValidation type="list" allowBlank="1" showInputMessage="1" showErrorMessage="1" sqref="E2" xr:uid="{927AB629-7A11-4EAF-9F32-009772B65926}">
      <formula1>"UAN, Urea, "</formula1>
    </dataValidation>
    <dataValidation type="decimal" operator="lessThanOrEqual" allowBlank="1" showInputMessage="1" showErrorMessage="1" error="Number only mate" sqref="F2:H54" xr:uid="{DE543CCC-F293-4CFC-B2C0-F001A2EC252D}">
      <formula1>9.99999999999999E+38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6EB4F0-5E38-4476-9D82-471AC761B4D7}">
          <x14:formula1>
            <xm:f>'Farm Data - Grains'!$B$1:$M$1</xm:f>
          </x14:formula1>
          <xm:sqref>D2:D54</xm:sqref>
        </x14:dataValidation>
        <x14:dataValidation type="list" allowBlank="1" showInputMessage="1" showErrorMessage="1" xr:uid="{8167AEC8-4821-437C-B322-D40086C851FB}">
          <x14:formula1>
            <xm:f>'Fert Comp'!$A:$A</xm:f>
          </x14:formula1>
          <xm:sqref>A2:A54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85AB-DB8D-4DDA-879D-7A2A3EFF8914}">
  <dimension ref="A1:V326"/>
  <sheetViews>
    <sheetView showZeros="0" tabSelected="1" workbookViewId="0">
      <selection activeCell="P12" sqref="P12"/>
    </sheetView>
  </sheetViews>
  <sheetFormatPr defaultRowHeight="15" x14ac:dyDescent="0.25"/>
  <cols>
    <col min="1" max="1" width="23.7109375" bestFit="1" customWidth="1"/>
    <col min="2" max="2" width="23.7109375" customWidth="1"/>
    <col min="3" max="3" width="11.85546875" customWidth="1"/>
    <col min="4" max="4" width="10.5703125" bestFit="1" customWidth="1"/>
    <col min="5" max="5" width="19" bestFit="1" customWidth="1"/>
    <col min="6" max="6" width="4" bestFit="1" customWidth="1"/>
    <col min="7" max="7" width="9.5703125" bestFit="1" customWidth="1"/>
    <col min="8" max="8" width="14.140625" bestFit="1" customWidth="1"/>
    <col min="9" max="9" width="18" bestFit="1" customWidth="1"/>
    <col min="10" max="10" width="3.7109375" bestFit="1" customWidth="1"/>
    <col min="11" max="11" width="5" bestFit="1" customWidth="1"/>
    <col min="12" max="12" width="6.7109375" bestFit="1" customWidth="1"/>
    <col min="13" max="13" width="18" bestFit="1" customWidth="1"/>
    <col min="14" max="14" width="3.7109375" bestFit="1" customWidth="1"/>
    <col min="15" max="15" width="5" customWidth="1"/>
    <col min="16" max="16" width="14.7109375" bestFit="1" customWidth="1"/>
    <col min="17" max="17" width="18.7109375" bestFit="1" customWidth="1"/>
    <col min="18" max="19" width="18.7109375" customWidth="1"/>
    <col min="20" max="22" width="7.7109375" bestFit="1" customWidth="1"/>
  </cols>
  <sheetData>
    <row r="1" spans="1:22" x14ac:dyDescent="0.25">
      <c r="A1" t="s">
        <v>245</v>
      </c>
      <c r="B1" t="s">
        <v>497</v>
      </c>
      <c r="C1" t="s">
        <v>271</v>
      </c>
      <c r="D1" t="s">
        <v>252</v>
      </c>
      <c r="E1" t="s">
        <v>248</v>
      </c>
      <c r="F1" t="s">
        <v>250</v>
      </c>
      <c r="G1" t="s">
        <v>251</v>
      </c>
      <c r="H1" t="s">
        <v>253</v>
      </c>
      <c r="I1" t="s">
        <v>249</v>
      </c>
      <c r="J1" t="s">
        <v>250</v>
      </c>
      <c r="K1" t="s">
        <v>251</v>
      </c>
      <c r="L1" t="s">
        <v>266</v>
      </c>
      <c r="M1" t="s">
        <v>267</v>
      </c>
      <c r="N1" t="s">
        <v>250</v>
      </c>
      <c r="O1" t="s">
        <v>251</v>
      </c>
      <c r="P1" t="s">
        <v>129</v>
      </c>
      <c r="Q1" t="s">
        <v>254</v>
      </c>
      <c r="R1" t="s">
        <v>257</v>
      </c>
      <c r="S1" t="s">
        <v>911</v>
      </c>
      <c r="T1" t="s">
        <v>255</v>
      </c>
      <c r="U1" t="s">
        <v>256</v>
      </c>
      <c r="V1" t="s">
        <v>268</v>
      </c>
    </row>
    <row r="2" spans="1:22" x14ac:dyDescent="0.25">
      <c r="C2" t="str">
        <f>IFERROR(VLOOKUP(A2,'Chemical compounds'!$A$1:$N$33,14,0),"")</f>
        <v/>
      </c>
      <c r="D2" t="str" cm="1">
        <f t="array" ref="D2">IFERROR(VLOOKUP(A2,'Chemical compounds'!$A$1:$O$294,{2,3,4,5,6,7,8,9,10,11,12,13},0),"")</f>
        <v/>
      </c>
    </row>
    <row r="3" spans="1:22" x14ac:dyDescent="0.25">
      <c r="C3" t="str">
        <f>IFERROR(VLOOKUP(A3,'Chemical compounds'!$A$1:$N$33,14,0),"")</f>
        <v/>
      </c>
      <c r="D3" t="str" cm="1">
        <f t="array" ref="D3">IFERROR(VLOOKUP(A3,'Chemical compounds'!$A$1:$O$294,{2,3,4,5,6,7,8,9,10,11,12,13},0),"")</f>
        <v/>
      </c>
      <c r="T3">
        <f t="shared" ref="T3:T66" si="0">IF(G3=0,F3*Q3*R3,G3*Q3*R3)/1000</f>
        <v>0</v>
      </c>
      <c r="U3">
        <f t="shared" ref="U3:U66" si="1">IF(K3=0,J3*Q3*R3,K3*Q3*R3)/1000</f>
        <v>0</v>
      </c>
      <c r="V3">
        <f t="shared" ref="V3:V52" si="2">IF(O3=0,N3*Q3*R3,O3*Q3*R3)/1000</f>
        <v>0</v>
      </c>
    </row>
    <row r="4" spans="1:22" x14ac:dyDescent="0.25">
      <c r="C4" t="str">
        <f>IFERROR(VLOOKUP(A4,'Chemical compounds'!$A$1:$N$33,14,0),"")</f>
        <v/>
      </c>
      <c r="D4" t="str" cm="1">
        <f t="array" ref="D4">IFERROR(VLOOKUP(A4,'Chemical compounds'!$A$1:$O$294,{2,3,4,5,6,7,8,9,10,11,12,13},0),"")</f>
        <v/>
      </c>
      <c r="T4">
        <f t="shared" si="0"/>
        <v>0</v>
      </c>
      <c r="U4">
        <f t="shared" si="1"/>
        <v>0</v>
      </c>
      <c r="V4">
        <f t="shared" si="2"/>
        <v>0</v>
      </c>
    </row>
    <row r="5" spans="1:22" x14ac:dyDescent="0.25">
      <c r="C5" t="str">
        <f>IFERROR(VLOOKUP(A5,'Chemical compounds'!$A$1:$N$33,14,0),"")</f>
        <v/>
      </c>
      <c r="D5" t="str" cm="1">
        <f t="array" ref="D5">IFERROR(VLOOKUP(A5,'Chemical compounds'!$A$1:$O$294,{2,3,4,5,6,7,8,9,10,11,12,13},0),"")</f>
        <v/>
      </c>
      <c r="T5">
        <f t="shared" si="0"/>
        <v>0</v>
      </c>
      <c r="U5">
        <f t="shared" si="1"/>
        <v>0</v>
      </c>
      <c r="V5">
        <f t="shared" si="2"/>
        <v>0</v>
      </c>
    </row>
    <row r="6" spans="1:22" x14ac:dyDescent="0.25">
      <c r="C6" t="str">
        <f>IFERROR(VLOOKUP(A6,'Chemical compounds'!$A$1:$N$33,14,0),"")</f>
        <v/>
      </c>
      <c r="D6" t="str" cm="1">
        <f t="array" ref="D6">IFERROR(VLOOKUP(A6,'Chemical compounds'!$A$1:$O$294,{2,3,4,5,6,7,8,9,10,11,12,13},0),"")</f>
        <v/>
      </c>
      <c r="T6">
        <f t="shared" si="0"/>
        <v>0</v>
      </c>
      <c r="U6">
        <f t="shared" si="1"/>
        <v>0</v>
      </c>
      <c r="V6">
        <f t="shared" si="2"/>
        <v>0</v>
      </c>
    </row>
    <row r="7" spans="1:22" x14ac:dyDescent="0.25">
      <c r="C7" t="str">
        <f>IFERROR(VLOOKUP(A7,'Chemical compounds'!$A$1:$N$33,14,0),"")</f>
        <v/>
      </c>
      <c r="D7" t="str" cm="1">
        <f t="array" ref="D7">IFERROR(VLOOKUP(A7,'Chemical compounds'!$A$1:$O$294,{2,3,4,5,6,7,8,9,10,11,12,13},0),"")</f>
        <v/>
      </c>
      <c r="T7">
        <f t="shared" si="0"/>
        <v>0</v>
      </c>
      <c r="U7">
        <f t="shared" si="1"/>
        <v>0</v>
      </c>
      <c r="V7">
        <f t="shared" si="2"/>
        <v>0</v>
      </c>
    </row>
    <row r="8" spans="1:22" x14ac:dyDescent="0.25">
      <c r="C8" t="str">
        <f>IFERROR(VLOOKUP(A8,'Chemical compounds'!$A$1:$N$33,14,0),"")</f>
        <v/>
      </c>
      <c r="D8" t="str" cm="1">
        <f t="array" ref="D8">IFERROR(VLOOKUP(A8,'Chemical compounds'!$A$1:$O$294,{2,3,4,5,6,7,8,9,10,11,12,13},0),"")</f>
        <v/>
      </c>
      <c r="T8">
        <f t="shared" si="0"/>
        <v>0</v>
      </c>
      <c r="U8">
        <f t="shared" si="1"/>
        <v>0</v>
      </c>
      <c r="V8">
        <f t="shared" si="2"/>
        <v>0</v>
      </c>
    </row>
    <row r="9" spans="1:22" x14ac:dyDescent="0.25">
      <c r="C9" t="str">
        <f>IFERROR(VLOOKUP(A9,'Chemical compounds'!$A$1:$N$33,14,0),"")</f>
        <v/>
      </c>
      <c r="D9" t="str" cm="1">
        <f t="array" ref="D9">IFERROR(VLOOKUP(A9,'Chemical compounds'!$A$1:$O$294,{2,3,4,5,6,7,8,9,10,11,12,13},0),"")</f>
        <v/>
      </c>
      <c r="T9">
        <f t="shared" si="0"/>
        <v>0</v>
      </c>
      <c r="U9">
        <f t="shared" si="1"/>
        <v>0</v>
      </c>
      <c r="V9">
        <f t="shared" si="2"/>
        <v>0</v>
      </c>
    </row>
    <row r="10" spans="1:22" x14ac:dyDescent="0.25">
      <c r="C10" t="str">
        <f>IFERROR(VLOOKUP(A10,'Chemical compounds'!$A$1:$N$33,14,0),"")</f>
        <v/>
      </c>
      <c r="D10" t="str" cm="1">
        <f t="array" ref="D10">IFERROR(VLOOKUP(A10,'Chemical compounds'!$A$1:$O$294,{2,3,4,5,6,7,8,9,10,11,12,13},0),"")</f>
        <v/>
      </c>
      <c r="T10">
        <f t="shared" si="0"/>
        <v>0</v>
      </c>
      <c r="U10">
        <f t="shared" si="1"/>
        <v>0</v>
      </c>
      <c r="V10">
        <f t="shared" si="2"/>
        <v>0</v>
      </c>
    </row>
    <row r="11" spans="1:22" x14ac:dyDescent="0.25">
      <c r="C11" t="str">
        <f>IFERROR(VLOOKUP(A11,'Chemical compounds'!$A$1:$N$33,14,0),"")</f>
        <v/>
      </c>
      <c r="D11" t="str" cm="1">
        <f t="array" ref="D11">IFERROR(VLOOKUP(A11,'Chemical compounds'!$A$1:$O$294,{2,3,4,5,6,7,8,9,10,11,12,13},0),"")</f>
        <v/>
      </c>
      <c r="T11">
        <f t="shared" si="0"/>
        <v>0</v>
      </c>
      <c r="U11">
        <f t="shared" si="1"/>
        <v>0</v>
      </c>
      <c r="V11">
        <f t="shared" si="2"/>
        <v>0</v>
      </c>
    </row>
    <row r="12" spans="1:22" x14ac:dyDescent="0.25">
      <c r="C12" t="str">
        <f>IFERROR(VLOOKUP(A12,'Chemical compounds'!$A$1:$N$33,14,0),"")</f>
        <v/>
      </c>
      <c r="D12" t="str" cm="1">
        <f t="array" ref="D12">IFERROR(VLOOKUP(A12,'Chemical compounds'!$A$1:$O$294,{2,3,4,5,6,7,8,9,10,11,12,13},0),"")</f>
        <v/>
      </c>
      <c r="T12">
        <f t="shared" si="0"/>
        <v>0</v>
      </c>
      <c r="U12">
        <f t="shared" si="1"/>
        <v>0</v>
      </c>
      <c r="V12">
        <f t="shared" si="2"/>
        <v>0</v>
      </c>
    </row>
    <row r="13" spans="1:22" x14ac:dyDescent="0.25">
      <c r="C13" t="str">
        <f>IFERROR(VLOOKUP(A13,'Chemical compounds'!$A$1:$N$33,14,0),"")</f>
        <v/>
      </c>
      <c r="D13" t="str" cm="1">
        <f t="array" ref="D13">IFERROR(VLOOKUP(A13,'Chemical compounds'!$A$1:$O$294,{2,3,4,5,6,7,8,9,10,11,12,13},0),"")</f>
        <v/>
      </c>
      <c r="T13">
        <f t="shared" si="0"/>
        <v>0</v>
      </c>
      <c r="U13">
        <f t="shared" si="1"/>
        <v>0</v>
      </c>
      <c r="V13">
        <f t="shared" si="2"/>
        <v>0</v>
      </c>
    </row>
    <row r="14" spans="1:22" x14ac:dyDescent="0.25">
      <c r="C14" t="str">
        <f>IFERROR(VLOOKUP(A14,'Chemical compounds'!$A$1:$N$33,14,0),"")</f>
        <v/>
      </c>
      <c r="D14" t="str" cm="1">
        <f t="array" ref="D14">IFERROR(VLOOKUP(A14,'Chemical compounds'!$A$1:$O$294,{2,3,4,5,6,7,8,9,10,11,12,13},0),"")</f>
        <v/>
      </c>
      <c r="T14">
        <f t="shared" si="0"/>
        <v>0</v>
      </c>
      <c r="U14">
        <f t="shared" si="1"/>
        <v>0</v>
      </c>
      <c r="V14">
        <f t="shared" si="2"/>
        <v>0</v>
      </c>
    </row>
    <row r="15" spans="1:22" x14ac:dyDescent="0.25">
      <c r="C15" t="str">
        <f>IFERROR(VLOOKUP(A15,'Chemical compounds'!$A$1:$N$33,14,0),"")</f>
        <v/>
      </c>
      <c r="D15" t="str" cm="1">
        <f t="array" ref="D15">IFERROR(VLOOKUP(A15,'Chemical compounds'!$A$1:$O$294,{2,3,4,5,6,7,8,9,10,11,12,13},0),"")</f>
        <v/>
      </c>
      <c r="T15">
        <f t="shared" si="0"/>
        <v>0</v>
      </c>
      <c r="U15">
        <f t="shared" si="1"/>
        <v>0</v>
      </c>
      <c r="V15">
        <f t="shared" si="2"/>
        <v>0</v>
      </c>
    </row>
    <row r="16" spans="1:22" x14ac:dyDescent="0.25">
      <c r="C16" t="str">
        <f>IFERROR(VLOOKUP(A16,'Chemical compounds'!$A$1:$N$33,14,0),"")</f>
        <v/>
      </c>
      <c r="D16" t="str" cm="1">
        <f t="array" ref="D16">IFERROR(VLOOKUP(A16,'Chemical compounds'!$A$1:$O$294,{2,3,4,5,6,7,8,9,10,11,12,13},0),"")</f>
        <v/>
      </c>
      <c r="T16">
        <f t="shared" si="0"/>
        <v>0</v>
      </c>
      <c r="U16">
        <f t="shared" si="1"/>
        <v>0</v>
      </c>
      <c r="V16">
        <f t="shared" si="2"/>
        <v>0</v>
      </c>
    </row>
    <row r="17" spans="3:22" x14ac:dyDescent="0.25">
      <c r="C17" t="str">
        <f>IFERROR(VLOOKUP(A17,'Chemical compounds'!$A$1:$N$33,14,0),"")</f>
        <v/>
      </c>
      <c r="D17" t="str" cm="1">
        <f t="array" ref="D17">IFERROR(VLOOKUP(A17,'Chemical compounds'!$A$1:$O$294,{2,3,4,5,6,7,8,9,10,11,12,13},0),"")</f>
        <v/>
      </c>
      <c r="T17">
        <f t="shared" si="0"/>
        <v>0</v>
      </c>
      <c r="U17">
        <f t="shared" si="1"/>
        <v>0</v>
      </c>
      <c r="V17">
        <f t="shared" si="2"/>
        <v>0</v>
      </c>
    </row>
    <row r="18" spans="3:22" x14ac:dyDescent="0.25">
      <c r="C18" t="str">
        <f>IFERROR(VLOOKUP(A18,'Chemical compounds'!$A$1:$N$33,14,0),"")</f>
        <v/>
      </c>
      <c r="D18" t="str" cm="1">
        <f t="array" ref="D18">IFERROR(VLOOKUP(A18,'Chemical compounds'!$A$1:$O$294,{2,3,4,5,6,7,8,9,10,11,12,13},0),"")</f>
        <v/>
      </c>
      <c r="T18">
        <f t="shared" si="0"/>
        <v>0</v>
      </c>
      <c r="U18">
        <f t="shared" si="1"/>
        <v>0</v>
      </c>
      <c r="V18">
        <f t="shared" si="2"/>
        <v>0</v>
      </c>
    </row>
    <row r="19" spans="3:22" x14ac:dyDescent="0.25">
      <c r="C19" t="str">
        <f>IFERROR(VLOOKUP(A19,'Chemical compounds'!$A$1:$N$33,14,0),"")</f>
        <v/>
      </c>
      <c r="D19" t="str" cm="1">
        <f t="array" ref="D19">IFERROR(VLOOKUP(A19,'Chemical compounds'!$A$1:$O$294,{2,3,4,5,6,7,8,9,10,11,12,13},0),"")</f>
        <v/>
      </c>
      <c r="T19">
        <f t="shared" si="0"/>
        <v>0</v>
      </c>
      <c r="U19">
        <f t="shared" si="1"/>
        <v>0</v>
      </c>
      <c r="V19">
        <f t="shared" si="2"/>
        <v>0</v>
      </c>
    </row>
    <row r="20" spans="3:22" x14ac:dyDescent="0.25">
      <c r="C20" t="str">
        <f>IFERROR(VLOOKUP(A20,'Chemical compounds'!$A$1:$N$33,14,0),"")</f>
        <v/>
      </c>
      <c r="D20" t="str" cm="1">
        <f t="array" ref="D20">IFERROR(VLOOKUP(A20,'Chemical compounds'!$A$1:$O$294,{2,3,4,5,6,7,8,9,10,11,12,13},0),"")</f>
        <v/>
      </c>
      <c r="T20">
        <f t="shared" si="0"/>
        <v>0</v>
      </c>
      <c r="U20">
        <f t="shared" si="1"/>
        <v>0</v>
      </c>
      <c r="V20">
        <f t="shared" si="2"/>
        <v>0</v>
      </c>
    </row>
    <row r="21" spans="3:22" x14ac:dyDescent="0.25">
      <c r="C21" t="str">
        <f>IFERROR(VLOOKUP(A21,'Chemical compounds'!$A$1:$N$33,14,0),"")</f>
        <v/>
      </c>
      <c r="D21" t="str" cm="1">
        <f t="array" ref="D21">IFERROR(VLOOKUP(A21,'Chemical compounds'!$A$1:$O$294,{2,3,4,5,6,7,8,9,10,11,12,13},0),"")</f>
        <v/>
      </c>
      <c r="T21">
        <f t="shared" si="0"/>
        <v>0</v>
      </c>
      <c r="U21">
        <f t="shared" si="1"/>
        <v>0</v>
      </c>
      <c r="V21">
        <f t="shared" si="2"/>
        <v>0</v>
      </c>
    </row>
    <row r="22" spans="3:22" x14ac:dyDescent="0.25">
      <c r="C22" t="str">
        <f>IFERROR(VLOOKUP(A22,'Chemical compounds'!$A$1:$N$33,14,0),"")</f>
        <v/>
      </c>
      <c r="D22" t="str" cm="1">
        <f t="array" ref="D22">IFERROR(VLOOKUP(A22,'Chemical compounds'!$A$1:$O$294,{2,3,4,5,6,7,8,9,10,11,12,13},0),"")</f>
        <v/>
      </c>
      <c r="T22">
        <f t="shared" si="0"/>
        <v>0</v>
      </c>
      <c r="U22">
        <f t="shared" si="1"/>
        <v>0</v>
      </c>
      <c r="V22">
        <f t="shared" si="2"/>
        <v>0</v>
      </c>
    </row>
    <row r="23" spans="3:22" x14ac:dyDescent="0.25">
      <c r="C23" t="str">
        <f>IFERROR(VLOOKUP(A23,'Chemical compounds'!$A$1:$N$33,14,0),"")</f>
        <v/>
      </c>
      <c r="D23" t="str" cm="1">
        <f t="array" ref="D23">IFERROR(VLOOKUP(A23,'Chemical compounds'!$A$1:$O$294,{2,3,4,5,6,7,8,9,10,11,12,13},0),"")</f>
        <v/>
      </c>
      <c r="T23">
        <f t="shared" si="0"/>
        <v>0</v>
      </c>
      <c r="U23">
        <f t="shared" si="1"/>
        <v>0</v>
      </c>
      <c r="V23">
        <f t="shared" si="2"/>
        <v>0</v>
      </c>
    </row>
    <row r="24" spans="3:22" x14ac:dyDescent="0.25">
      <c r="C24" t="str">
        <f>IFERROR(VLOOKUP(A24,'Chemical compounds'!$A$1:$N$33,14,0),"")</f>
        <v/>
      </c>
      <c r="D24" t="str" cm="1">
        <f t="array" ref="D24">IFERROR(VLOOKUP(A24,'Chemical compounds'!$A$1:$O$294,{2,3,4,5,6,7,8,9,10,11,12,13},0),"")</f>
        <v/>
      </c>
      <c r="T24">
        <f t="shared" si="0"/>
        <v>0</v>
      </c>
      <c r="U24">
        <f t="shared" si="1"/>
        <v>0</v>
      </c>
      <c r="V24">
        <f t="shared" si="2"/>
        <v>0</v>
      </c>
    </row>
    <row r="25" spans="3:22" x14ac:dyDescent="0.25">
      <c r="C25" t="str">
        <f>IFERROR(VLOOKUP(A25,'Chemical compounds'!$A$1:$N$33,14,0),"")</f>
        <v/>
      </c>
      <c r="D25" t="str" cm="1">
        <f t="array" ref="D25">IFERROR(VLOOKUP(A25,'Chemical compounds'!$A$1:$O$294,{2,3,4,5,6,7,8,9,10,11,12,13},0),"")</f>
        <v/>
      </c>
      <c r="T25">
        <f t="shared" si="0"/>
        <v>0</v>
      </c>
      <c r="U25">
        <f t="shared" si="1"/>
        <v>0</v>
      </c>
      <c r="V25">
        <f t="shared" si="2"/>
        <v>0</v>
      </c>
    </row>
    <row r="26" spans="3:22" x14ac:dyDescent="0.25">
      <c r="C26" t="str">
        <f>IFERROR(VLOOKUP(A26,'Chemical compounds'!$A$1:$N$33,14,0),"")</f>
        <v/>
      </c>
      <c r="D26" t="str" cm="1">
        <f t="array" ref="D26">IFERROR(VLOOKUP(A26,'Chemical compounds'!$A$1:$O$294,{2,3,4,5,6,7,8,9,10,11,12,13},0),"")</f>
        <v/>
      </c>
      <c r="T26">
        <f t="shared" si="0"/>
        <v>0</v>
      </c>
      <c r="U26">
        <f t="shared" si="1"/>
        <v>0</v>
      </c>
      <c r="V26">
        <f t="shared" si="2"/>
        <v>0</v>
      </c>
    </row>
    <row r="27" spans="3:22" x14ac:dyDescent="0.25">
      <c r="C27" t="str">
        <f>IFERROR(VLOOKUP(A27,'Chemical compounds'!$A$1:$N$33,14,0),"")</f>
        <v/>
      </c>
      <c r="D27" t="str" cm="1">
        <f t="array" ref="D27">IFERROR(VLOOKUP(A27,'Chemical compounds'!$A$1:$O$294,{2,3,4,5,6,7,8,9,10,11,12,13},0),"")</f>
        <v/>
      </c>
      <c r="T27">
        <f t="shared" si="0"/>
        <v>0</v>
      </c>
      <c r="U27">
        <f t="shared" si="1"/>
        <v>0</v>
      </c>
      <c r="V27">
        <f t="shared" si="2"/>
        <v>0</v>
      </c>
    </row>
    <row r="28" spans="3:22" x14ac:dyDescent="0.25">
      <c r="C28" t="str">
        <f>IFERROR(VLOOKUP(A28,'Chemical compounds'!$A$1:$N$33,14,0),"")</f>
        <v/>
      </c>
      <c r="D28" t="str" cm="1">
        <f t="array" ref="D28">IFERROR(VLOOKUP(A28,'Chemical compounds'!$A$1:$O$294,{2,3,4,5,6,7,8,9,10,11,12,13},0),"")</f>
        <v/>
      </c>
      <c r="T28">
        <f t="shared" si="0"/>
        <v>0</v>
      </c>
      <c r="U28">
        <f t="shared" si="1"/>
        <v>0</v>
      </c>
      <c r="V28">
        <f t="shared" si="2"/>
        <v>0</v>
      </c>
    </row>
    <row r="29" spans="3:22" x14ac:dyDescent="0.25">
      <c r="C29" t="str">
        <f>IFERROR(VLOOKUP(A29,'Chemical compounds'!$A$1:$N$33,14,0),"")</f>
        <v/>
      </c>
      <c r="D29" t="str" cm="1">
        <f t="array" ref="D29">IFERROR(VLOOKUP(A29,'Chemical compounds'!$A$1:$O$294,{2,3,4,5,6,7,8,9,10,11,12,13},0),"")</f>
        <v/>
      </c>
      <c r="T29">
        <f t="shared" si="0"/>
        <v>0</v>
      </c>
      <c r="U29">
        <f t="shared" si="1"/>
        <v>0</v>
      </c>
      <c r="V29">
        <f t="shared" si="2"/>
        <v>0</v>
      </c>
    </row>
    <row r="30" spans="3:22" x14ac:dyDescent="0.25">
      <c r="C30" t="str">
        <f>IFERROR(VLOOKUP(A30,'Chemical compounds'!$A$1:$N$33,14,0),"")</f>
        <v/>
      </c>
      <c r="D30" t="str" cm="1">
        <f t="array" ref="D30">IFERROR(VLOOKUP(A30,'Chemical compounds'!$A$1:$O$294,{2,3,4,5,6,7,8,9,10,11,12,13},0),"")</f>
        <v/>
      </c>
      <c r="T30">
        <f t="shared" si="0"/>
        <v>0</v>
      </c>
      <c r="U30">
        <f t="shared" si="1"/>
        <v>0</v>
      </c>
      <c r="V30">
        <f t="shared" si="2"/>
        <v>0</v>
      </c>
    </row>
    <row r="31" spans="3:22" x14ac:dyDescent="0.25">
      <c r="C31" t="str">
        <f>IFERROR(VLOOKUP(A31,'Chemical compounds'!$A$1:$N$33,14,0),"")</f>
        <v/>
      </c>
      <c r="D31" t="str" cm="1">
        <f t="array" ref="D31">IFERROR(VLOOKUP(A31,'Chemical compounds'!$A$1:$O$294,{2,3,4,5,6,7,8,9,10,11,12,13},0),"")</f>
        <v/>
      </c>
      <c r="T31">
        <f t="shared" si="0"/>
        <v>0</v>
      </c>
      <c r="U31">
        <f t="shared" si="1"/>
        <v>0</v>
      </c>
      <c r="V31">
        <f t="shared" si="2"/>
        <v>0</v>
      </c>
    </row>
    <row r="32" spans="3:22" x14ac:dyDescent="0.25">
      <c r="C32" t="str">
        <f>IFERROR(VLOOKUP(A32,'Chemical compounds'!$A$1:$N$33,14,0),"")</f>
        <v/>
      </c>
      <c r="D32" t="str" cm="1">
        <f t="array" ref="D32">IFERROR(VLOOKUP(A32,'Chemical compounds'!$A$1:$O$294,{2,3,4,5,6,7,8,9,10,11,12,13},0),"")</f>
        <v/>
      </c>
      <c r="T32">
        <f t="shared" si="0"/>
        <v>0</v>
      </c>
      <c r="U32">
        <f t="shared" si="1"/>
        <v>0</v>
      </c>
      <c r="V32">
        <f t="shared" si="2"/>
        <v>0</v>
      </c>
    </row>
    <row r="33" spans="3:22" x14ac:dyDescent="0.25">
      <c r="C33" t="str">
        <f>IFERROR(VLOOKUP(A33,'Chemical compounds'!$A$1:$N$33,14,0),"")</f>
        <v/>
      </c>
      <c r="D33" t="str" cm="1">
        <f t="array" ref="D33">IFERROR(VLOOKUP(A33,'Chemical compounds'!$A$1:$O$294,{2,3,4,5,6,7,8,9,10,11,12,13},0),"")</f>
        <v/>
      </c>
      <c r="T33">
        <f t="shared" si="0"/>
        <v>0</v>
      </c>
      <c r="U33">
        <f t="shared" si="1"/>
        <v>0</v>
      </c>
      <c r="V33">
        <f t="shared" si="2"/>
        <v>0</v>
      </c>
    </row>
    <row r="34" spans="3:22" x14ac:dyDescent="0.25">
      <c r="C34" t="str">
        <f>IFERROR(VLOOKUP(A34,'Chemical compounds'!$A$1:$N$33,14,0),"")</f>
        <v/>
      </c>
      <c r="D34" t="str" cm="1">
        <f t="array" ref="D34">IFERROR(VLOOKUP(A34,'Chemical compounds'!$A$1:$O$294,{2,3,4,5,6,7,8,9,10,11,12,13},0),"")</f>
        <v/>
      </c>
      <c r="T34">
        <f t="shared" si="0"/>
        <v>0</v>
      </c>
      <c r="U34">
        <f t="shared" si="1"/>
        <v>0</v>
      </c>
      <c r="V34">
        <f t="shared" si="2"/>
        <v>0</v>
      </c>
    </row>
    <row r="35" spans="3:22" x14ac:dyDescent="0.25">
      <c r="C35" t="str">
        <f>IFERROR(VLOOKUP(A35,'Chemical compounds'!$A$1:$N$33,14,0),"")</f>
        <v/>
      </c>
      <c r="D35" t="str" cm="1">
        <f t="array" ref="D35">IFERROR(VLOOKUP(A35,'Chemical compounds'!$A$1:$O$294,{2,3,4,5,6,7,8,9,10,11,12,13},0),"")</f>
        <v/>
      </c>
      <c r="T35">
        <f t="shared" si="0"/>
        <v>0</v>
      </c>
      <c r="U35">
        <f t="shared" si="1"/>
        <v>0</v>
      </c>
      <c r="V35">
        <f t="shared" si="2"/>
        <v>0</v>
      </c>
    </row>
    <row r="36" spans="3:22" x14ac:dyDescent="0.25">
      <c r="C36" t="str">
        <f>IFERROR(VLOOKUP(A36,'Chemical compounds'!$A$1:$N$33,14,0),"")</f>
        <v/>
      </c>
      <c r="D36" t="str" cm="1">
        <f t="array" ref="D36">IFERROR(VLOOKUP(A36,'Chemical compounds'!$A$1:$O$294,{2,3,4,5,6,7,8,9,10,11,12,13},0),"")</f>
        <v/>
      </c>
      <c r="T36">
        <f t="shared" si="0"/>
        <v>0</v>
      </c>
      <c r="U36">
        <f t="shared" si="1"/>
        <v>0</v>
      </c>
      <c r="V36">
        <f t="shared" si="2"/>
        <v>0</v>
      </c>
    </row>
    <row r="37" spans="3:22" x14ac:dyDescent="0.25">
      <c r="C37" t="str">
        <f>IFERROR(VLOOKUP(A37,'Chemical compounds'!$A$1:$N$33,14,0),"")</f>
        <v/>
      </c>
      <c r="D37" t="str" cm="1">
        <f t="array" ref="D37">IFERROR(VLOOKUP(A37,'Chemical compounds'!$A$1:$O$294,{2,3,4,5,6,7,8,9,10,11,12,13},0),"")</f>
        <v/>
      </c>
      <c r="T37">
        <f t="shared" si="0"/>
        <v>0</v>
      </c>
      <c r="U37">
        <f t="shared" si="1"/>
        <v>0</v>
      </c>
      <c r="V37">
        <f t="shared" si="2"/>
        <v>0</v>
      </c>
    </row>
    <row r="38" spans="3:22" x14ac:dyDescent="0.25">
      <c r="C38" t="str">
        <f>IFERROR(VLOOKUP(A38,'Chemical compounds'!$A$1:$N$33,14,0),"")</f>
        <v/>
      </c>
      <c r="D38" t="str" cm="1">
        <f t="array" ref="D38">IFERROR(VLOOKUP(A38,'Chemical compounds'!$A$1:$O$294,{2,3,4,5,6,7,8,9,10,11,12,13},0),"")</f>
        <v/>
      </c>
      <c r="T38">
        <f t="shared" si="0"/>
        <v>0</v>
      </c>
      <c r="U38">
        <f t="shared" si="1"/>
        <v>0</v>
      </c>
      <c r="V38">
        <f t="shared" si="2"/>
        <v>0</v>
      </c>
    </row>
    <row r="39" spans="3:22" x14ac:dyDescent="0.25">
      <c r="C39" t="str">
        <f>IFERROR(VLOOKUP(A39,'Chemical compounds'!$A$1:$N$33,14,0),"")</f>
        <v/>
      </c>
      <c r="D39" t="str" cm="1">
        <f t="array" ref="D39">IFERROR(VLOOKUP(A39,'Chemical compounds'!$A$1:$O$294,{2,3,4,5,6,7,8,9,10,11,12,13},0),"")</f>
        <v/>
      </c>
      <c r="T39">
        <f t="shared" si="0"/>
        <v>0</v>
      </c>
      <c r="U39">
        <f t="shared" si="1"/>
        <v>0</v>
      </c>
      <c r="V39">
        <f t="shared" si="2"/>
        <v>0</v>
      </c>
    </row>
    <row r="40" spans="3:22" x14ac:dyDescent="0.25">
      <c r="C40" t="str">
        <f>IFERROR(VLOOKUP(A40,'Chemical compounds'!$A$1:$N$33,14,0),"")</f>
        <v/>
      </c>
      <c r="D40" t="str" cm="1">
        <f t="array" ref="D40">IFERROR(VLOOKUP(A40,'Chemical compounds'!$A$1:$O$294,{2,3,4,5,6,7,8,9,10,11,12,13},0),"")</f>
        <v/>
      </c>
      <c r="T40">
        <f t="shared" si="0"/>
        <v>0</v>
      </c>
      <c r="U40">
        <f t="shared" si="1"/>
        <v>0</v>
      </c>
      <c r="V40">
        <f t="shared" si="2"/>
        <v>0</v>
      </c>
    </row>
    <row r="41" spans="3:22" x14ac:dyDescent="0.25">
      <c r="C41" t="str">
        <f>IFERROR(VLOOKUP(A41,'Chemical compounds'!$A$1:$N$33,14,0),"")</f>
        <v/>
      </c>
      <c r="D41" t="str" cm="1">
        <f t="array" ref="D41">IFERROR(VLOOKUP(A41,'Chemical compounds'!$A$1:$O$294,{2,3,4,5,6,7,8,9,10,11,12,13},0),"")</f>
        <v/>
      </c>
      <c r="T41">
        <f t="shared" si="0"/>
        <v>0</v>
      </c>
      <c r="U41">
        <f t="shared" si="1"/>
        <v>0</v>
      </c>
      <c r="V41">
        <f t="shared" si="2"/>
        <v>0</v>
      </c>
    </row>
    <row r="42" spans="3:22" x14ac:dyDescent="0.25">
      <c r="C42" t="str">
        <f>IFERROR(VLOOKUP(A42,'Chemical compounds'!$A$1:$N$33,14,0),"")</f>
        <v/>
      </c>
      <c r="D42" t="str" cm="1">
        <f t="array" ref="D42">IFERROR(VLOOKUP(A42,'Chemical compounds'!$A$1:$O$294,{2,3,4,5,6,7,8,9,10,11,12,13},0),"")</f>
        <v/>
      </c>
      <c r="T42">
        <f t="shared" si="0"/>
        <v>0</v>
      </c>
      <c r="U42">
        <f t="shared" si="1"/>
        <v>0</v>
      </c>
      <c r="V42">
        <f t="shared" si="2"/>
        <v>0</v>
      </c>
    </row>
    <row r="43" spans="3:22" x14ac:dyDescent="0.25">
      <c r="C43" t="str">
        <f>IFERROR(VLOOKUP(A43,'Chemical compounds'!$A$1:$N$33,14,0),"")</f>
        <v/>
      </c>
      <c r="D43" t="str" cm="1">
        <f t="array" ref="D43">IFERROR(VLOOKUP(A43,'Chemical compounds'!$A$1:$O$294,{2,3,4,5,6,7,8,9,10,11,12,13},0),"")</f>
        <v/>
      </c>
      <c r="T43">
        <f t="shared" si="0"/>
        <v>0</v>
      </c>
      <c r="U43">
        <f t="shared" si="1"/>
        <v>0</v>
      </c>
      <c r="V43">
        <f t="shared" si="2"/>
        <v>0</v>
      </c>
    </row>
    <row r="44" spans="3:22" x14ac:dyDescent="0.25">
      <c r="C44" t="str">
        <f>IFERROR(VLOOKUP(A44,'Chemical compounds'!$A$1:$N$33,14,0),"")</f>
        <v/>
      </c>
      <c r="D44" t="str" cm="1">
        <f t="array" ref="D44">IFERROR(VLOOKUP(A44,'Chemical compounds'!$A$1:$O$294,{2,3,4,5,6,7,8,9,10,11,12,13},0),"")</f>
        <v/>
      </c>
      <c r="T44">
        <f t="shared" si="0"/>
        <v>0</v>
      </c>
      <c r="U44">
        <f t="shared" si="1"/>
        <v>0</v>
      </c>
      <c r="V44">
        <f t="shared" si="2"/>
        <v>0</v>
      </c>
    </row>
    <row r="45" spans="3:22" x14ac:dyDescent="0.25">
      <c r="C45" t="str">
        <f>IFERROR(VLOOKUP(A45,'Chemical compounds'!$A$1:$N$33,14,0),"")</f>
        <v/>
      </c>
      <c r="D45" t="str" cm="1">
        <f t="array" ref="D45">IFERROR(VLOOKUP(A45,'Chemical compounds'!$A$1:$O$294,{2,3,4,5,6,7,8,9,10,11,12,13},0),"")</f>
        <v/>
      </c>
      <c r="T45">
        <f t="shared" si="0"/>
        <v>0</v>
      </c>
      <c r="U45">
        <f t="shared" si="1"/>
        <v>0</v>
      </c>
      <c r="V45">
        <f t="shared" si="2"/>
        <v>0</v>
      </c>
    </row>
    <row r="46" spans="3:22" x14ac:dyDescent="0.25">
      <c r="C46" t="str">
        <f>IFERROR(VLOOKUP(A46,'Chemical compounds'!$A$1:$N$33,14,0),"")</f>
        <v/>
      </c>
      <c r="D46" t="str" cm="1">
        <f t="array" ref="D46">IFERROR(VLOOKUP(A46,'Chemical compounds'!$A$1:$O$294,{2,3,4,5,6,7,8,9,10,11,12,13},0),"")</f>
        <v/>
      </c>
      <c r="T46">
        <f t="shared" si="0"/>
        <v>0</v>
      </c>
      <c r="U46">
        <f t="shared" si="1"/>
        <v>0</v>
      </c>
      <c r="V46">
        <f t="shared" si="2"/>
        <v>0</v>
      </c>
    </row>
    <row r="47" spans="3:22" x14ac:dyDescent="0.25">
      <c r="C47" t="str">
        <f>IFERROR(VLOOKUP(A47,'Chemical compounds'!$A$1:$N$33,14,0),"")</f>
        <v/>
      </c>
      <c r="D47" t="str" cm="1">
        <f t="array" ref="D47">IFERROR(VLOOKUP(A47,'Chemical compounds'!$A$1:$O$294,{2,3,4,5,6,7,8,9,10,11,12,13},0),"")</f>
        <v/>
      </c>
      <c r="T47">
        <f t="shared" si="0"/>
        <v>0</v>
      </c>
      <c r="U47">
        <f t="shared" si="1"/>
        <v>0</v>
      </c>
      <c r="V47">
        <f t="shared" si="2"/>
        <v>0</v>
      </c>
    </row>
    <row r="48" spans="3:22" x14ac:dyDescent="0.25">
      <c r="C48" t="str">
        <f>IFERROR(VLOOKUP(A48,'Chemical compounds'!$A$1:$N$33,14,0),"")</f>
        <v/>
      </c>
      <c r="D48" t="str" cm="1">
        <f t="array" ref="D48">IFERROR(VLOOKUP(A48,'Chemical compounds'!$A$1:$O$294,{2,3,4,5,6,7,8,9,10,11,12,13},0),"")</f>
        <v/>
      </c>
      <c r="T48">
        <f t="shared" si="0"/>
        <v>0</v>
      </c>
      <c r="U48">
        <f t="shared" si="1"/>
        <v>0</v>
      </c>
      <c r="V48">
        <f t="shared" si="2"/>
        <v>0</v>
      </c>
    </row>
    <row r="49" spans="3:22" x14ac:dyDescent="0.25">
      <c r="C49" t="str">
        <f>IFERROR(VLOOKUP(A49,'Chemical compounds'!$A$1:$N$33,14,0),"")</f>
        <v/>
      </c>
      <c r="D49" t="str" cm="1">
        <f t="array" ref="D49">IFERROR(VLOOKUP(A49,'Chemical compounds'!$A$1:$O$294,{2,3,4,5,6,7,8,9,10,11,12,13},0),"")</f>
        <v/>
      </c>
      <c r="T49">
        <f t="shared" si="0"/>
        <v>0</v>
      </c>
      <c r="U49">
        <f t="shared" si="1"/>
        <v>0</v>
      </c>
      <c r="V49">
        <f t="shared" si="2"/>
        <v>0</v>
      </c>
    </row>
    <row r="50" spans="3:22" x14ac:dyDescent="0.25">
      <c r="C50" t="str">
        <f>IFERROR(VLOOKUP(A50,'Chemical compounds'!$A$1:$N$33,14,0),"")</f>
        <v/>
      </c>
      <c r="D50" t="str" cm="1">
        <f t="array" ref="D50">IFERROR(VLOOKUP(A50,'Chemical compounds'!$A$1:$O$294,{2,3,4,5,6,7,8,9,10,11,12,13},0),"")</f>
        <v/>
      </c>
      <c r="T50">
        <f t="shared" si="0"/>
        <v>0</v>
      </c>
      <c r="U50">
        <f t="shared" si="1"/>
        <v>0</v>
      </c>
      <c r="V50">
        <f t="shared" si="2"/>
        <v>0</v>
      </c>
    </row>
    <row r="51" spans="3:22" x14ac:dyDescent="0.25">
      <c r="C51" t="str">
        <f>IFERROR(VLOOKUP(A51,'Chemical compounds'!$A$1:$N$33,14,0),"")</f>
        <v/>
      </c>
      <c r="D51" t="str" cm="1">
        <f t="array" ref="D51">IFERROR(VLOOKUP(A51,'Chemical compounds'!$A$1:$O$294,{2,3,4,5,6,7,8,9,10,11,12,13},0),"")</f>
        <v/>
      </c>
      <c r="T51">
        <f t="shared" si="0"/>
        <v>0</v>
      </c>
      <c r="U51">
        <f t="shared" si="1"/>
        <v>0</v>
      </c>
      <c r="V51">
        <f t="shared" si="2"/>
        <v>0</v>
      </c>
    </row>
    <row r="52" spans="3:22" x14ac:dyDescent="0.25">
      <c r="C52" t="str">
        <f>IFERROR(VLOOKUP(A52,'Chemical compounds'!$A$1:$N$33,14,0),"")</f>
        <v/>
      </c>
      <c r="D52" t="str" cm="1">
        <f t="array" ref="D52">IFERROR(VLOOKUP(A52,'Chemical compounds'!$A$1:$O$294,{2,3,4,5,6,7,8,9,10,11,12,13},0),"")</f>
        <v/>
      </c>
      <c r="T52">
        <f t="shared" si="0"/>
        <v>0</v>
      </c>
      <c r="U52">
        <f t="shared" si="1"/>
        <v>0</v>
      </c>
      <c r="V52">
        <f t="shared" si="2"/>
        <v>0</v>
      </c>
    </row>
    <row r="53" spans="3:22" x14ac:dyDescent="0.25">
      <c r="C53" t="str">
        <f>IFERROR(VLOOKUP(A53,'Chemical compounds'!$A$1:$N$33,14,0),"")</f>
        <v/>
      </c>
      <c r="D53" t="str" cm="1">
        <f t="array" ref="D53">IFERROR(VLOOKUP(A53,'Chemical compounds'!$A$1:$O$294,{2,3,4,5,6,7,8,9,10,11,12,13},0),"")</f>
        <v/>
      </c>
      <c r="T53">
        <f t="shared" si="0"/>
        <v>0</v>
      </c>
      <c r="U53">
        <f t="shared" si="1"/>
        <v>0</v>
      </c>
    </row>
    <row r="54" spans="3:22" x14ac:dyDescent="0.25">
      <c r="C54" t="str">
        <f>IFERROR(VLOOKUP(A54,'Chemical compounds'!$A$1:$N$33,14,0),"")</f>
        <v/>
      </c>
      <c r="D54" t="str" cm="1">
        <f t="array" ref="D54">IFERROR(VLOOKUP(A54,'Chemical compounds'!$A$1:$O$294,{2,3,4,5,6,7,8,9,10,11,12,13},0),"")</f>
        <v/>
      </c>
      <c r="T54">
        <f t="shared" si="0"/>
        <v>0</v>
      </c>
      <c r="U54">
        <f t="shared" si="1"/>
        <v>0</v>
      </c>
    </row>
    <row r="55" spans="3:22" x14ac:dyDescent="0.25">
      <c r="D55" t="str" cm="1">
        <f t="array" ref="D55">IFERROR(VLOOKUP(A55,'Chemical compounds'!$A$1:$O$294,{2,3,4,5,6,7,8,9,10,11,12,13},0),"")</f>
        <v/>
      </c>
      <c r="T55">
        <f t="shared" si="0"/>
        <v>0</v>
      </c>
      <c r="U55">
        <f t="shared" si="1"/>
        <v>0</v>
      </c>
    </row>
    <row r="56" spans="3:22" x14ac:dyDescent="0.25">
      <c r="D56" t="str" cm="1">
        <f t="array" ref="D56">IFERROR(VLOOKUP(A56,'Chemical compounds'!$A$1:$O$294,{2,3,4,5,6,7,8,9,10,11,12,13},0),"")</f>
        <v/>
      </c>
      <c r="T56">
        <f t="shared" si="0"/>
        <v>0</v>
      </c>
      <c r="U56">
        <f t="shared" si="1"/>
        <v>0</v>
      </c>
    </row>
    <row r="57" spans="3:22" x14ac:dyDescent="0.25">
      <c r="D57" t="str" cm="1">
        <f t="array" ref="D57">IFERROR(VLOOKUP(A57,'Chemical compounds'!$A$1:$O$294,{2,3,4,5,6,7,8,9,10,11,12,13},0),"")</f>
        <v/>
      </c>
      <c r="T57">
        <f t="shared" si="0"/>
        <v>0</v>
      </c>
      <c r="U57">
        <f t="shared" si="1"/>
        <v>0</v>
      </c>
    </row>
    <row r="58" spans="3:22" x14ac:dyDescent="0.25">
      <c r="D58" t="str" cm="1">
        <f t="array" ref="D58">IFERROR(VLOOKUP(A58,'Chemical compounds'!$A$1:$O$294,{2,3,4,5,6,7,8,9,10,11,12,13},0),"")</f>
        <v/>
      </c>
      <c r="T58">
        <f t="shared" si="0"/>
        <v>0</v>
      </c>
      <c r="U58">
        <f t="shared" si="1"/>
        <v>0</v>
      </c>
    </row>
    <row r="59" spans="3:22" x14ac:dyDescent="0.25">
      <c r="D59" t="str" cm="1">
        <f t="array" ref="D59">IFERROR(VLOOKUP(A59,'Chemical compounds'!$A$1:$O$294,{2,3,4,5,6,7,8,9,10,11,12,13},0),"")</f>
        <v/>
      </c>
      <c r="T59">
        <f t="shared" si="0"/>
        <v>0</v>
      </c>
      <c r="U59">
        <f t="shared" si="1"/>
        <v>0</v>
      </c>
    </row>
    <row r="60" spans="3:22" x14ac:dyDescent="0.25">
      <c r="D60" t="str" cm="1">
        <f t="array" ref="D60">IFERROR(VLOOKUP(A60,'Chemical compounds'!$A$1:$O$294,{2,3,4,5,6,7,8,9,10,11,12,13},0),"")</f>
        <v/>
      </c>
      <c r="T60">
        <f t="shared" si="0"/>
        <v>0</v>
      </c>
      <c r="U60">
        <f t="shared" si="1"/>
        <v>0</v>
      </c>
    </row>
    <row r="61" spans="3:22" x14ac:dyDescent="0.25">
      <c r="D61" t="str" cm="1">
        <f t="array" ref="D61">IFERROR(VLOOKUP(A61,'Chemical compounds'!$A$1:$O$294,{2,3,4,5,6,7,8,9,10,11,12,13},0),"")</f>
        <v/>
      </c>
      <c r="T61">
        <f t="shared" si="0"/>
        <v>0</v>
      </c>
      <c r="U61">
        <f t="shared" si="1"/>
        <v>0</v>
      </c>
    </row>
    <row r="62" spans="3:22" x14ac:dyDescent="0.25">
      <c r="D62" t="str" cm="1">
        <f t="array" ref="D62">IFERROR(VLOOKUP(A62,'Chemical compounds'!$A$1:$O$294,{2,3,4,5,6,7,8,9,10,11,12,13},0),"")</f>
        <v/>
      </c>
      <c r="T62">
        <f t="shared" si="0"/>
        <v>0</v>
      </c>
      <c r="U62">
        <f t="shared" si="1"/>
        <v>0</v>
      </c>
    </row>
    <row r="63" spans="3:22" x14ac:dyDescent="0.25">
      <c r="D63" t="str" cm="1">
        <f t="array" ref="D63">IFERROR(VLOOKUP(A63,'Chemical compounds'!$A$1:$O$294,{2,3,4,5,6,7,8,9,10,11,12,13},0),"")</f>
        <v/>
      </c>
      <c r="T63">
        <f t="shared" si="0"/>
        <v>0</v>
      </c>
      <c r="U63">
        <f t="shared" si="1"/>
        <v>0</v>
      </c>
    </row>
    <row r="64" spans="3:22" x14ac:dyDescent="0.25">
      <c r="D64" t="str" cm="1">
        <f t="array" ref="D64">IFERROR(VLOOKUP(A64,'Chemical compounds'!$A$1:$O$294,{2,3,4,5,6,7,8,9,10,11,12,13},0),"")</f>
        <v/>
      </c>
      <c r="T64">
        <f t="shared" si="0"/>
        <v>0</v>
      </c>
      <c r="U64">
        <f t="shared" si="1"/>
        <v>0</v>
      </c>
    </row>
    <row r="65" spans="4:21" x14ac:dyDescent="0.25">
      <c r="D65" t="str" cm="1">
        <f t="array" ref="D65">IFERROR(VLOOKUP(A65,'Chemical compounds'!$A$1:$O$294,{2,3,4,5,6,7,8,9,10,11,12,13},0),"")</f>
        <v/>
      </c>
      <c r="T65">
        <f t="shared" si="0"/>
        <v>0</v>
      </c>
      <c r="U65">
        <f t="shared" si="1"/>
        <v>0</v>
      </c>
    </row>
    <row r="66" spans="4:21" x14ac:dyDescent="0.25">
      <c r="D66" t="str" cm="1">
        <f t="array" ref="D66">IFERROR(VLOOKUP(A66,'Chemical compounds'!$A$1:$O$294,{2,3,4,5,6,7,8,9,10,11,12,13},0),"")</f>
        <v/>
      </c>
      <c r="T66">
        <f t="shared" si="0"/>
        <v>0</v>
      </c>
      <c r="U66">
        <f t="shared" si="1"/>
        <v>0</v>
      </c>
    </row>
    <row r="67" spans="4:21" x14ac:dyDescent="0.25">
      <c r="D67" t="str" cm="1">
        <f t="array" ref="D67">IFERROR(VLOOKUP(A67,'Chemical compounds'!$A$1:$O$294,{2,3,4,5,6,7,8,9,10,11,12,13},0),"")</f>
        <v/>
      </c>
      <c r="T67">
        <f t="shared" ref="T67:T130" si="3">IF(G67=0,F67*Q67*R67,G67*Q67*R67)/1000</f>
        <v>0</v>
      </c>
      <c r="U67">
        <f t="shared" ref="U67:U130" si="4">IF(K67=0,J67*Q67*R67,K67*Q67*R67)/1000</f>
        <v>0</v>
      </c>
    </row>
    <row r="68" spans="4:21" x14ac:dyDescent="0.25">
      <c r="D68" t="str" cm="1">
        <f t="array" ref="D68">IFERROR(VLOOKUP(A68,'Chemical compounds'!$A$1:$O$294,{2,3,4,5,6,7,8,9,10,11,12,13},0),"")</f>
        <v/>
      </c>
      <c r="T68">
        <f t="shared" si="3"/>
        <v>0</v>
      </c>
      <c r="U68">
        <f t="shared" si="4"/>
        <v>0</v>
      </c>
    </row>
    <row r="69" spans="4:21" x14ac:dyDescent="0.25">
      <c r="D69" t="str" cm="1">
        <f t="array" ref="D69">IFERROR(VLOOKUP(A69,'Chemical compounds'!$A$1:$O$294,{2,3,4,5,6,7,8,9,10,11,12,13},0),"")</f>
        <v/>
      </c>
      <c r="T69">
        <f t="shared" si="3"/>
        <v>0</v>
      </c>
      <c r="U69">
        <f t="shared" si="4"/>
        <v>0</v>
      </c>
    </row>
    <row r="70" spans="4:21" x14ac:dyDescent="0.25">
      <c r="D70" t="str" cm="1">
        <f t="array" ref="D70">IFERROR(VLOOKUP(A70,'Chemical compounds'!$A$1:$O$294,{2,3,4,5,6,7,8,9,10,11,12,13},0),"")</f>
        <v/>
      </c>
      <c r="T70">
        <f t="shared" si="3"/>
        <v>0</v>
      </c>
      <c r="U70">
        <f t="shared" si="4"/>
        <v>0</v>
      </c>
    </row>
    <row r="71" spans="4:21" x14ac:dyDescent="0.25">
      <c r="D71" t="str" cm="1">
        <f t="array" ref="D71">IFERROR(VLOOKUP(A71,'Chemical compounds'!$A$1:$O$294,{2,3,4,5,6,7,8,9,10,11,12,13},0),"")</f>
        <v/>
      </c>
      <c r="T71">
        <f t="shared" si="3"/>
        <v>0</v>
      </c>
      <c r="U71">
        <f t="shared" si="4"/>
        <v>0</v>
      </c>
    </row>
    <row r="72" spans="4:21" x14ac:dyDescent="0.25">
      <c r="D72" t="str" cm="1">
        <f t="array" ref="D72">IFERROR(VLOOKUP(A72,'Chemical compounds'!$A$1:$O$294,{2,3,4,5,6,7,8,9,10,11,12,13},0),"")</f>
        <v/>
      </c>
      <c r="T72">
        <f t="shared" si="3"/>
        <v>0</v>
      </c>
      <c r="U72">
        <f t="shared" si="4"/>
        <v>0</v>
      </c>
    </row>
    <row r="73" spans="4:21" x14ac:dyDescent="0.25">
      <c r="D73" t="str" cm="1">
        <f t="array" ref="D73">IFERROR(VLOOKUP(A73,'Chemical compounds'!$A$1:$O$294,{2,3,4,5,6,7,8,9,10,11,12,13},0),"")</f>
        <v/>
      </c>
      <c r="T73">
        <f t="shared" si="3"/>
        <v>0</v>
      </c>
      <c r="U73">
        <f t="shared" si="4"/>
        <v>0</v>
      </c>
    </row>
    <row r="74" spans="4:21" x14ac:dyDescent="0.25">
      <c r="D74" t="str" cm="1">
        <f t="array" ref="D74">IFERROR(VLOOKUP(A74,'Chemical compounds'!$A$1:$O$294,{2,3,4,5,6,7,8,9,10,11,12,13},0),"")</f>
        <v/>
      </c>
      <c r="T74">
        <f t="shared" si="3"/>
        <v>0</v>
      </c>
      <c r="U74">
        <f t="shared" si="4"/>
        <v>0</v>
      </c>
    </row>
    <row r="75" spans="4:21" x14ac:dyDescent="0.25">
      <c r="D75" t="str" cm="1">
        <f t="array" ref="D75">IFERROR(VLOOKUP(A75,'Chemical compounds'!$A$1:$O$294,{2,3,4,5,6,7,8,9,10,11,12,13},0),"")</f>
        <v/>
      </c>
      <c r="T75">
        <f t="shared" si="3"/>
        <v>0</v>
      </c>
      <c r="U75">
        <f t="shared" si="4"/>
        <v>0</v>
      </c>
    </row>
    <row r="76" spans="4:21" x14ac:dyDescent="0.25">
      <c r="D76" t="str" cm="1">
        <f t="array" ref="D76">IFERROR(VLOOKUP(A76,'Chemical compounds'!$A$1:$O$294,{2,3,4,5,6,7,8,9,10,11,12,13},0),"")</f>
        <v/>
      </c>
      <c r="T76">
        <f t="shared" si="3"/>
        <v>0</v>
      </c>
      <c r="U76">
        <f t="shared" si="4"/>
        <v>0</v>
      </c>
    </row>
    <row r="77" spans="4:21" x14ac:dyDescent="0.25">
      <c r="D77" t="str" cm="1">
        <f t="array" ref="D77">IFERROR(VLOOKUP(A77,'Chemical compounds'!$A$1:$O$294,{2,3,4,5,6,7,8,9,10,11,12,13},0),"")</f>
        <v/>
      </c>
      <c r="T77">
        <f t="shared" si="3"/>
        <v>0</v>
      </c>
      <c r="U77">
        <f t="shared" si="4"/>
        <v>0</v>
      </c>
    </row>
    <row r="78" spans="4:21" x14ac:dyDescent="0.25">
      <c r="D78" t="str" cm="1">
        <f t="array" ref="D78">IFERROR(VLOOKUP(A78,'Chemical compounds'!A76:O370,{2,3,4,5,6,7,8,9,10,11,12,13},0),"")</f>
        <v/>
      </c>
      <c r="T78">
        <f t="shared" si="3"/>
        <v>0</v>
      </c>
      <c r="U78">
        <f t="shared" si="4"/>
        <v>0</v>
      </c>
    </row>
    <row r="79" spans="4:21" x14ac:dyDescent="0.25">
      <c r="D79" t="str" cm="1">
        <f t="array" ref="D79">IFERROR(VLOOKUP(A79,'Chemical compounds'!A77:O371,{2,3,4,5,6,7,8,9,10,11,12,13},0),"")</f>
        <v/>
      </c>
      <c r="T79">
        <f t="shared" si="3"/>
        <v>0</v>
      </c>
      <c r="U79">
        <f t="shared" si="4"/>
        <v>0</v>
      </c>
    </row>
    <row r="80" spans="4:21" x14ac:dyDescent="0.25">
      <c r="D80" t="str" cm="1">
        <f t="array" ref="D80">IFERROR(VLOOKUP(A80,'Chemical compounds'!A78:O372,{2,3,4,5,6,7,8,9,10,11,12,13},0),"")</f>
        <v/>
      </c>
      <c r="T80">
        <f t="shared" si="3"/>
        <v>0</v>
      </c>
      <c r="U80">
        <f t="shared" si="4"/>
        <v>0</v>
      </c>
    </row>
    <row r="81" spans="4:21" x14ac:dyDescent="0.25">
      <c r="D81" t="str" cm="1">
        <f t="array" ref="D81">IFERROR(VLOOKUP(A81,'Chemical compounds'!A79:O373,{2,3,4,5,6,7,8,9,10,11,12,13},0),"")</f>
        <v/>
      </c>
      <c r="T81">
        <f t="shared" si="3"/>
        <v>0</v>
      </c>
      <c r="U81">
        <f t="shared" si="4"/>
        <v>0</v>
      </c>
    </row>
    <row r="82" spans="4:21" x14ac:dyDescent="0.25">
      <c r="D82" t="str" cm="1">
        <f t="array" ref="D82">IFERROR(VLOOKUP(A82,'Chemical compounds'!A80:O374,{2,3,4,5,6,7,8,9,10,11,12,13},0),"")</f>
        <v/>
      </c>
      <c r="T82">
        <f t="shared" si="3"/>
        <v>0</v>
      </c>
      <c r="U82">
        <f t="shared" si="4"/>
        <v>0</v>
      </c>
    </row>
    <row r="83" spans="4:21" x14ac:dyDescent="0.25">
      <c r="D83" t="str" cm="1">
        <f t="array" ref="D83">IFERROR(VLOOKUP(A83,'Chemical compounds'!A81:O375,{2,3,4,5,6,7,8,9,10,11,12,13},0),"")</f>
        <v/>
      </c>
      <c r="T83">
        <f t="shared" si="3"/>
        <v>0</v>
      </c>
      <c r="U83">
        <f t="shared" si="4"/>
        <v>0</v>
      </c>
    </row>
    <row r="84" spans="4:21" x14ac:dyDescent="0.25">
      <c r="D84" t="str" cm="1">
        <f t="array" ref="D84">IFERROR(VLOOKUP(A84,'Chemical compounds'!A82:O376,{2,3,4,5,6,7,8,9,10,11,12,13},0),"")</f>
        <v/>
      </c>
      <c r="T84">
        <f t="shared" si="3"/>
        <v>0</v>
      </c>
      <c r="U84">
        <f t="shared" si="4"/>
        <v>0</v>
      </c>
    </row>
    <row r="85" spans="4:21" x14ac:dyDescent="0.25">
      <c r="D85" t="str" cm="1">
        <f t="array" ref="D85">IFERROR(VLOOKUP(A85,'Chemical compounds'!A83:O377,{2,3,4,5,6,7,8,9,10,11,12,13},0),"")</f>
        <v/>
      </c>
      <c r="T85">
        <f t="shared" si="3"/>
        <v>0</v>
      </c>
      <c r="U85">
        <f t="shared" si="4"/>
        <v>0</v>
      </c>
    </row>
    <row r="86" spans="4:21" x14ac:dyDescent="0.25">
      <c r="D86" t="str" cm="1">
        <f t="array" ref="D86">IFERROR(VLOOKUP(A86,'Chemical compounds'!A84:O378,{2,3,4,5,6,7,8,9,10,11,12,13},0),"")</f>
        <v/>
      </c>
      <c r="T86">
        <f t="shared" si="3"/>
        <v>0</v>
      </c>
      <c r="U86">
        <f t="shared" si="4"/>
        <v>0</v>
      </c>
    </row>
    <row r="87" spans="4:21" x14ac:dyDescent="0.25">
      <c r="D87" t="str" cm="1">
        <f t="array" ref="D87">IFERROR(VLOOKUP(A87,'Chemical compounds'!A85:O379,{2,3,4,5,6,7,8,9,10,11,12,13},0),"")</f>
        <v/>
      </c>
      <c r="T87">
        <f t="shared" si="3"/>
        <v>0</v>
      </c>
      <c r="U87">
        <f t="shared" si="4"/>
        <v>0</v>
      </c>
    </row>
    <row r="88" spans="4:21" x14ac:dyDescent="0.25">
      <c r="D88" t="str" cm="1">
        <f t="array" ref="D88">IFERROR(VLOOKUP(A88,'Chemical compounds'!A86:O380,{2,3,4,5,6,7,8,9,10,11,12,13},0),"")</f>
        <v/>
      </c>
      <c r="T88">
        <f t="shared" si="3"/>
        <v>0</v>
      </c>
      <c r="U88">
        <f t="shared" si="4"/>
        <v>0</v>
      </c>
    </row>
    <row r="89" spans="4:21" x14ac:dyDescent="0.25">
      <c r="D89" t="str" cm="1">
        <f t="array" ref="D89">IFERROR(VLOOKUP(A89,'Chemical compounds'!A87:O381,{2,3,4,5,6,7,8,9},0),"")</f>
        <v/>
      </c>
      <c r="T89">
        <f t="shared" si="3"/>
        <v>0</v>
      </c>
      <c r="U89">
        <f t="shared" si="4"/>
        <v>0</v>
      </c>
    </row>
    <row r="90" spans="4:21" x14ac:dyDescent="0.25">
      <c r="D90" t="str" cm="1">
        <f t="array" ref="D90">IFERROR(VLOOKUP(A90,'Chemical compounds'!A88:O382,{2,3,4,5,6,7,8,9},0),"")</f>
        <v/>
      </c>
      <c r="T90">
        <f t="shared" si="3"/>
        <v>0</v>
      </c>
      <c r="U90">
        <f t="shared" si="4"/>
        <v>0</v>
      </c>
    </row>
    <row r="91" spans="4:21" x14ac:dyDescent="0.25">
      <c r="D91" t="str" cm="1">
        <f t="array" ref="D91">IFERROR(VLOOKUP(A91,'Chemical compounds'!A89:O383,{2,3,4,5,6,7,8,9},0),"")</f>
        <v/>
      </c>
      <c r="T91">
        <f t="shared" si="3"/>
        <v>0</v>
      </c>
      <c r="U91">
        <f t="shared" si="4"/>
        <v>0</v>
      </c>
    </row>
    <row r="92" spans="4:21" x14ac:dyDescent="0.25">
      <c r="D92" t="str" cm="1">
        <f t="array" ref="D92">IFERROR(VLOOKUP(A92,'Chemical compounds'!A90:O384,{2,3,4,5,6,7,8,9},0),"")</f>
        <v/>
      </c>
      <c r="T92">
        <f t="shared" si="3"/>
        <v>0</v>
      </c>
      <c r="U92">
        <f t="shared" si="4"/>
        <v>0</v>
      </c>
    </row>
    <row r="93" spans="4:21" x14ac:dyDescent="0.25">
      <c r="D93" t="str" cm="1">
        <f t="array" ref="D93">IFERROR(VLOOKUP(A93,'Chemical compounds'!A91:O385,{2,3,4,5,6,7,8,9},0),"")</f>
        <v/>
      </c>
      <c r="T93">
        <f t="shared" si="3"/>
        <v>0</v>
      </c>
      <c r="U93">
        <f t="shared" si="4"/>
        <v>0</v>
      </c>
    </row>
    <row r="94" spans="4:21" x14ac:dyDescent="0.25">
      <c r="D94" t="str" cm="1">
        <f t="array" ref="D94">IFERROR(VLOOKUP(A94,'Chemical compounds'!A92:O386,{2,3,4,5,6,7,8,9},0),"")</f>
        <v/>
      </c>
      <c r="T94">
        <f t="shared" si="3"/>
        <v>0</v>
      </c>
      <c r="U94">
        <f t="shared" si="4"/>
        <v>0</v>
      </c>
    </row>
    <row r="95" spans="4:21" x14ac:dyDescent="0.25">
      <c r="D95" t="str" cm="1">
        <f t="array" ref="D95">IFERROR(VLOOKUP(A95,'Chemical compounds'!A93:O387,{2,3,4,5,6,7,8,9},0),"")</f>
        <v/>
      </c>
      <c r="T95">
        <f t="shared" si="3"/>
        <v>0</v>
      </c>
      <c r="U95">
        <f t="shared" si="4"/>
        <v>0</v>
      </c>
    </row>
    <row r="96" spans="4:21" x14ac:dyDescent="0.25">
      <c r="D96" t="str" cm="1">
        <f t="array" ref="D96">IFERROR(VLOOKUP(A96,'Chemical compounds'!A94:O388,{2,3,4,5,6,7,8,9},0),"")</f>
        <v/>
      </c>
      <c r="T96">
        <f t="shared" si="3"/>
        <v>0</v>
      </c>
      <c r="U96">
        <f t="shared" si="4"/>
        <v>0</v>
      </c>
    </row>
    <row r="97" spans="4:21" x14ac:dyDescent="0.25">
      <c r="D97" t="str" cm="1">
        <f t="array" ref="D97">IFERROR(VLOOKUP(A97,'Chemical compounds'!A95:O389,{2,3,4,5,6,7,8,9},0),"")</f>
        <v/>
      </c>
      <c r="T97">
        <f t="shared" si="3"/>
        <v>0</v>
      </c>
      <c r="U97">
        <f t="shared" si="4"/>
        <v>0</v>
      </c>
    </row>
    <row r="98" spans="4:21" x14ac:dyDescent="0.25">
      <c r="D98" t="str" cm="1">
        <f t="array" ref="D98">IFERROR(VLOOKUP(A98,'Chemical compounds'!A96:O390,{2,3,4,5,6,7,8,9},0),"")</f>
        <v/>
      </c>
      <c r="T98">
        <f t="shared" si="3"/>
        <v>0</v>
      </c>
      <c r="U98">
        <f t="shared" si="4"/>
        <v>0</v>
      </c>
    </row>
    <row r="99" spans="4:21" x14ac:dyDescent="0.25">
      <c r="D99" t="str" cm="1">
        <f t="array" ref="D99">IFERROR(VLOOKUP(A99,'Chemical compounds'!A97:O391,{2,3,4,5,6,7,8,9},0),"")</f>
        <v/>
      </c>
      <c r="T99">
        <f t="shared" si="3"/>
        <v>0</v>
      </c>
      <c r="U99">
        <f t="shared" si="4"/>
        <v>0</v>
      </c>
    </row>
    <row r="100" spans="4:21" x14ac:dyDescent="0.25">
      <c r="D100" t="str" cm="1">
        <f t="array" ref="D100">IFERROR(VLOOKUP(A100,'Chemical compounds'!A98:O392,{2,3,4,5,6,7,8,9},0),"")</f>
        <v/>
      </c>
      <c r="T100">
        <f t="shared" si="3"/>
        <v>0</v>
      </c>
      <c r="U100">
        <f t="shared" si="4"/>
        <v>0</v>
      </c>
    </row>
    <row r="101" spans="4:21" x14ac:dyDescent="0.25">
      <c r="D101" t="str" cm="1">
        <f t="array" ref="D101">IFERROR(VLOOKUP(A101,'Chemical compounds'!A99:O393,{2,3,4,5,6,7,8,9},0),"")</f>
        <v/>
      </c>
      <c r="T101">
        <f t="shared" si="3"/>
        <v>0</v>
      </c>
      <c r="U101">
        <f t="shared" si="4"/>
        <v>0</v>
      </c>
    </row>
    <row r="102" spans="4:21" x14ac:dyDescent="0.25">
      <c r="D102" t="str" cm="1">
        <f t="array" ref="D102">IFERROR(VLOOKUP(A102,'Chemical compounds'!A100:O394,{2,3,4,5,6,7,8,9},0),"")</f>
        <v/>
      </c>
      <c r="T102">
        <f t="shared" si="3"/>
        <v>0</v>
      </c>
      <c r="U102">
        <f t="shared" si="4"/>
        <v>0</v>
      </c>
    </row>
    <row r="103" spans="4:21" x14ac:dyDescent="0.25">
      <c r="D103" t="str" cm="1">
        <f t="array" ref="D103">IFERROR(VLOOKUP(A103,'Chemical compounds'!A101:O395,{2,3,4,5,6,7,8,9},0),"")</f>
        <v/>
      </c>
      <c r="T103">
        <f t="shared" si="3"/>
        <v>0</v>
      </c>
      <c r="U103">
        <f t="shared" si="4"/>
        <v>0</v>
      </c>
    </row>
    <row r="104" spans="4:21" x14ac:dyDescent="0.25">
      <c r="D104" t="str" cm="1">
        <f t="array" ref="D104">IFERROR(VLOOKUP(A104,'Chemical compounds'!A102:O396,{2,3,4,5,6,7,8,9},0),"")</f>
        <v/>
      </c>
      <c r="T104">
        <f t="shared" si="3"/>
        <v>0</v>
      </c>
      <c r="U104">
        <f t="shared" si="4"/>
        <v>0</v>
      </c>
    </row>
    <row r="105" spans="4:21" x14ac:dyDescent="0.25">
      <c r="D105" t="str" cm="1">
        <f t="array" ref="D105">IFERROR(VLOOKUP(A105,'Chemical compounds'!A103:O397,{2,3,4,5,6,7,8,9},0),"")</f>
        <v/>
      </c>
      <c r="T105">
        <f t="shared" si="3"/>
        <v>0</v>
      </c>
      <c r="U105">
        <f t="shared" si="4"/>
        <v>0</v>
      </c>
    </row>
    <row r="106" spans="4:21" x14ac:dyDescent="0.25">
      <c r="D106" t="str" cm="1">
        <f t="array" ref="D106">IFERROR(VLOOKUP(A106,'Chemical compounds'!A104:O398,{2,3,4,5,6,7,8,9},0),"")</f>
        <v/>
      </c>
      <c r="T106">
        <f t="shared" si="3"/>
        <v>0</v>
      </c>
      <c r="U106">
        <f t="shared" si="4"/>
        <v>0</v>
      </c>
    </row>
    <row r="107" spans="4:21" x14ac:dyDescent="0.25">
      <c r="D107" t="str" cm="1">
        <f t="array" ref="D107">IFERROR(VLOOKUP(A107,'Chemical compounds'!A105:O399,{2,3,4,5,6,7,8,9},0),"")</f>
        <v/>
      </c>
      <c r="T107">
        <f t="shared" si="3"/>
        <v>0</v>
      </c>
      <c r="U107">
        <f t="shared" si="4"/>
        <v>0</v>
      </c>
    </row>
    <row r="108" spans="4:21" x14ac:dyDescent="0.25">
      <c r="D108" t="str" cm="1">
        <f t="array" ref="D108">IFERROR(VLOOKUP(A108,'Chemical compounds'!A106:O400,{2,3,4,5,6,7,8,9},0),"")</f>
        <v/>
      </c>
      <c r="T108">
        <f t="shared" si="3"/>
        <v>0</v>
      </c>
      <c r="U108">
        <f t="shared" si="4"/>
        <v>0</v>
      </c>
    </row>
    <row r="109" spans="4:21" x14ac:dyDescent="0.25">
      <c r="D109" t="str" cm="1">
        <f t="array" ref="D109">IFERROR(VLOOKUP(A109,'Chemical compounds'!A107:O401,{2,3,4,5,6,7,8,9},0),"")</f>
        <v/>
      </c>
      <c r="T109">
        <f t="shared" si="3"/>
        <v>0</v>
      </c>
      <c r="U109">
        <f t="shared" si="4"/>
        <v>0</v>
      </c>
    </row>
    <row r="110" spans="4:21" x14ac:dyDescent="0.25">
      <c r="D110" t="str" cm="1">
        <f t="array" ref="D110">IFERROR(VLOOKUP(A110,'Chemical compounds'!A108:O402,{2,3,4,5,6,7,8,9},0),"")</f>
        <v/>
      </c>
      <c r="T110">
        <f t="shared" si="3"/>
        <v>0</v>
      </c>
      <c r="U110">
        <f t="shared" si="4"/>
        <v>0</v>
      </c>
    </row>
    <row r="111" spans="4:21" x14ac:dyDescent="0.25">
      <c r="D111" t="str" cm="1">
        <f t="array" ref="D111">IFERROR(VLOOKUP(A111,'Chemical compounds'!A109:O403,{2,3,4,5,6,7,8,9},0),"")</f>
        <v/>
      </c>
      <c r="T111">
        <f t="shared" si="3"/>
        <v>0</v>
      </c>
      <c r="U111">
        <f t="shared" si="4"/>
        <v>0</v>
      </c>
    </row>
    <row r="112" spans="4:21" x14ac:dyDescent="0.25">
      <c r="D112" t="str" cm="1">
        <f t="array" ref="D112">IFERROR(VLOOKUP(A112,'Chemical compounds'!A110:O404,{2,3,4,5,6,7,8,9},0),"")</f>
        <v/>
      </c>
      <c r="T112">
        <f t="shared" si="3"/>
        <v>0</v>
      </c>
      <c r="U112">
        <f t="shared" si="4"/>
        <v>0</v>
      </c>
    </row>
    <row r="113" spans="4:21" x14ac:dyDescent="0.25">
      <c r="D113" t="str" cm="1">
        <f t="array" ref="D113">IFERROR(VLOOKUP(A113,'Chemical compounds'!A111:O405,{2,3,4,5,6,7,8,9},0),"")</f>
        <v/>
      </c>
      <c r="T113">
        <f t="shared" si="3"/>
        <v>0</v>
      </c>
      <c r="U113">
        <f t="shared" si="4"/>
        <v>0</v>
      </c>
    </row>
    <row r="114" spans="4:21" x14ac:dyDescent="0.25">
      <c r="D114" t="str" cm="1">
        <f t="array" ref="D114">IFERROR(VLOOKUP(A114,'Chemical compounds'!A112:O406,{2,3,4,5,6,7,8,9},0),"")</f>
        <v/>
      </c>
      <c r="T114">
        <f t="shared" si="3"/>
        <v>0</v>
      </c>
      <c r="U114">
        <f t="shared" si="4"/>
        <v>0</v>
      </c>
    </row>
    <row r="115" spans="4:21" x14ac:dyDescent="0.25">
      <c r="D115" t="str" cm="1">
        <f t="array" ref="D115">IFERROR(VLOOKUP(A115,'Chemical compounds'!A113:O407,{2,3,4,5,6,7,8,9},0),"")</f>
        <v/>
      </c>
      <c r="T115">
        <f t="shared" si="3"/>
        <v>0</v>
      </c>
      <c r="U115">
        <f t="shared" si="4"/>
        <v>0</v>
      </c>
    </row>
    <row r="116" spans="4:21" x14ac:dyDescent="0.25">
      <c r="D116" t="str" cm="1">
        <f t="array" ref="D116">IFERROR(VLOOKUP(A116,'Chemical compounds'!A114:O408,{2,3,4,5,6,7,8,9},0),"")</f>
        <v/>
      </c>
      <c r="T116">
        <f t="shared" si="3"/>
        <v>0</v>
      </c>
      <c r="U116">
        <f t="shared" si="4"/>
        <v>0</v>
      </c>
    </row>
    <row r="117" spans="4:21" x14ac:dyDescent="0.25">
      <c r="D117" t="str" cm="1">
        <f t="array" ref="D117">IFERROR(VLOOKUP(A117,'Chemical compounds'!A115:O409,{2,3,4,5,6,7,8,9},0),"")</f>
        <v/>
      </c>
      <c r="T117">
        <f t="shared" si="3"/>
        <v>0</v>
      </c>
      <c r="U117">
        <f t="shared" si="4"/>
        <v>0</v>
      </c>
    </row>
    <row r="118" spans="4:21" x14ac:dyDescent="0.25">
      <c r="D118" t="str" cm="1">
        <f t="array" ref="D118">IFERROR(VLOOKUP(A118,'Chemical compounds'!A116:O410,{2,3,4,5,6,7,8,9},0),"")</f>
        <v/>
      </c>
      <c r="T118">
        <f t="shared" si="3"/>
        <v>0</v>
      </c>
      <c r="U118">
        <f t="shared" si="4"/>
        <v>0</v>
      </c>
    </row>
    <row r="119" spans="4:21" x14ac:dyDescent="0.25">
      <c r="D119" t="str" cm="1">
        <f t="array" ref="D119">IFERROR(VLOOKUP(A119,'Chemical compounds'!A117:O411,{2,3,4,5,6,7,8,9},0),"")</f>
        <v/>
      </c>
      <c r="T119">
        <f t="shared" si="3"/>
        <v>0</v>
      </c>
      <c r="U119">
        <f t="shared" si="4"/>
        <v>0</v>
      </c>
    </row>
    <row r="120" spans="4:21" x14ac:dyDescent="0.25">
      <c r="D120" t="str" cm="1">
        <f t="array" ref="D120">IFERROR(VLOOKUP(A120,'Chemical compounds'!A118:O412,{2,3,4,5,6,7,8,9},0),"")</f>
        <v/>
      </c>
      <c r="T120">
        <f t="shared" si="3"/>
        <v>0</v>
      </c>
      <c r="U120">
        <f t="shared" si="4"/>
        <v>0</v>
      </c>
    </row>
    <row r="121" spans="4:21" x14ac:dyDescent="0.25">
      <c r="D121" t="str" cm="1">
        <f t="array" ref="D121">IFERROR(VLOOKUP(A121,'Chemical compounds'!A119:O413,{2,3,4,5,6,7,8,9},0),"")</f>
        <v/>
      </c>
      <c r="T121">
        <f t="shared" si="3"/>
        <v>0</v>
      </c>
      <c r="U121">
        <f t="shared" si="4"/>
        <v>0</v>
      </c>
    </row>
    <row r="122" spans="4:21" x14ac:dyDescent="0.25">
      <c r="D122" t="str" cm="1">
        <f t="array" ref="D122">IFERROR(VLOOKUP(A122,'Chemical compounds'!A120:O414,{2,3,4,5,6,7,8,9},0),"")</f>
        <v/>
      </c>
      <c r="T122">
        <f t="shared" si="3"/>
        <v>0</v>
      </c>
      <c r="U122">
        <f t="shared" si="4"/>
        <v>0</v>
      </c>
    </row>
    <row r="123" spans="4:21" x14ac:dyDescent="0.25">
      <c r="D123" t="str" cm="1">
        <f t="array" ref="D123">IFERROR(VLOOKUP(A123,'Chemical compounds'!A121:O415,{2,3,4,5,6,7,8,9},0),"")</f>
        <v/>
      </c>
      <c r="T123">
        <f t="shared" si="3"/>
        <v>0</v>
      </c>
      <c r="U123">
        <f t="shared" si="4"/>
        <v>0</v>
      </c>
    </row>
    <row r="124" spans="4:21" x14ac:dyDescent="0.25">
      <c r="D124" t="str" cm="1">
        <f t="array" ref="D124">IFERROR(VLOOKUP(A124,'Chemical compounds'!A122:O416,{2,3,4,5,6,7,8,9},0),"")</f>
        <v/>
      </c>
      <c r="T124">
        <f t="shared" si="3"/>
        <v>0</v>
      </c>
      <c r="U124">
        <f t="shared" si="4"/>
        <v>0</v>
      </c>
    </row>
    <row r="125" spans="4:21" x14ac:dyDescent="0.25">
      <c r="D125" t="str" cm="1">
        <f t="array" ref="D125">IFERROR(VLOOKUP(A125,'Chemical compounds'!A123:O417,{2,3,4,5,6,7,8,9},0),"")</f>
        <v/>
      </c>
      <c r="T125">
        <f t="shared" si="3"/>
        <v>0</v>
      </c>
      <c r="U125">
        <f t="shared" si="4"/>
        <v>0</v>
      </c>
    </row>
    <row r="126" spans="4:21" x14ac:dyDescent="0.25">
      <c r="D126" t="str" cm="1">
        <f t="array" ref="D126">IFERROR(VLOOKUP(A126,'Chemical compounds'!A124:O418,{2,3,4,5,6,7,8,9},0),"")</f>
        <v/>
      </c>
      <c r="T126">
        <f t="shared" si="3"/>
        <v>0</v>
      </c>
      <c r="U126">
        <f t="shared" si="4"/>
        <v>0</v>
      </c>
    </row>
    <row r="127" spans="4:21" x14ac:dyDescent="0.25">
      <c r="D127" t="str" cm="1">
        <f t="array" ref="D127">IFERROR(VLOOKUP(A127,'Chemical compounds'!A125:O419,{2,3,4,5,6,7,8,9},0),"")</f>
        <v/>
      </c>
      <c r="T127">
        <f t="shared" si="3"/>
        <v>0</v>
      </c>
      <c r="U127">
        <f t="shared" si="4"/>
        <v>0</v>
      </c>
    </row>
    <row r="128" spans="4:21" x14ac:dyDescent="0.25">
      <c r="D128" t="str" cm="1">
        <f t="array" ref="D128">IFERROR(VLOOKUP(A128,'Chemical compounds'!A126:O420,{2,3,4,5,6,7,8,9},0),"")</f>
        <v/>
      </c>
      <c r="T128">
        <f t="shared" si="3"/>
        <v>0</v>
      </c>
      <c r="U128">
        <f t="shared" si="4"/>
        <v>0</v>
      </c>
    </row>
    <row r="129" spans="4:21" x14ac:dyDescent="0.25">
      <c r="D129" t="str" cm="1">
        <f t="array" ref="D129">IFERROR(VLOOKUP(A129,'Chemical compounds'!A127:O421,{2,3,4,5,6,7,8,9},0),"")</f>
        <v/>
      </c>
      <c r="T129">
        <f t="shared" si="3"/>
        <v>0</v>
      </c>
      <c r="U129">
        <f t="shared" si="4"/>
        <v>0</v>
      </c>
    </row>
    <row r="130" spans="4:21" x14ac:dyDescent="0.25">
      <c r="D130" t="str" cm="1">
        <f t="array" ref="D130">IFERROR(VLOOKUP(A130,'Chemical compounds'!A128:O422,{2,3,4,5,6,7,8,9},0),"")</f>
        <v/>
      </c>
      <c r="T130">
        <f t="shared" si="3"/>
        <v>0</v>
      </c>
      <c r="U130">
        <f t="shared" si="4"/>
        <v>0</v>
      </c>
    </row>
    <row r="131" spans="4:21" x14ac:dyDescent="0.25">
      <c r="D131" t="str" cm="1">
        <f t="array" ref="D131">IFERROR(VLOOKUP(A131,'Chemical compounds'!A129:O423,{2,3,4,5,6,7,8,9},0),"")</f>
        <v/>
      </c>
      <c r="T131">
        <f t="shared" ref="T131:T194" si="5">IF(G131=0,F131*Q131*R131,G131*Q131*R131)/1000</f>
        <v>0</v>
      </c>
      <c r="U131">
        <f t="shared" ref="U131:U194" si="6">IF(K131=0,J131*Q131*R131,K131*Q131*R131)/1000</f>
        <v>0</v>
      </c>
    </row>
    <row r="132" spans="4:21" x14ac:dyDescent="0.25">
      <c r="D132" t="str" cm="1">
        <f t="array" ref="D132">IFERROR(VLOOKUP(A132,'Chemical compounds'!A130:O424,{2,3,4,5,6,7,8,9},0),"")</f>
        <v/>
      </c>
      <c r="T132">
        <f t="shared" si="5"/>
        <v>0</v>
      </c>
      <c r="U132">
        <f t="shared" si="6"/>
        <v>0</v>
      </c>
    </row>
    <row r="133" spans="4:21" x14ac:dyDescent="0.25">
      <c r="D133" t="str" cm="1">
        <f t="array" ref="D133">IFERROR(VLOOKUP(A133,'Chemical compounds'!A131:O425,{2,3,4,5,6,7,8,9},0),"")</f>
        <v/>
      </c>
      <c r="T133">
        <f t="shared" si="5"/>
        <v>0</v>
      </c>
      <c r="U133">
        <f t="shared" si="6"/>
        <v>0</v>
      </c>
    </row>
    <row r="134" spans="4:21" x14ac:dyDescent="0.25">
      <c r="D134" t="str" cm="1">
        <f t="array" ref="D134">IFERROR(VLOOKUP(A134,'Chemical compounds'!A132:O426,{2,3,4,5,6,7,8,9},0),"")</f>
        <v/>
      </c>
      <c r="T134">
        <f t="shared" si="5"/>
        <v>0</v>
      </c>
      <c r="U134">
        <f t="shared" si="6"/>
        <v>0</v>
      </c>
    </row>
    <row r="135" spans="4:21" x14ac:dyDescent="0.25">
      <c r="D135" t="str" cm="1">
        <f t="array" ref="D135">IFERROR(VLOOKUP(A135,'Chemical compounds'!A133:O427,{2,3,4,5,6,7,8,9},0),"")</f>
        <v/>
      </c>
      <c r="T135">
        <f t="shared" si="5"/>
        <v>0</v>
      </c>
      <c r="U135">
        <f t="shared" si="6"/>
        <v>0</v>
      </c>
    </row>
    <row r="136" spans="4:21" x14ac:dyDescent="0.25">
      <c r="D136" t="str" cm="1">
        <f t="array" ref="D136">IFERROR(VLOOKUP(A136,'Chemical compounds'!A134:O428,{2,3,4,5,6,7,8,9},0),"")</f>
        <v/>
      </c>
      <c r="T136">
        <f t="shared" si="5"/>
        <v>0</v>
      </c>
      <c r="U136">
        <f t="shared" si="6"/>
        <v>0</v>
      </c>
    </row>
    <row r="137" spans="4:21" x14ac:dyDescent="0.25">
      <c r="D137" t="str" cm="1">
        <f t="array" ref="D137">IFERROR(VLOOKUP(A137,'Chemical compounds'!A135:O429,{2,3,4,5,6,7,8,9},0),"")</f>
        <v/>
      </c>
      <c r="T137">
        <f t="shared" si="5"/>
        <v>0</v>
      </c>
      <c r="U137">
        <f t="shared" si="6"/>
        <v>0</v>
      </c>
    </row>
    <row r="138" spans="4:21" x14ac:dyDescent="0.25">
      <c r="D138" t="str" cm="1">
        <f t="array" ref="D138">IFERROR(VLOOKUP(A138,'Chemical compounds'!A136:O430,{2,3,4,5,6,7,8,9},0),"")</f>
        <v/>
      </c>
      <c r="T138">
        <f t="shared" si="5"/>
        <v>0</v>
      </c>
      <c r="U138">
        <f t="shared" si="6"/>
        <v>0</v>
      </c>
    </row>
    <row r="139" spans="4:21" x14ac:dyDescent="0.25">
      <c r="D139" t="str" cm="1">
        <f t="array" ref="D139">IFERROR(VLOOKUP(A139,'Chemical compounds'!A137:O431,{2,3,4,5,6,7,8,9},0),"")</f>
        <v/>
      </c>
      <c r="T139">
        <f t="shared" si="5"/>
        <v>0</v>
      </c>
      <c r="U139">
        <f t="shared" si="6"/>
        <v>0</v>
      </c>
    </row>
    <row r="140" spans="4:21" x14ac:dyDescent="0.25">
      <c r="D140" t="str" cm="1">
        <f t="array" ref="D140">IFERROR(VLOOKUP(A140,'Chemical compounds'!A138:O432,{2,3,4,5,6,7,8,9},0),"")</f>
        <v/>
      </c>
      <c r="T140">
        <f t="shared" si="5"/>
        <v>0</v>
      </c>
      <c r="U140">
        <f t="shared" si="6"/>
        <v>0</v>
      </c>
    </row>
    <row r="141" spans="4:21" x14ac:dyDescent="0.25">
      <c r="D141" t="str" cm="1">
        <f t="array" ref="D141">IFERROR(VLOOKUP(A141,'Chemical compounds'!A139:O433,{2,3,4,5,6,7,8,9},0),"")</f>
        <v/>
      </c>
      <c r="T141">
        <f t="shared" si="5"/>
        <v>0</v>
      </c>
      <c r="U141">
        <f t="shared" si="6"/>
        <v>0</v>
      </c>
    </row>
    <row r="142" spans="4:21" x14ac:dyDescent="0.25">
      <c r="D142" t="str" cm="1">
        <f t="array" ref="D142">IFERROR(VLOOKUP(A142,'Chemical compounds'!A140:O434,{2,3,4,5,6,7,8,9},0),"")</f>
        <v/>
      </c>
      <c r="T142">
        <f t="shared" si="5"/>
        <v>0</v>
      </c>
      <c r="U142">
        <f t="shared" si="6"/>
        <v>0</v>
      </c>
    </row>
    <row r="143" spans="4:21" x14ac:dyDescent="0.25">
      <c r="D143" t="str" cm="1">
        <f t="array" ref="D143">IFERROR(VLOOKUP(A143,'Chemical compounds'!A141:O435,{2,3,4,5,6,7,8,9},0),"")</f>
        <v/>
      </c>
      <c r="T143">
        <f t="shared" si="5"/>
        <v>0</v>
      </c>
      <c r="U143">
        <f t="shared" si="6"/>
        <v>0</v>
      </c>
    </row>
    <row r="144" spans="4:21" x14ac:dyDescent="0.25">
      <c r="D144" t="str" cm="1">
        <f t="array" ref="D144">IFERROR(VLOOKUP(A144,'Chemical compounds'!A142:O436,{2,3,4,5,6,7,8,9},0),"")</f>
        <v/>
      </c>
      <c r="T144">
        <f t="shared" si="5"/>
        <v>0</v>
      </c>
      <c r="U144">
        <f t="shared" si="6"/>
        <v>0</v>
      </c>
    </row>
    <row r="145" spans="4:21" x14ac:dyDescent="0.25">
      <c r="D145" t="str" cm="1">
        <f t="array" ref="D145">IFERROR(VLOOKUP(A145,'Chemical compounds'!A143:O437,{2,3,4,5,6,7,8,9},0),"")</f>
        <v/>
      </c>
      <c r="T145">
        <f t="shared" si="5"/>
        <v>0</v>
      </c>
      <c r="U145">
        <f t="shared" si="6"/>
        <v>0</v>
      </c>
    </row>
    <row r="146" spans="4:21" x14ac:dyDescent="0.25">
      <c r="D146" t="str" cm="1">
        <f t="array" ref="D146">IFERROR(VLOOKUP(A146,'Chemical compounds'!A144:O438,{2,3,4,5,6,7,8,9},0),"")</f>
        <v/>
      </c>
      <c r="T146">
        <f t="shared" si="5"/>
        <v>0</v>
      </c>
      <c r="U146">
        <f t="shared" si="6"/>
        <v>0</v>
      </c>
    </row>
    <row r="147" spans="4:21" x14ac:dyDescent="0.25">
      <c r="D147" t="str" cm="1">
        <f t="array" ref="D147">IFERROR(VLOOKUP(A147,'Chemical compounds'!A145:O439,{2,3,4,5,6,7,8,9},0),"")</f>
        <v/>
      </c>
      <c r="T147">
        <f t="shared" si="5"/>
        <v>0</v>
      </c>
      <c r="U147">
        <f t="shared" si="6"/>
        <v>0</v>
      </c>
    </row>
    <row r="148" spans="4:21" x14ac:dyDescent="0.25">
      <c r="D148" t="str" cm="1">
        <f t="array" ref="D148">IFERROR(VLOOKUP(A148,'Chemical compounds'!A146:O440,{2,3,4,5,6,7,8,9},0),"")</f>
        <v/>
      </c>
      <c r="T148">
        <f t="shared" si="5"/>
        <v>0</v>
      </c>
      <c r="U148">
        <f t="shared" si="6"/>
        <v>0</v>
      </c>
    </row>
    <row r="149" spans="4:21" x14ac:dyDescent="0.25">
      <c r="D149" t="str" cm="1">
        <f t="array" ref="D149">IFERROR(VLOOKUP(A149,'Chemical compounds'!A147:O441,{2,3,4,5,6,7,8,9},0),"")</f>
        <v/>
      </c>
      <c r="T149">
        <f t="shared" si="5"/>
        <v>0</v>
      </c>
      <c r="U149">
        <f t="shared" si="6"/>
        <v>0</v>
      </c>
    </row>
    <row r="150" spans="4:21" x14ac:dyDescent="0.25">
      <c r="D150" t="str" cm="1">
        <f t="array" ref="D150">IFERROR(VLOOKUP(A150,'Chemical compounds'!A148:O442,{2,3,4,5,6,7,8,9},0),"")</f>
        <v/>
      </c>
      <c r="T150">
        <f t="shared" si="5"/>
        <v>0</v>
      </c>
      <c r="U150">
        <f t="shared" si="6"/>
        <v>0</v>
      </c>
    </row>
    <row r="151" spans="4:21" x14ac:dyDescent="0.25">
      <c r="D151" t="str" cm="1">
        <f t="array" ref="D151">IFERROR(VLOOKUP(A151,'Chemical compounds'!A149:O443,{2,3,4,5,6,7,8,9},0),"")</f>
        <v/>
      </c>
      <c r="T151">
        <f t="shared" si="5"/>
        <v>0</v>
      </c>
      <c r="U151">
        <f t="shared" si="6"/>
        <v>0</v>
      </c>
    </row>
    <row r="152" spans="4:21" x14ac:dyDescent="0.25">
      <c r="D152" t="str" cm="1">
        <f t="array" ref="D152">IFERROR(VLOOKUP(A152,'Chemical compounds'!A150:O444,{2,3,4,5,6,7,8,9},0),"")</f>
        <v/>
      </c>
      <c r="T152">
        <f t="shared" si="5"/>
        <v>0</v>
      </c>
      <c r="U152">
        <f t="shared" si="6"/>
        <v>0</v>
      </c>
    </row>
    <row r="153" spans="4:21" x14ac:dyDescent="0.25">
      <c r="D153" t="str" cm="1">
        <f t="array" ref="D153">IFERROR(VLOOKUP(A153,'Chemical compounds'!A151:O445,{2,3,4,5,6,7,8,9},0),"")</f>
        <v/>
      </c>
      <c r="T153">
        <f t="shared" si="5"/>
        <v>0</v>
      </c>
      <c r="U153">
        <f t="shared" si="6"/>
        <v>0</v>
      </c>
    </row>
    <row r="154" spans="4:21" x14ac:dyDescent="0.25">
      <c r="D154" t="str" cm="1">
        <f t="array" ref="D154">IFERROR(VLOOKUP(A154,'Chemical compounds'!A152:O446,{2,3,4,5,6,7,8,9},0),"")</f>
        <v/>
      </c>
      <c r="T154">
        <f t="shared" si="5"/>
        <v>0</v>
      </c>
      <c r="U154">
        <f t="shared" si="6"/>
        <v>0</v>
      </c>
    </row>
    <row r="155" spans="4:21" x14ac:dyDescent="0.25">
      <c r="D155" t="str" cm="1">
        <f t="array" ref="D155">IFERROR(VLOOKUP(A155,'Chemical compounds'!A153:O447,{2,3,4,5,6,7,8,9},0),"")</f>
        <v/>
      </c>
      <c r="T155">
        <f t="shared" si="5"/>
        <v>0</v>
      </c>
      <c r="U155">
        <f t="shared" si="6"/>
        <v>0</v>
      </c>
    </row>
    <row r="156" spans="4:21" x14ac:dyDescent="0.25">
      <c r="D156" t="str" cm="1">
        <f t="array" ref="D156">IFERROR(VLOOKUP(A156,'Chemical compounds'!A154:O448,{2,3,4,5,6,7,8,9},0),"")</f>
        <v/>
      </c>
      <c r="T156">
        <f t="shared" si="5"/>
        <v>0</v>
      </c>
      <c r="U156">
        <f t="shared" si="6"/>
        <v>0</v>
      </c>
    </row>
    <row r="157" spans="4:21" x14ac:dyDescent="0.25">
      <c r="D157" t="str" cm="1">
        <f t="array" ref="D157">IFERROR(VLOOKUP(A157,'Chemical compounds'!A155:O449,{2,3,4,5,6,7,8,9},0),"")</f>
        <v/>
      </c>
      <c r="T157">
        <f t="shared" si="5"/>
        <v>0</v>
      </c>
      <c r="U157">
        <f t="shared" si="6"/>
        <v>0</v>
      </c>
    </row>
    <row r="158" spans="4:21" x14ac:dyDescent="0.25">
      <c r="D158" t="str" cm="1">
        <f t="array" ref="D158">IFERROR(VLOOKUP(A158,'Chemical compounds'!A156:O450,{2,3,4,5,6,7,8,9},0),"")</f>
        <v/>
      </c>
      <c r="T158">
        <f t="shared" si="5"/>
        <v>0</v>
      </c>
      <c r="U158">
        <f t="shared" si="6"/>
        <v>0</v>
      </c>
    </row>
    <row r="159" spans="4:21" x14ac:dyDescent="0.25">
      <c r="D159" t="str" cm="1">
        <f t="array" ref="D159">IFERROR(VLOOKUP(A159,'Chemical compounds'!A157:O451,{2,3,4,5,6,7,8,9},0),"")</f>
        <v/>
      </c>
      <c r="T159">
        <f t="shared" si="5"/>
        <v>0</v>
      </c>
      <c r="U159">
        <f t="shared" si="6"/>
        <v>0</v>
      </c>
    </row>
    <row r="160" spans="4:21" x14ac:dyDescent="0.25">
      <c r="D160" t="str" cm="1">
        <f t="array" ref="D160">IFERROR(VLOOKUP(A160,'Chemical compounds'!A158:O452,{2,3,4,5,6,7,8,9},0),"")</f>
        <v/>
      </c>
      <c r="T160">
        <f t="shared" si="5"/>
        <v>0</v>
      </c>
      <c r="U160">
        <f t="shared" si="6"/>
        <v>0</v>
      </c>
    </row>
    <row r="161" spans="4:21" x14ac:dyDescent="0.25">
      <c r="D161" t="str" cm="1">
        <f t="array" ref="D161">IFERROR(VLOOKUP(A161,'Chemical compounds'!A159:O453,{2,3,4,5,6,7,8,9},0),"")</f>
        <v/>
      </c>
      <c r="T161">
        <f t="shared" si="5"/>
        <v>0</v>
      </c>
      <c r="U161">
        <f t="shared" si="6"/>
        <v>0</v>
      </c>
    </row>
    <row r="162" spans="4:21" x14ac:dyDescent="0.25">
      <c r="D162" t="str" cm="1">
        <f t="array" ref="D162">IFERROR(VLOOKUP(A162,'Chemical compounds'!A160:O454,{2,3,4,5,6,7,8,9},0),"")</f>
        <v/>
      </c>
      <c r="T162">
        <f t="shared" si="5"/>
        <v>0</v>
      </c>
      <c r="U162">
        <f t="shared" si="6"/>
        <v>0</v>
      </c>
    </row>
    <row r="163" spans="4:21" x14ac:dyDescent="0.25">
      <c r="D163" t="str" cm="1">
        <f t="array" ref="D163">IFERROR(VLOOKUP(A163,'Chemical compounds'!A161:O455,{2,3,4,5,6,7,8,9},0),"")</f>
        <v/>
      </c>
      <c r="T163">
        <f t="shared" si="5"/>
        <v>0</v>
      </c>
      <c r="U163">
        <f t="shared" si="6"/>
        <v>0</v>
      </c>
    </row>
    <row r="164" spans="4:21" x14ac:dyDescent="0.25">
      <c r="D164" t="str" cm="1">
        <f t="array" ref="D164">IFERROR(VLOOKUP(A164,'Chemical compounds'!A162:O456,{2,3,4,5,6,7,8,9},0),"")</f>
        <v/>
      </c>
      <c r="T164">
        <f t="shared" si="5"/>
        <v>0</v>
      </c>
      <c r="U164">
        <f t="shared" si="6"/>
        <v>0</v>
      </c>
    </row>
    <row r="165" spans="4:21" x14ac:dyDescent="0.25">
      <c r="D165" t="str" cm="1">
        <f t="array" ref="D165">IFERROR(VLOOKUP(A165,'Chemical compounds'!A163:O457,{2,3,4,5,6,7,8,9},0),"")</f>
        <v/>
      </c>
      <c r="T165">
        <f t="shared" si="5"/>
        <v>0</v>
      </c>
      <c r="U165">
        <f t="shared" si="6"/>
        <v>0</v>
      </c>
    </row>
    <row r="166" spans="4:21" x14ac:dyDescent="0.25">
      <c r="D166" t="str" cm="1">
        <f t="array" ref="D166">IFERROR(VLOOKUP(A166,'Chemical compounds'!A164:O458,{2,3,4,5,6,7,8,9},0),"")</f>
        <v/>
      </c>
      <c r="T166">
        <f t="shared" si="5"/>
        <v>0</v>
      </c>
      <c r="U166">
        <f t="shared" si="6"/>
        <v>0</v>
      </c>
    </row>
    <row r="167" spans="4:21" x14ac:dyDescent="0.25">
      <c r="D167" t="str" cm="1">
        <f t="array" ref="D167">IFERROR(VLOOKUP(A167,'Chemical compounds'!A165:O459,{2,3,4,5,6,7,8,9},0),"")</f>
        <v/>
      </c>
      <c r="T167">
        <f t="shared" si="5"/>
        <v>0</v>
      </c>
      <c r="U167">
        <f t="shared" si="6"/>
        <v>0</v>
      </c>
    </row>
    <row r="168" spans="4:21" x14ac:dyDescent="0.25">
      <c r="D168" t="str" cm="1">
        <f t="array" ref="D168">IFERROR(VLOOKUP(A168,'Chemical compounds'!A166:O460,{2,3,4,5,6,7,8,9},0),"")</f>
        <v/>
      </c>
      <c r="T168">
        <f t="shared" si="5"/>
        <v>0</v>
      </c>
      <c r="U168">
        <f t="shared" si="6"/>
        <v>0</v>
      </c>
    </row>
    <row r="169" spans="4:21" x14ac:dyDescent="0.25">
      <c r="D169" t="str" cm="1">
        <f t="array" ref="D169">IFERROR(VLOOKUP(A169,'Chemical compounds'!A167:O461,{2,3,4,5,6,7,8,9},0),"")</f>
        <v/>
      </c>
      <c r="T169">
        <f t="shared" si="5"/>
        <v>0</v>
      </c>
      <c r="U169">
        <f t="shared" si="6"/>
        <v>0</v>
      </c>
    </row>
    <row r="170" spans="4:21" x14ac:dyDescent="0.25">
      <c r="D170" t="str" cm="1">
        <f t="array" ref="D170">IFERROR(VLOOKUP(A170,'Chemical compounds'!A168:O462,{2,3,4,5,6,7,8,9},0),"")</f>
        <v/>
      </c>
      <c r="T170">
        <f t="shared" si="5"/>
        <v>0</v>
      </c>
      <c r="U170">
        <f t="shared" si="6"/>
        <v>0</v>
      </c>
    </row>
    <row r="171" spans="4:21" x14ac:dyDescent="0.25">
      <c r="D171" t="str" cm="1">
        <f t="array" ref="D171">IFERROR(VLOOKUP(A171,'Chemical compounds'!A169:O463,{2,3,4,5,6,7,8,9},0),"")</f>
        <v/>
      </c>
      <c r="T171">
        <f t="shared" si="5"/>
        <v>0</v>
      </c>
      <c r="U171">
        <f t="shared" si="6"/>
        <v>0</v>
      </c>
    </row>
    <row r="172" spans="4:21" x14ac:dyDescent="0.25">
      <c r="D172" t="str" cm="1">
        <f t="array" ref="D172">IFERROR(VLOOKUP(A172,'Chemical compounds'!A170:O464,{2,3,4,5,6,7,8,9},0),"")</f>
        <v/>
      </c>
      <c r="T172">
        <f t="shared" si="5"/>
        <v>0</v>
      </c>
      <c r="U172">
        <f t="shared" si="6"/>
        <v>0</v>
      </c>
    </row>
    <row r="173" spans="4:21" x14ac:dyDescent="0.25">
      <c r="D173" t="str" cm="1">
        <f t="array" ref="D173">IFERROR(VLOOKUP(A173,'Chemical compounds'!A171:O465,{2,3,4,5,6,7,8,9},0),"")</f>
        <v/>
      </c>
      <c r="T173">
        <f t="shared" si="5"/>
        <v>0</v>
      </c>
      <c r="U173">
        <f t="shared" si="6"/>
        <v>0</v>
      </c>
    </row>
    <row r="174" spans="4:21" x14ac:dyDescent="0.25">
      <c r="D174" t="str" cm="1">
        <f t="array" ref="D174">IFERROR(VLOOKUP(A174,'Chemical compounds'!A172:O466,{2,3,4,5,6,7,8,9},0),"")</f>
        <v/>
      </c>
      <c r="T174">
        <f t="shared" si="5"/>
        <v>0</v>
      </c>
      <c r="U174">
        <f t="shared" si="6"/>
        <v>0</v>
      </c>
    </row>
    <row r="175" spans="4:21" x14ac:dyDescent="0.25">
      <c r="D175" t="str" cm="1">
        <f t="array" ref="D175">IFERROR(VLOOKUP(A175,'Chemical compounds'!A173:O467,{2,3,4,5,6,7,8,9},0),"")</f>
        <v/>
      </c>
      <c r="T175">
        <f t="shared" si="5"/>
        <v>0</v>
      </c>
      <c r="U175">
        <f t="shared" si="6"/>
        <v>0</v>
      </c>
    </row>
    <row r="176" spans="4:21" x14ac:dyDescent="0.25">
      <c r="D176" t="str" cm="1">
        <f t="array" ref="D176">IFERROR(VLOOKUP(A176,'Chemical compounds'!A174:O468,{2,3,4,5,6,7,8,9},0),"")</f>
        <v/>
      </c>
      <c r="T176">
        <f t="shared" si="5"/>
        <v>0</v>
      </c>
      <c r="U176">
        <f t="shared" si="6"/>
        <v>0</v>
      </c>
    </row>
    <row r="177" spans="4:21" x14ac:dyDescent="0.25">
      <c r="D177" t="str" cm="1">
        <f t="array" ref="D177">IFERROR(VLOOKUP(A177,'Chemical compounds'!A175:O469,{2,3,4,5,6,7,8,9},0),"")</f>
        <v/>
      </c>
      <c r="T177">
        <f t="shared" si="5"/>
        <v>0</v>
      </c>
      <c r="U177">
        <f t="shared" si="6"/>
        <v>0</v>
      </c>
    </row>
    <row r="178" spans="4:21" x14ac:dyDescent="0.25">
      <c r="D178" t="str" cm="1">
        <f t="array" ref="D178">IFERROR(VLOOKUP(A178,'Chemical compounds'!A176:O470,{2,3,4,5,6,7,8,9},0),"")</f>
        <v/>
      </c>
      <c r="T178">
        <f t="shared" si="5"/>
        <v>0</v>
      </c>
      <c r="U178">
        <f t="shared" si="6"/>
        <v>0</v>
      </c>
    </row>
    <row r="179" spans="4:21" x14ac:dyDescent="0.25">
      <c r="D179" t="str" cm="1">
        <f t="array" ref="D179">IFERROR(VLOOKUP(A179,'Chemical compounds'!A177:O471,{2,3,4,5,6,7,8,9},0),"")</f>
        <v/>
      </c>
      <c r="T179">
        <f t="shared" si="5"/>
        <v>0</v>
      </c>
      <c r="U179">
        <f t="shared" si="6"/>
        <v>0</v>
      </c>
    </row>
    <row r="180" spans="4:21" x14ac:dyDescent="0.25">
      <c r="D180" t="str" cm="1">
        <f t="array" ref="D180">IFERROR(VLOOKUP(A180,'Chemical compounds'!A178:O472,{2,3,4,5,6,7,8,9},0),"")</f>
        <v/>
      </c>
      <c r="T180">
        <f t="shared" si="5"/>
        <v>0</v>
      </c>
      <c r="U180">
        <f t="shared" si="6"/>
        <v>0</v>
      </c>
    </row>
    <row r="181" spans="4:21" x14ac:dyDescent="0.25">
      <c r="D181" t="str" cm="1">
        <f t="array" ref="D181">IFERROR(VLOOKUP(A181,'Chemical compounds'!A179:O473,{2,3,4,5,6,7,8,9},0),"")</f>
        <v/>
      </c>
      <c r="T181">
        <f t="shared" si="5"/>
        <v>0</v>
      </c>
      <c r="U181">
        <f t="shared" si="6"/>
        <v>0</v>
      </c>
    </row>
    <row r="182" spans="4:21" x14ac:dyDescent="0.25">
      <c r="D182" t="str" cm="1">
        <f t="array" ref="D182">IFERROR(VLOOKUP(A182,'Chemical compounds'!A180:O474,{2,3,4,5,6,7,8,9},0),"")</f>
        <v/>
      </c>
      <c r="T182">
        <f t="shared" si="5"/>
        <v>0</v>
      </c>
      <c r="U182">
        <f t="shared" si="6"/>
        <v>0</v>
      </c>
    </row>
    <row r="183" spans="4:21" x14ac:dyDescent="0.25">
      <c r="D183" t="str" cm="1">
        <f t="array" ref="D183">IFERROR(VLOOKUP(A183,'Chemical compounds'!A181:O475,{2,3,4,5,6,7,8,9},0),"")</f>
        <v/>
      </c>
      <c r="T183">
        <f t="shared" si="5"/>
        <v>0</v>
      </c>
      <c r="U183">
        <f t="shared" si="6"/>
        <v>0</v>
      </c>
    </row>
    <row r="184" spans="4:21" x14ac:dyDescent="0.25">
      <c r="D184" t="str" cm="1">
        <f t="array" ref="D184">IFERROR(VLOOKUP(A184,'Chemical compounds'!A182:O476,{2,3,4,5,6,7,8,9},0),"")</f>
        <v/>
      </c>
      <c r="T184">
        <f t="shared" si="5"/>
        <v>0</v>
      </c>
      <c r="U184">
        <f t="shared" si="6"/>
        <v>0</v>
      </c>
    </row>
    <row r="185" spans="4:21" x14ac:dyDescent="0.25">
      <c r="D185" t="str" cm="1">
        <f t="array" ref="D185">IFERROR(VLOOKUP(A185,'Chemical compounds'!A183:O477,{2,3,4,5,6,7,8,9},0),"")</f>
        <v/>
      </c>
      <c r="T185">
        <f t="shared" si="5"/>
        <v>0</v>
      </c>
      <c r="U185">
        <f t="shared" si="6"/>
        <v>0</v>
      </c>
    </row>
    <row r="186" spans="4:21" x14ac:dyDescent="0.25">
      <c r="D186" t="str" cm="1">
        <f t="array" ref="D186">IFERROR(VLOOKUP(A186,'Chemical compounds'!A184:O478,{2,3,4,5,6,7,8,9},0),"")</f>
        <v/>
      </c>
      <c r="T186">
        <f t="shared" si="5"/>
        <v>0</v>
      </c>
      <c r="U186">
        <f t="shared" si="6"/>
        <v>0</v>
      </c>
    </row>
    <row r="187" spans="4:21" x14ac:dyDescent="0.25">
      <c r="D187" t="str" cm="1">
        <f t="array" ref="D187">IFERROR(VLOOKUP(A187,'Chemical compounds'!A185:O479,{2,3,4,5,6,7,8,9},0),"")</f>
        <v/>
      </c>
      <c r="T187">
        <f t="shared" si="5"/>
        <v>0</v>
      </c>
      <c r="U187">
        <f t="shared" si="6"/>
        <v>0</v>
      </c>
    </row>
    <row r="188" spans="4:21" x14ac:dyDescent="0.25">
      <c r="D188" t="str" cm="1">
        <f t="array" ref="D188">IFERROR(VLOOKUP(A188,'Chemical compounds'!A186:O480,{2,3,4,5,6,7,8,9},0),"")</f>
        <v/>
      </c>
      <c r="T188">
        <f t="shared" si="5"/>
        <v>0</v>
      </c>
      <c r="U188">
        <f t="shared" si="6"/>
        <v>0</v>
      </c>
    </row>
    <row r="189" spans="4:21" x14ac:dyDescent="0.25">
      <c r="D189" t="str" cm="1">
        <f t="array" ref="D189">IFERROR(VLOOKUP(A189,'Chemical compounds'!A187:O481,{2,3,4,5,6,7,8,9},0),"")</f>
        <v/>
      </c>
      <c r="T189">
        <f t="shared" si="5"/>
        <v>0</v>
      </c>
      <c r="U189">
        <f t="shared" si="6"/>
        <v>0</v>
      </c>
    </row>
    <row r="190" spans="4:21" x14ac:dyDescent="0.25">
      <c r="D190" t="str" cm="1">
        <f t="array" ref="D190">IFERROR(VLOOKUP(A190,'Chemical compounds'!A188:O482,{2,3,4,5,6,7,8,9},0),"")</f>
        <v/>
      </c>
      <c r="T190">
        <f t="shared" si="5"/>
        <v>0</v>
      </c>
      <c r="U190">
        <f t="shared" si="6"/>
        <v>0</v>
      </c>
    </row>
    <row r="191" spans="4:21" x14ac:dyDescent="0.25">
      <c r="D191" t="str" cm="1">
        <f t="array" ref="D191">IFERROR(VLOOKUP(A191,'Chemical compounds'!A189:O483,{2,3,4,5,6,7,8,9},0),"")</f>
        <v/>
      </c>
      <c r="T191">
        <f t="shared" si="5"/>
        <v>0</v>
      </c>
      <c r="U191">
        <f t="shared" si="6"/>
        <v>0</v>
      </c>
    </row>
    <row r="192" spans="4:21" x14ac:dyDescent="0.25">
      <c r="D192" t="str" cm="1">
        <f t="array" ref="D192">IFERROR(VLOOKUP(A192,'Chemical compounds'!A190:O484,{2,3,4,5,6,7,8,9},0),"")</f>
        <v/>
      </c>
      <c r="T192">
        <f t="shared" si="5"/>
        <v>0</v>
      </c>
      <c r="U192">
        <f t="shared" si="6"/>
        <v>0</v>
      </c>
    </row>
    <row r="193" spans="4:21" x14ac:dyDescent="0.25">
      <c r="D193" t="str" cm="1">
        <f t="array" ref="D193">IFERROR(VLOOKUP(A193,'Chemical compounds'!A191:O485,{2,3,4,5,6,7,8,9},0),"")</f>
        <v/>
      </c>
      <c r="T193">
        <f t="shared" si="5"/>
        <v>0</v>
      </c>
      <c r="U193">
        <f t="shared" si="6"/>
        <v>0</v>
      </c>
    </row>
    <row r="194" spans="4:21" x14ac:dyDescent="0.25">
      <c r="D194" t="str" cm="1">
        <f t="array" ref="D194">IFERROR(VLOOKUP(A194,'Chemical compounds'!A192:O486,{2,3,4,5,6,7,8,9},0),"")</f>
        <v/>
      </c>
      <c r="T194">
        <f t="shared" si="5"/>
        <v>0</v>
      </c>
      <c r="U194">
        <f t="shared" si="6"/>
        <v>0</v>
      </c>
    </row>
    <row r="195" spans="4:21" x14ac:dyDescent="0.25">
      <c r="D195" t="str" cm="1">
        <f t="array" ref="D195">IFERROR(VLOOKUP(A195,'Chemical compounds'!A193:O487,{2,3,4,5,6,7,8,9},0),"")</f>
        <v/>
      </c>
      <c r="T195">
        <f t="shared" ref="T195:T258" si="7">IF(G195=0,F195*Q195*R195,G195*Q195*R195)/1000</f>
        <v>0</v>
      </c>
      <c r="U195">
        <f t="shared" ref="U195:U258" si="8">IF(K195=0,J195*Q195*R195,K195*Q195*R195)/1000</f>
        <v>0</v>
      </c>
    </row>
    <row r="196" spans="4:21" x14ac:dyDescent="0.25">
      <c r="D196" t="str" cm="1">
        <f t="array" ref="D196">IFERROR(VLOOKUP(A196,'Chemical compounds'!A194:O488,{2,3,4,5,6,7,8,9},0),"")</f>
        <v/>
      </c>
      <c r="T196">
        <f t="shared" si="7"/>
        <v>0</v>
      </c>
      <c r="U196">
        <f t="shared" si="8"/>
        <v>0</v>
      </c>
    </row>
    <row r="197" spans="4:21" x14ac:dyDescent="0.25">
      <c r="D197" t="str" cm="1">
        <f t="array" ref="D197">IFERROR(VLOOKUP(A197,'Chemical compounds'!A195:O489,{2,3,4,5,6,7,8,9},0),"")</f>
        <v/>
      </c>
      <c r="T197">
        <f t="shared" si="7"/>
        <v>0</v>
      </c>
      <c r="U197">
        <f t="shared" si="8"/>
        <v>0</v>
      </c>
    </row>
    <row r="198" spans="4:21" x14ac:dyDescent="0.25">
      <c r="D198" t="str" cm="1">
        <f t="array" ref="D198">IFERROR(VLOOKUP(A198,'Chemical compounds'!A196:O490,{2,3,4,5,6,7,8,9},0),"")</f>
        <v/>
      </c>
      <c r="T198">
        <f t="shared" si="7"/>
        <v>0</v>
      </c>
      <c r="U198">
        <f t="shared" si="8"/>
        <v>0</v>
      </c>
    </row>
    <row r="199" spans="4:21" x14ac:dyDescent="0.25">
      <c r="D199" t="str" cm="1">
        <f t="array" ref="D199">IFERROR(VLOOKUP(A199,'Chemical compounds'!A197:O491,{2,3,4,5,6,7,8,9},0),"")</f>
        <v/>
      </c>
      <c r="T199">
        <f t="shared" si="7"/>
        <v>0</v>
      </c>
      <c r="U199">
        <f t="shared" si="8"/>
        <v>0</v>
      </c>
    </row>
    <row r="200" spans="4:21" x14ac:dyDescent="0.25">
      <c r="D200" t="str" cm="1">
        <f t="array" ref="D200">IFERROR(VLOOKUP(A200,'Chemical compounds'!A198:O492,{2,3,4,5,6,7,8,9},0),"")</f>
        <v/>
      </c>
      <c r="T200">
        <f t="shared" si="7"/>
        <v>0</v>
      </c>
      <c r="U200">
        <f t="shared" si="8"/>
        <v>0</v>
      </c>
    </row>
    <row r="201" spans="4:21" x14ac:dyDescent="0.25">
      <c r="D201" t="str" cm="1">
        <f t="array" ref="D201">IFERROR(VLOOKUP(A201,'Chemical compounds'!A199:O493,{2,3,4,5,6,7,8,9},0),"")</f>
        <v/>
      </c>
      <c r="T201">
        <f t="shared" si="7"/>
        <v>0</v>
      </c>
      <c r="U201">
        <f t="shared" si="8"/>
        <v>0</v>
      </c>
    </row>
    <row r="202" spans="4:21" x14ac:dyDescent="0.25">
      <c r="D202" t="str" cm="1">
        <f t="array" ref="D202">IFERROR(VLOOKUP(A202,'Chemical compounds'!A200:O494,{2,3,4,5,6,7,8,9},0),"")</f>
        <v/>
      </c>
      <c r="T202">
        <f t="shared" si="7"/>
        <v>0</v>
      </c>
      <c r="U202">
        <f t="shared" si="8"/>
        <v>0</v>
      </c>
    </row>
    <row r="203" spans="4:21" x14ac:dyDescent="0.25">
      <c r="D203" t="str" cm="1">
        <f t="array" ref="D203">IFERROR(VLOOKUP(A203,'Chemical compounds'!A201:O495,{2,3,4,5,6,7,8,9},0),"")</f>
        <v/>
      </c>
      <c r="T203">
        <f t="shared" si="7"/>
        <v>0</v>
      </c>
      <c r="U203">
        <f t="shared" si="8"/>
        <v>0</v>
      </c>
    </row>
    <row r="204" spans="4:21" x14ac:dyDescent="0.25">
      <c r="D204" t="str" cm="1">
        <f t="array" ref="D204">IFERROR(VLOOKUP(A204,'Chemical compounds'!A202:O496,{2,3,4,5,6,7,8,9},0),"")</f>
        <v/>
      </c>
      <c r="T204">
        <f t="shared" si="7"/>
        <v>0</v>
      </c>
      <c r="U204">
        <f t="shared" si="8"/>
        <v>0</v>
      </c>
    </row>
    <row r="205" spans="4:21" x14ac:dyDescent="0.25">
      <c r="D205" t="str" cm="1">
        <f t="array" ref="D205">IFERROR(VLOOKUP(A205,'Chemical compounds'!A203:O497,{2,3,4,5,6,7,8,9},0),"")</f>
        <v/>
      </c>
      <c r="T205">
        <f t="shared" si="7"/>
        <v>0</v>
      </c>
      <c r="U205">
        <f t="shared" si="8"/>
        <v>0</v>
      </c>
    </row>
    <row r="206" spans="4:21" x14ac:dyDescent="0.25">
      <c r="D206" t="str" cm="1">
        <f t="array" ref="D206">IFERROR(VLOOKUP(A206,'Chemical compounds'!A204:O498,{2,3,4,5,6,7,8,9},0),"")</f>
        <v/>
      </c>
      <c r="T206">
        <f t="shared" si="7"/>
        <v>0</v>
      </c>
      <c r="U206">
        <f t="shared" si="8"/>
        <v>0</v>
      </c>
    </row>
    <row r="207" spans="4:21" x14ac:dyDescent="0.25">
      <c r="D207" t="str" cm="1">
        <f t="array" ref="D207">IFERROR(VLOOKUP(A207,'Chemical compounds'!A205:O499,{2,3,4,5,6,7,8,9},0),"")</f>
        <v/>
      </c>
      <c r="T207">
        <f t="shared" si="7"/>
        <v>0</v>
      </c>
      <c r="U207">
        <f t="shared" si="8"/>
        <v>0</v>
      </c>
    </row>
    <row r="208" spans="4:21" x14ac:dyDescent="0.25">
      <c r="D208" t="str" cm="1">
        <f t="array" ref="D208">IFERROR(VLOOKUP(A208,'Chemical compounds'!A206:O500,{2,3,4,5,6,7,8,9},0),"")</f>
        <v/>
      </c>
      <c r="T208">
        <f t="shared" si="7"/>
        <v>0</v>
      </c>
      <c r="U208">
        <f t="shared" si="8"/>
        <v>0</v>
      </c>
    </row>
    <row r="209" spans="4:21" x14ac:dyDescent="0.25">
      <c r="D209" t="str" cm="1">
        <f t="array" ref="D209">IFERROR(VLOOKUP(A209,'Chemical compounds'!A207:O501,{2,3,4,5,6,7,8,9},0),"")</f>
        <v/>
      </c>
      <c r="T209">
        <f t="shared" si="7"/>
        <v>0</v>
      </c>
      <c r="U209">
        <f t="shared" si="8"/>
        <v>0</v>
      </c>
    </row>
    <row r="210" spans="4:21" x14ac:dyDescent="0.25">
      <c r="D210" t="str" cm="1">
        <f t="array" ref="D210">IFERROR(VLOOKUP(A210,'Chemical compounds'!A208:O502,{2,3,4,5,6,7,8,9},0),"")</f>
        <v/>
      </c>
      <c r="T210">
        <f t="shared" si="7"/>
        <v>0</v>
      </c>
      <c r="U210">
        <f t="shared" si="8"/>
        <v>0</v>
      </c>
    </row>
    <row r="211" spans="4:21" x14ac:dyDescent="0.25">
      <c r="D211" t="str" cm="1">
        <f t="array" ref="D211">IFERROR(VLOOKUP(A211,'Chemical compounds'!A209:O503,{2,3,4,5,6,7,8,9},0),"")</f>
        <v/>
      </c>
      <c r="T211">
        <f t="shared" si="7"/>
        <v>0</v>
      </c>
      <c r="U211">
        <f t="shared" si="8"/>
        <v>0</v>
      </c>
    </row>
    <row r="212" spans="4:21" x14ac:dyDescent="0.25">
      <c r="D212" t="str" cm="1">
        <f t="array" ref="D212">IFERROR(VLOOKUP(A212,'Chemical compounds'!A210:O504,{2,3,4,5,6,7,8,9},0),"")</f>
        <v/>
      </c>
      <c r="T212">
        <f t="shared" si="7"/>
        <v>0</v>
      </c>
      <c r="U212">
        <f t="shared" si="8"/>
        <v>0</v>
      </c>
    </row>
    <row r="213" spans="4:21" x14ac:dyDescent="0.25">
      <c r="D213" t="str" cm="1">
        <f t="array" ref="D213">IFERROR(VLOOKUP(A213,'Chemical compounds'!A211:O505,{2,3,4,5,6,7,8,9},0),"")</f>
        <v/>
      </c>
      <c r="T213">
        <f t="shared" si="7"/>
        <v>0</v>
      </c>
      <c r="U213">
        <f t="shared" si="8"/>
        <v>0</v>
      </c>
    </row>
    <row r="214" spans="4:21" x14ac:dyDescent="0.25">
      <c r="D214" t="str" cm="1">
        <f t="array" ref="D214">IFERROR(VLOOKUP(A214,'Chemical compounds'!A212:O506,{2,3,4,5,6,7,8,9},0),"")</f>
        <v/>
      </c>
      <c r="T214">
        <f t="shared" si="7"/>
        <v>0</v>
      </c>
      <c r="U214">
        <f t="shared" si="8"/>
        <v>0</v>
      </c>
    </row>
    <row r="215" spans="4:21" x14ac:dyDescent="0.25">
      <c r="D215" t="str" cm="1">
        <f t="array" ref="D215">IFERROR(VLOOKUP(A215,'Chemical compounds'!A213:O507,{2,3,4,5,6,7,8,9},0),"")</f>
        <v/>
      </c>
      <c r="T215">
        <f t="shared" si="7"/>
        <v>0</v>
      </c>
      <c r="U215">
        <f t="shared" si="8"/>
        <v>0</v>
      </c>
    </row>
    <row r="216" spans="4:21" x14ac:dyDescent="0.25">
      <c r="D216" t="str" cm="1">
        <f t="array" ref="D216">IFERROR(VLOOKUP(A216,'Chemical compounds'!A214:O508,{2,3,4,5,6,7,8,9},0),"")</f>
        <v/>
      </c>
      <c r="T216">
        <f t="shared" si="7"/>
        <v>0</v>
      </c>
      <c r="U216">
        <f t="shared" si="8"/>
        <v>0</v>
      </c>
    </row>
    <row r="217" spans="4:21" x14ac:dyDescent="0.25">
      <c r="D217" t="str" cm="1">
        <f t="array" ref="D217">IFERROR(VLOOKUP(A217,'Chemical compounds'!A215:O509,{2,3,4,5,6,7,8,9},0),"")</f>
        <v/>
      </c>
      <c r="T217">
        <f t="shared" si="7"/>
        <v>0</v>
      </c>
      <c r="U217">
        <f t="shared" si="8"/>
        <v>0</v>
      </c>
    </row>
    <row r="218" spans="4:21" x14ac:dyDescent="0.25">
      <c r="D218" t="str" cm="1">
        <f t="array" ref="D218">IFERROR(VLOOKUP(A218,'Chemical compounds'!A216:O510,{2,3,4,5,6,7,8,9},0),"")</f>
        <v/>
      </c>
      <c r="T218">
        <f t="shared" si="7"/>
        <v>0</v>
      </c>
      <c r="U218">
        <f t="shared" si="8"/>
        <v>0</v>
      </c>
    </row>
    <row r="219" spans="4:21" x14ac:dyDescent="0.25">
      <c r="D219" t="str" cm="1">
        <f t="array" ref="D219">IFERROR(VLOOKUP(A219,'Chemical compounds'!A217:O511,{2,3,4,5,6,7,8,9},0),"")</f>
        <v/>
      </c>
      <c r="T219">
        <f t="shared" si="7"/>
        <v>0</v>
      </c>
      <c r="U219">
        <f t="shared" si="8"/>
        <v>0</v>
      </c>
    </row>
    <row r="220" spans="4:21" x14ac:dyDescent="0.25">
      <c r="D220" t="str" cm="1">
        <f t="array" ref="D220">IFERROR(VLOOKUP(A220,'Chemical compounds'!A218:O512,{2,3,4,5,6,7,8,9},0),"")</f>
        <v/>
      </c>
      <c r="T220">
        <f t="shared" si="7"/>
        <v>0</v>
      </c>
      <c r="U220">
        <f t="shared" si="8"/>
        <v>0</v>
      </c>
    </row>
    <row r="221" spans="4:21" x14ac:dyDescent="0.25">
      <c r="D221" t="str" cm="1">
        <f t="array" ref="D221">IFERROR(VLOOKUP(A221,'Chemical compounds'!A219:O513,{2,3,4,5,6,7,8,9},0),"")</f>
        <v/>
      </c>
      <c r="T221">
        <f t="shared" si="7"/>
        <v>0</v>
      </c>
      <c r="U221">
        <f t="shared" si="8"/>
        <v>0</v>
      </c>
    </row>
    <row r="222" spans="4:21" x14ac:dyDescent="0.25">
      <c r="D222" t="str" cm="1">
        <f t="array" ref="D222">IFERROR(VLOOKUP(A222,'Chemical compounds'!A220:O514,{2,3,4,5,6,7,8,9},0),"")</f>
        <v/>
      </c>
      <c r="T222">
        <f t="shared" si="7"/>
        <v>0</v>
      </c>
      <c r="U222">
        <f t="shared" si="8"/>
        <v>0</v>
      </c>
    </row>
    <row r="223" spans="4:21" x14ac:dyDescent="0.25">
      <c r="D223" t="str" cm="1">
        <f t="array" ref="D223">IFERROR(VLOOKUP(A223,'Chemical compounds'!A221:O515,{2,3,4,5,6,7,8,9},0),"")</f>
        <v/>
      </c>
      <c r="T223">
        <f t="shared" si="7"/>
        <v>0</v>
      </c>
      <c r="U223">
        <f t="shared" si="8"/>
        <v>0</v>
      </c>
    </row>
    <row r="224" spans="4:21" x14ac:dyDescent="0.25">
      <c r="D224" t="str" cm="1">
        <f t="array" ref="D224">IFERROR(VLOOKUP(A224,'Chemical compounds'!A222:O516,{2,3,4,5,6,7,8,9},0),"")</f>
        <v/>
      </c>
      <c r="T224">
        <f t="shared" si="7"/>
        <v>0</v>
      </c>
      <c r="U224">
        <f t="shared" si="8"/>
        <v>0</v>
      </c>
    </row>
    <row r="225" spans="4:21" x14ac:dyDescent="0.25">
      <c r="D225" t="str" cm="1">
        <f t="array" ref="D225">IFERROR(VLOOKUP(A225,'Chemical compounds'!A223:O517,{2,3,4,5,6,7,8,9},0),"")</f>
        <v/>
      </c>
      <c r="T225">
        <f t="shared" si="7"/>
        <v>0</v>
      </c>
      <c r="U225">
        <f t="shared" si="8"/>
        <v>0</v>
      </c>
    </row>
    <row r="226" spans="4:21" x14ac:dyDescent="0.25">
      <c r="D226" t="str" cm="1">
        <f t="array" ref="D226">IFERROR(VLOOKUP(A226,'Chemical compounds'!A224:O518,{2,3,4,5,6,7,8,9},0),"")</f>
        <v/>
      </c>
      <c r="T226">
        <f t="shared" si="7"/>
        <v>0</v>
      </c>
      <c r="U226">
        <f t="shared" si="8"/>
        <v>0</v>
      </c>
    </row>
    <row r="227" spans="4:21" x14ac:dyDescent="0.25">
      <c r="D227" t="str" cm="1">
        <f t="array" ref="D227">IFERROR(VLOOKUP(A227,'Chemical compounds'!A225:O519,{2,3,4,5,6,7,8,9},0),"")</f>
        <v/>
      </c>
      <c r="T227">
        <f t="shared" si="7"/>
        <v>0</v>
      </c>
      <c r="U227">
        <f t="shared" si="8"/>
        <v>0</v>
      </c>
    </row>
    <row r="228" spans="4:21" x14ac:dyDescent="0.25">
      <c r="D228" t="str" cm="1">
        <f t="array" ref="D228">IFERROR(VLOOKUP(A228,'Chemical compounds'!A226:O520,{2,3,4,5,6,7,8,9},0),"")</f>
        <v/>
      </c>
      <c r="T228">
        <f t="shared" si="7"/>
        <v>0</v>
      </c>
      <c r="U228">
        <f t="shared" si="8"/>
        <v>0</v>
      </c>
    </row>
    <row r="229" spans="4:21" x14ac:dyDescent="0.25">
      <c r="D229" t="str" cm="1">
        <f t="array" ref="D229">IFERROR(VLOOKUP(A229,'Chemical compounds'!A227:O521,{2,3,4,5,6,7,8,9},0),"")</f>
        <v/>
      </c>
      <c r="T229">
        <f t="shared" si="7"/>
        <v>0</v>
      </c>
      <c r="U229">
        <f t="shared" si="8"/>
        <v>0</v>
      </c>
    </row>
    <row r="230" spans="4:21" x14ac:dyDescent="0.25">
      <c r="D230" t="str" cm="1">
        <f t="array" ref="D230">IFERROR(VLOOKUP(A230,'Chemical compounds'!A228:O522,{2,3,4,5,6,7,8,9},0),"")</f>
        <v/>
      </c>
      <c r="T230">
        <f t="shared" si="7"/>
        <v>0</v>
      </c>
      <c r="U230">
        <f t="shared" si="8"/>
        <v>0</v>
      </c>
    </row>
    <row r="231" spans="4:21" x14ac:dyDescent="0.25">
      <c r="D231" t="str" cm="1">
        <f t="array" ref="D231">IFERROR(VLOOKUP(A231,'Chemical compounds'!A229:O523,{2,3,4,5,6,7,8,9},0),"")</f>
        <v/>
      </c>
      <c r="T231">
        <f t="shared" si="7"/>
        <v>0</v>
      </c>
      <c r="U231">
        <f t="shared" si="8"/>
        <v>0</v>
      </c>
    </row>
    <row r="232" spans="4:21" x14ac:dyDescent="0.25">
      <c r="D232" t="str" cm="1">
        <f t="array" ref="D232">IFERROR(VLOOKUP(A232,'Chemical compounds'!A230:O524,{2,3,4,5,6,7,8,9},0),"")</f>
        <v/>
      </c>
      <c r="T232">
        <f t="shared" si="7"/>
        <v>0</v>
      </c>
      <c r="U232">
        <f t="shared" si="8"/>
        <v>0</v>
      </c>
    </row>
    <row r="233" spans="4:21" x14ac:dyDescent="0.25">
      <c r="D233" t="str" cm="1">
        <f t="array" ref="D233">IFERROR(VLOOKUP(A233,'Chemical compounds'!A231:O525,{2,3,4,5,6,7,8,9},0),"")</f>
        <v/>
      </c>
      <c r="T233">
        <f t="shared" si="7"/>
        <v>0</v>
      </c>
      <c r="U233">
        <f t="shared" si="8"/>
        <v>0</v>
      </c>
    </row>
    <row r="234" spans="4:21" x14ac:dyDescent="0.25">
      <c r="D234" t="str" cm="1">
        <f t="array" ref="D234">IFERROR(VLOOKUP(A234,'Chemical compounds'!A232:O526,{2,3,4,5,6,7,8,9},0),"")</f>
        <v/>
      </c>
      <c r="T234">
        <f t="shared" si="7"/>
        <v>0</v>
      </c>
      <c r="U234">
        <f t="shared" si="8"/>
        <v>0</v>
      </c>
    </row>
    <row r="235" spans="4:21" x14ac:dyDescent="0.25">
      <c r="D235" t="str" cm="1">
        <f t="array" ref="D235">IFERROR(VLOOKUP(A235,'Chemical compounds'!A233:O527,{2,3,4,5,6,7,8,9},0),"")</f>
        <v/>
      </c>
      <c r="T235">
        <f t="shared" si="7"/>
        <v>0</v>
      </c>
      <c r="U235">
        <f t="shared" si="8"/>
        <v>0</v>
      </c>
    </row>
    <row r="236" spans="4:21" x14ac:dyDescent="0.25">
      <c r="D236" t="str" cm="1">
        <f t="array" ref="D236">IFERROR(VLOOKUP(A236,'Chemical compounds'!A234:O528,{2,3,4,5,6,7,8,9},0),"")</f>
        <v/>
      </c>
      <c r="T236">
        <f t="shared" si="7"/>
        <v>0</v>
      </c>
      <c r="U236">
        <f t="shared" si="8"/>
        <v>0</v>
      </c>
    </row>
    <row r="237" spans="4:21" x14ac:dyDescent="0.25">
      <c r="D237" t="str" cm="1">
        <f t="array" ref="D237">IFERROR(VLOOKUP(A237,'Chemical compounds'!A235:O529,{2,3,4,5,6,7,8,9},0),"")</f>
        <v/>
      </c>
      <c r="T237">
        <f t="shared" si="7"/>
        <v>0</v>
      </c>
      <c r="U237">
        <f t="shared" si="8"/>
        <v>0</v>
      </c>
    </row>
    <row r="238" spans="4:21" x14ac:dyDescent="0.25">
      <c r="D238" t="str" cm="1">
        <f t="array" ref="D238">IFERROR(VLOOKUP(A238,'Chemical compounds'!A236:O530,{2,3,4,5,6,7,8,9},0),"")</f>
        <v/>
      </c>
      <c r="T238">
        <f t="shared" si="7"/>
        <v>0</v>
      </c>
      <c r="U238">
        <f t="shared" si="8"/>
        <v>0</v>
      </c>
    </row>
    <row r="239" spans="4:21" x14ac:dyDescent="0.25">
      <c r="D239" t="str" cm="1">
        <f t="array" ref="D239">IFERROR(VLOOKUP(A239,'Chemical compounds'!A237:O531,{2,3,4,5,6,7,8,9},0),"")</f>
        <v/>
      </c>
      <c r="T239">
        <f t="shared" si="7"/>
        <v>0</v>
      </c>
      <c r="U239">
        <f t="shared" si="8"/>
        <v>0</v>
      </c>
    </row>
    <row r="240" spans="4:21" x14ac:dyDescent="0.25">
      <c r="D240" t="str" cm="1">
        <f t="array" ref="D240">IFERROR(VLOOKUP(A240,'Chemical compounds'!A238:O532,{2,3,4,5,6,7,8,9},0),"")</f>
        <v/>
      </c>
      <c r="T240">
        <f t="shared" si="7"/>
        <v>0</v>
      </c>
      <c r="U240">
        <f t="shared" si="8"/>
        <v>0</v>
      </c>
    </row>
    <row r="241" spans="4:21" x14ac:dyDescent="0.25">
      <c r="D241" t="str" cm="1">
        <f t="array" ref="D241">IFERROR(VLOOKUP(A241,'Chemical compounds'!A239:O533,{2,3,4,5,6,7,8,9},0),"")</f>
        <v/>
      </c>
      <c r="T241">
        <f t="shared" si="7"/>
        <v>0</v>
      </c>
      <c r="U241">
        <f t="shared" si="8"/>
        <v>0</v>
      </c>
    </row>
    <row r="242" spans="4:21" x14ac:dyDescent="0.25">
      <c r="D242" t="str" cm="1">
        <f t="array" ref="D242">IFERROR(VLOOKUP(A242,'Chemical compounds'!A240:O534,{2,3,4,5,6,7,8,9},0),"")</f>
        <v/>
      </c>
      <c r="T242">
        <f t="shared" si="7"/>
        <v>0</v>
      </c>
      <c r="U242">
        <f t="shared" si="8"/>
        <v>0</v>
      </c>
    </row>
    <row r="243" spans="4:21" x14ac:dyDescent="0.25">
      <c r="D243" t="str" cm="1">
        <f t="array" ref="D243">IFERROR(VLOOKUP(A243,'Chemical compounds'!A241:O535,{2,3,4,5,6,7,8,9},0),"")</f>
        <v/>
      </c>
      <c r="T243">
        <f t="shared" si="7"/>
        <v>0</v>
      </c>
      <c r="U243">
        <f t="shared" si="8"/>
        <v>0</v>
      </c>
    </row>
    <row r="244" spans="4:21" x14ac:dyDescent="0.25">
      <c r="D244" t="str" cm="1">
        <f t="array" ref="D244">IFERROR(VLOOKUP(A244,'Chemical compounds'!A242:O536,{2,3,4,5,6,7,8,9},0),"")</f>
        <v/>
      </c>
      <c r="T244">
        <f t="shared" si="7"/>
        <v>0</v>
      </c>
      <c r="U244">
        <f t="shared" si="8"/>
        <v>0</v>
      </c>
    </row>
    <row r="245" spans="4:21" x14ac:dyDescent="0.25">
      <c r="D245" t="str" cm="1">
        <f t="array" ref="D245">IFERROR(VLOOKUP(A245,'Chemical compounds'!A243:O537,{2,3,4,5,6,7,8,9},0),"")</f>
        <v/>
      </c>
      <c r="T245">
        <f t="shared" si="7"/>
        <v>0</v>
      </c>
      <c r="U245">
        <f t="shared" si="8"/>
        <v>0</v>
      </c>
    </row>
    <row r="246" spans="4:21" x14ac:dyDescent="0.25">
      <c r="D246" t="str" cm="1">
        <f t="array" ref="D246">IFERROR(VLOOKUP(A246,'Chemical compounds'!A244:O538,{2,3,4,5,6,7,8,9},0),"")</f>
        <v/>
      </c>
      <c r="T246">
        <f t="shared" si="7"/>
        <v>0</v>
      </c>
      <c r="U246">
        <f t="shared" si="8"/>
        <v>0</v>
      </c>
    </row>
    <row r="247" spans="4:21" x14ac:dyDescent="0.25">
      <c r="D247" t="str" cm="1">
        <f t="array" ref="D247">IFERROR(VLOOKUP(A247,'Chemical compounds'!A245:O539,{2,3,4,5,6,7,8,9},0),"")</f>
        <v/>
      </c>
      <c r="T247">
        <f t="shared" si="7"/>
        <v>0</v>
      </c>
      <c r="U247">
        <f t="shared" si="8"/>
        <v>0</v>
      </c>
    </row>
    <row r="248" spans="4:21" x14ac:dyDescent="0.25">
      <c r="D248" t="str" cm="1">
        <f t="array" ref="D248">IFERROR(VLOOKUP(A248,'Chemical compounds'!A246:O540,{2,3,4,5,6,7,8,9},0),"")</f>
        <v/>
      </c>
      <c r="T248">
        <f t="shared" si="7"/>
        <v>0</v>
      </c>
      <c r="U248">
        <f t="shared" si="8"/>
        <v>0</v>
      </c>
    </row>
    <row r="249" spans="4:21" x14ac:dyDescent="0.25">
      <c r="D249" t="str" cm="1">
        <f t="array" ref="D249">IFERROR(VLOOKUP(A249,'Chemical compounds'!A247:O541,{2,3,4,5,6,7,8,9},0),"")</f>
        <v/>
      </c>
      <c r="T249">
        <f t="shared" si="7"/>
        <v>0</v>
      </c>
      <c r="U249">
        <f t="shared" si="8"/>
        <v>0</v>
      </c>
    </row>
    <row r="250" spans="4:21" x14ac:dyDescent="0.25">
      <c r="D250" t="str" cm="1">
        <f t="array" ref="D250">IFERROR(VLOOKUP(A250,'Chemical compounds'!A248:O542,{2,3,4,5,6,7,8,9},0),"")</f>
        <v/>
      </c>
      <c r="T250">
        <f t="shared" si="7"/>
        <v>0</v>
      </c>
      <c r="U250">
        <f t="shared" si="8"/>
        <v>0</v>
      </c>
    </row>
    <row r="251" spans="4:21" x14ac:dyDescent="0.25">
      <c r="D251" t="str" cm="1">
        <f t="array" ref="D251">IFERROR(VLOOKUP(A251,'Chemical compounds'!A249:O543,{2,3,4,5,6,7,8,9},0),"")</f>
        <v/>
      </c>
      <c r="T251">
        <f t="shared" si="7"/>
        <v>0</v>
      </c>
      <c r="U251">
        <f t="shared" si="8"/>
        <v>0</v>
      </c>
    </row>
    <row r="252" spans="4:21" x14ac:dyDescent="0.25">
      <c r="D252" t="str" cm="1">
        <f t="array" ref="D252">IFERROR(VLOOKUP(A252,'Chemical compounds'!A250:O544,{2,3,4,5,6,7,8,9},0),"")</f>
        <v/>
      </c>
      <c r="T252">
        <f t="shared" si="7"/>
        <v>0</v>
      </c>
      <c r="U252">
        <f t="shared" si="8"/>
        <v>0</v>
      </c>
    </row>
    <row r="253" spans="4:21" x14ac:dyDescent="0.25">
      <c r="D253" t="str" cm="1">
        <f t="array" ref="D253">IFERROR(VLOOKUP(A253,'Chemical compounds'!A251:O545,{2,3,4,5,6,7,8,9},0),"")</f>
        <v/>
      </c>
      <c r="T253">
        <f t="shared" si="7"/>
        <v>0</v>
      </c>
      <c r="U253">
        <f t="shared" si="8"/>
        <v>0</v>
      </c>
    </row>
    <row r="254" spans="4:21" x14ac:dyDescent="0.25">
      <c r="D254" t="str" cm="1">
        <f t="array" ref="D254">IFERROR(VLOOKUP(A254,'Chemical compounds'!A252:O546,{2,3,4,5,6,7,8,9},0),"")</f>
        <v/>
      </c>
      <c r="T254">
        <f t="shared" si="7"/>
        <v>0</v>
      </c>
      <c r="U254">
        <f t="shared" si="8"/>
        <v>0</v>
      </c>
    </row>
    <row r="255" spans="4:21" x14ac:dyDescent="0.25">
      <c r="D255" t="str" cm="1">
        <f t="array" ref="D255">IFERROR(VLOOKUP(A255,'Chemical compounds'!A253:O547,{2,3,4,5,6,7,8,9},0),"")</f>
        <v/>
      </c>
      <c r="T255">
        <f t="shared" si="7"/>
        <v>0</v>
      </c>
      <c r="U255">
        <f t="shared" si="8"/>
        <v>0</v>
      </c>
    </row>
    <row r="256" spans="4:21" x14ac:dyDescent="0.25">
      <c r="D256" t="str" cm="1">
        <f t="array" ref="D256">IFERROR(VLOOKUP(A256,'Chemical compounds'!A254:O548,{2,3,4,5,6,7,8,9},0),"")</f>
        <v/>
      </c>
      <c r="T256">
        <f t="shared" si="7"/>
        <v>0</v>
      </c>
      <c r="U256">
        <f t="shared" si="8"/>
        <v>0</v>
      </c>
    </row>
    <row r="257" spans="4:21" x14ac:dyDescent="0.25">
      <c r="D257" t="str" cm="1">
        <f t="array" ref="D257">IFERROR(VLOOKUP(A257,'Chemical compounds'!A255:O549,{2,3,4,5,6,7,8,9},0),"")</f>
        <v/>
      </c>
      <c r="T257">
        <f t="shared" si="7"/>
        <v>0</v>
      </c>
      <c r="U257">
        <f t="shared" si="8"/>
        <v>0</v>
      </c>
    </row>
    <row r="258" spans="4:21" x14ac:dyDescent="0.25">
      <c r="D258" t="str" cm="1">
        <f t="array" ref="D258">IFERROR(VLOOKUP(A258,'Chemical compounds'!A256:O550,{2,3,4,5,6,7,8,9},0),"")</f>
        <v/>
      </c>
      <c r="T258">
        <f t="shared" si="7"/>
        <v>0</v>
      </c>
      <c r="U258">
        <f t="shared" si="8"/>
        <v>0</v>
      </c>
    </row>
    <row r="259" spans="4:21" x14ac:dyDescent="0.25">
      <c r="D259" t="str" cm="1">
        <f t="array" ref="D259">IFERROR(VLOOKUP(A259,'Chemical compounds'!A257:O551,{2,3,4,5,6,7,8,9},0),"")</f>
        <v/>
      </c>
      <c r="T259">
        <f t="shared" ref="T259:T320" si="9">IF(G259=0,F259*Q259*R259,G259*Q259*R259)/1000</f>
        <v>0</v>
      </c>
      <c r="U259">
        <f t="shared" ref="U259:U320" si="10">IF(K259=0,J259*Q259*R259,K259*Q259*R259)/1000</f>
        <v>0</v>
      </c>
    </row>
    <row r="260" spans="4:21" x14ac:dyDescent="0.25">
      <c r="D260" t="str" cm="1">
        <f t="array" ref="D260">IFERROR(VLOOKUP(A260,'Chemical compounds'!A258:O552,{2,3,4,5,6,7,8,9},0),"")</f>
        <v/>
      </c>
      <c r="T260">
        <f t="shared" si="9"/>
        <v>0</v>
      </c>
      <c r="U260">
        <f t="shared" si="10"/>
        <v>0</v>
      </c>
    </row>
    <row r="261" spans="4:21" x14ac:dyDescent="0.25">
      <c r="D261" t="str" cm="1">
        <f t="array" ref="D261">IFERROR(VLOOKUP(A261,'Chemical compounds'!A259:O553,{2,3,4,5,6,7,8,9},0),"")</f>
        <v/>
      </c>
      <c r="T261">
        <f t="shared" si="9"/>
        <v>0</v>
      </c>
      <c r="U261">
        <f t="shared" si="10"/>
        <v>0</v>
      </c>
    </row>
    <row r="262" spans="4:21" x14ac:dyDescent="0.25">
      <c r="D262" t="str" cm="1">
        <f t="array" ref="D262">IFERROR(VLOOKUP(A262,'Chemical compounds'!A260:O554,{2,3,4,5,6,7,8,9},0),"")</f>
        <v/>
      </c>
      <c r="T262">
        <f t="shared" si="9"/>
        <v>0</v>
      </c>
      <c r="U262">
        <f t="shared" si="10"/>
        <v>0</v>
      </c>
    </row>
    <row r="263" spans="4:21" x14ac:dyDescent="0.25">
      <c r="D263" t="str" cm="1">
        <f t="array" ref="D263">IFERROR(VLOOKUP(A263,'Chemical compounds'!A261:O555,{2,3,4,5,6,7,8,9},0),"")</f>
        <v/>
      </c>
      <c r="T263">
        <f t="shared" si="9"/>
        <v>0</v>
      </c>
      <c r="U263">
        <f t="shared" si="10"/>
        <v>0</v>
      </c>
    </row>
    <row r="264" spans="4:21" x14ac:dyDescent="0.25">
      <c r="D264" t="str" cm="1">
        <f t="array" ref="D264">IFERROR(VLOOKUP(A264,'Chemical compounds'!A262:O556,{2,3,4,5,6,7,8,9},0),"")</f>
        <v/>
      </c>
      <c r="T264">
        <f t="shared" si="9"/>
        <v>0</v>
      </c>
      <c r="U264">
        <f t="shared" si="10"/>
        <v>0</v>
      </c>
    </row>
    <row r="265" spans="4:21" x14ac:dyDescent="0.25">
      <c r="D265" t="str" cm="1">
        <f t="array" ref="D265">IFERROR(VLOOKUP(A265,'Chemical compounds'!A263:O557,{2,3,4,5,6,7,8,9},0),"")</f>
        <v/>
      </c>
      <c r="T265">
        <f t="shared" si="9"/>
        <v>0</v>
      </c>
      <c r="U265">
        <f t="shared" si="10"/>
        <v>0</v>
      </c>
    </row>
    <row r="266" spans="4:21" x14ac:dyDescent="0.25">
      <c r="D266" t="str" cm="1">
        <f t="array" ref="D266">IFERROR(VLOOKUP(A266,'Chemical compounds'!A264:O558,{2,3,4,5,6,7,8,9},0),"")</f>
        <v/>
      </c>
      <c r="T266">
        <f t="shared" si="9"/>
        <v>0</v>
      </c>
      <c r="U266">
        <f t="shared" si="10"/>
        <v>0</v>
      </c>
    </row>
    <row r="267" spans="4:21" x14ac:dyDescent="0.25">
      <c r="D267" t="str" cm="1">
        <f t="array" ref="D267">IFERROR(VLOOKUP(A267,'Chemical compounds'!A265:O559,{2,3,4,5,6,7,8,9},0),"")</f>
        <v/>
      </c>
      <c r="T267">
        <f t="shared" si="9"/>
        <v>0</v>
      </c>
      <c r="U267">
        <f t="shared" si="10"/>
        <v>0</v>
      </c>
    </row>
    <row r="268" spans="4:21" x14ac:dyDescent="0.25">
      <c r="D268" t="str" cm="1">
        <f t="array" ref="D268">IFERROR(VLOOKUP(A268,'Chemical compounds'!A266:O560,{2,3,4,5,6,7,8,9},0),"")</f>
        <v/>
      </c>
      <c r="T268">
        <f t="shared" si="9"/>
        <v>0</v>
      </c>
      <c r="U268">
        <f t="shared" si="10"/>
        <v>0</v>
      </c>
    </row>
    <row r="269" spans="4:21" x14ac:dyDescent="0.25">
      <c r="D269" t="str" cm="1">
        <f t="array" ref="D269">IFERROR(VLOOKUP(A269,'Chemical compounds'!A267:O561,{2,3,4,5,6,7,8,9},0),"")</f>
        <v/>
      </c>
      <c r="T269">
        <f t="shared" si="9"/>
        <v>0</v>
      </c>
      <c r="U269">
        <f t="shared" si="10"/>
        <v>0</v>
      </c>
    </row>
    <row r="270" spans="4:21" x14ac:dyDescent="0.25">
      <c r="D270" t="str" cm="1">
        <f t="array" ref="D270">IFERROR(VLOOKUP(A270,'Chemical compounds'!A268:O562,{2,3,4,5,6,7,8,9},0),"")</f>
        <v/>
      </c>
      <c r="T270">
        <f t="shared" si="9"/>
        <v>0</v>
      </c>
      <c r="U270">
        <f t="shared" si="10"/>
        <v>0</v>
      </c>
    </row>
    <row r="271" spans="4:21" x14ac:dyDescent="0.25">
      <c r="D271" t="str" cm="1">
        <f t="array" ref="D271">IFERROR(VLOOKUP(A271,'Chemical compounds'!A269:O563,{2,3,4,5,6,7,8,9},0),"")</f>
        <v/>
      </c>
      <c r="T271">
        <f t="shared" si="9"/>
        <v>0</v>
      </c>
      <c r="U271">
        <f t="shared" si="10"/>
        <v>0</v>
      </c>
    </row>
    <row r="272" spans="4:21" x14ac:dyDescent="0.25">
      <c r="D272" t="str" cm="1">
        <f t="array" ref="D272">IFERROR(VLOOKUP(A272,'Chemical compounds'!A270:O564,{2,3,4,5,6,7,8,9},0),"")</f>
        <v/>
      </c>
      <c r="T272">
        <f t="shared" si="9"/>
        <v>0</v>
      </c>
      <c r="U272">
        <f t="shared" si="10"/>
        <v>0</v>
      </c>
    </row>
    <row r="273" spans="4:21" x14ac:dyDescent="0.25">
      <c r="D273" t="str" cm="1">
        <f t="array" ref="D273">IFERROR(VLOOKUP(A273,'Chemical compounds'!A271:O565,{2,3,4,5,6,7,8,9},0),"")</f>
        <v/>
      </c>
      <c r="T273">
        <f t="shared" si="9"/>
        <v>0</v>
      </c>
      <c r="U273">
        <f t="shared" si="10"/>
        <v>0</v>
      </c>
    </row>
    <row r="274" spans="4:21" x14ac:dyDescent="0.25">
      <c r="D274" t="str" cm="1">
        <f t="array" ref="D274">IFERROR(VLOOKUP(A274,'Chemical compounds'!A272:O566,{2,3,4,5,6,7,8,9},0),"")</f>
        <v/>
      </c>
      <c r="T274">
        <f t="shared" si="9"/>
        <v>0</v>
      </c>
      <c r="U274">
        <f t="shared" si="10"/>
        <v>0</v>
      </c>
    </row>
    <row r="275" spans="4:21" x14ac:dyDescent="0.25">
      <c r="D275" t="str" cm="1">
        <f t="array" ref="D275">IFERROR(VLOOKUP(A275,'Chemical compounds'!A273:O567,{2,3,4,5,6,7,8,9},0),"")</f>
        <v/>
      </c>
      <c r="T275">
        <f t="shared" si="9"/>
        <v>0</v>
      </c>
      <c r="U275">
        <f t="shared" si="10"/>
        <v>0</v>
      </c>
    </row>
    <row r="276" spans="4:21" x14ac:dyDescent="0.25">
      <c r="D276" t="str" cm="1">
        <f t="array" ref="D276">IFERROR(VLOOKUP(A276,'Chemical compounds'!A274:O568,{2,3,4,5,6,7,8,9},0),"")</f>
        <v/>
      </c>
      <c r="T276">
        <f t="shared" si="9"/>
        <v>0</v>
      </c>
      <c r="U276">
        <f t="shared" si="10"/>
        <v>0</v>
      </c>
    </row>
    <row r="277" spans="4:21" x14ac:dyDescent="0.25">
      <c r="D277" t="str" cm="1">
        <f t="array" ref="D277">IFERROR(VLOOKUP(A277,'Chemical compounds'!A275:O569,{2,3,4,5,6,7,8,9},0),"")</f>
        <v/>
      </c>
      <c r="T277">
        <f t="shared" si="9"/>
        <v>0</v>
      </c>
      <c r="U277">
        <f t="shared" si="10"/>
        <v>0</v>
      </c>
    </row>
    <row r="278" spans="4:21" x14ac:dyDescent="0.25">
      <c r="D278" t="str" cm="1">
        <f t="array" ref="D278">IFERROR(VLOOKUP(A278,'Chemical compounds'!A276:O570,{2,3,4,5,6,7,8,9},0),"")</f>
        <v/>
      </c>
      <c r="T278">
        <f t="shared" si="9"/>
        <v>0</v>
      </c>
      <c r="U278">
        <f t="shared" si="10"/>
        <v>0</v>
      </c>
    </row>
    <row r="279" spans="4:21" x14ac:dyDescent="0.25">
      <c r="D279" t="str" cm="1">
        <f t="array" ref="D279">IFERROR(VLOOKUP(A279,'Chemical compounds'!A277:O571,{2,3,4,5,6,7,8,9},0),"")</f>
        <v/>
      </c>
      <c r="T279">
        <f t="shared" si="9"/>
        <v>0</v>
      </c>
      <c r="U279">
        <f t="shared" si="10"/>
        <v>0</v>
      </c>
    </row>
    <row r="280" spans="4:21" x14ac:dyDescent="0.25">
      <c r="D280" t="str" cm="1">
        <f t="array" ref="D280">IFERROR(VLOOKUP(A280,'Chemical compounds'!A278:O572,{2,3,4,5,6,7,8,9},0),"")</f>
        <v/>
      </c>
      <c r="T280">
        <f t="shared" si="9"/>
        <v>0</v>
      </c>
      <c r="U280">
        <f t="shared" si="10"/>
        <v>0</v>
      </c>
    </row>
    <row r="281" spans="4:21" x14ac:dyDescent="0.25">
      <c r="D281" t="str" cm="1">
        <f t="array" ref="D281">IFERROR(VLOOKUP(A281,'Chemical compounds'!A279:O573,{2,3,4,5,6,7,8,9},0),"")</f>
        <v/>
      </c>
      <c r="T281">
        <f t="shared" si="9"/>
        <v>0</v>
      </c>
      <c r="U281">
        <f t="shared" si="10"/>
        <v>0</v>
      </c>
    </row>
    <row r="282" spans="4:21" x14ac:dyDescent="0.25">
      <c r="D282" t="str" cm="1">
        <f t="array" ref="D282">IFERROR(VLOOKUP(A282,'Chemical compounds'!A280:O574,{2,3,4,5,6,7,8,9},0),"")</f>
        <v/>
      </c>
      <c r="T282">
        <f t="shared" si="9"/>
        <v>0</v>
      </c>
      <c r="U282">
        <f t="shared" si="10"/>
        <v>0</v>
      </c>
    </row>
    <row r="283" spans="4:21" x14ac:dyDescent="0.25">
      <c r="D283" t="str" cm="1">
        <f t="array" ref="D283">IFERROR(VLOOKUP(A283,'Chemical compounds'!A281:O575,{2,3,4,5,6,7,8,9},0),"")</f>
        <v/>
      </c>
      <c r="T283">
        <f t="shared" si="9"/>
        <v>0</v>
      </c>
      <c r="U283">
        <f t="shared" si="10"/>
        <v>0</v>
      </c>
    </row>
    <row r="284" spans="4:21" x14ac:dyDescent="0.25">
      <c r="D284" t="str" cm="1">
        <f t="array" ref="D284">IFERROR(VLOOKUP(A284,'Chemical compounds'!A282:O576,{2,3,4,5,6,7,8,9},0),"")</f>
        <v/>
      </c>
      <c r="T284">
        <f t="shared" si="9"/>
        <v>0</v>
      </c>
      <c r="U284">
        <f t="shared" si="10"/>
        <v>0</v>
      </c>
    </row>
    <row r="285" spans="4:21" x14ac:dyDescent="0.25">
      <c r="D285" t="str" cm="1">
        <f t="array" ref="D285">IFERROR(VLOOKUP(A285,'Chemical compounds'!A283:O577,{2,3,4,5,6,7,8,9},0),"")</f>
        <v/>
      </c>
      <c r="T285">
        <f t="shared" si="9"/>
        <v>0</v>
      </c>
      <c r="U285">
        <f t="shared" si="10"/>
        <v>0</v>
      </c>
    </row>
    <row r="286" spans="4:21" x14ac:dyDescent="0.25">
      <c r="D286" t="str" cm="1">
        <f t="array" ref="D286">IFERROR(VLOOKUP(A286,'Chemical compounds'!A284:O578,{2,3,4,5,6,7,8,9},0),"")</f>
        <v/>
      </c>
      <c r="T286">
        <f t="shared" si="9"/>
        <v>0</v>
      </c>
      <c r="U286">
        <f t="shared" si="10"/>
        <v>0</v>
      </c>
    </row>
    <row r="287" spans="4:21" x14ac:dyDescent="0.25">
      <c r="D287" t="str" cm="1">
        <f t="array" ref="D287">IFERROR(VLOOKUP(A287,'Chemical compounds'!A285:O579,{2,3,4,5,6,7,8,9},0),"")</f>
        <v/>
      </c>
      <c r="T287">
        <f t="shared" si="9"/>
        <v>0</v>
      </c>
      <c r="U287">
        <f t="shared" si="10"/>
        <v>0</v>
      </c>
    </row>
    <row r="288" spans="4:21" x14ac:dyDescent="0.25">
      <c r="D288" t="str" cm="1">
        <f t="array" ref="D288">IFERROR(VLOOKUP(A288,'Chemical compounds'!A286:O580,{2,3,4,5,6,7,8,9},0),"")</f>
        <v/>
      </c>
      <c r="T288">
        <f t="shared" si="9"/>
        <v>0</v>
      </c>
      <c r="U288">
        <f t="shared" si="10"/>
        <v>0</v>
      </c>
    </row>
    <row r="289" spans="4:21" x14ac:dyDescent="0.25">
      <c r="D289" t="str" cm="1">
        <f t="array" ref="D289">IFERROR(VLOOKUP(A289,'Chemical compounds'!A287:O581,{2,3,4,5,6,7,8,9},0),"")</f>
        <v/>
      </c>
      <c r="T289">
        <f t="shared" si="9"/>
        <v>0</v>
      </c>
      <c r="U289">
        <f t="shared" si="10"/>
        <v>0</v>
      </c>
    </row>
    <row r="290" spans="4:21" x14ac:dyDescent="0.25">
      <c r="D290" t="str" cm="1">
        <f t="array" ref="D290">IFERROR(VLOOKUP(A290,'Chemical compounds'!A288:O582,{2,3,4,5,6,7,8,9},0),"")</f>
        <v/>
      </c>
      <c r="T290">
        <f t="shared" si="9"/>
        <v>0</v>
      </c>
      <c r="U290">
        <f t="shared" si="10"/>
        <v>0</v>
      </c>
    </row>
    <row r="291" spans="4:21" x14ac:dyDescent="0.25">
      <c r="D291" t="str" cm="1">
        <f t="array" ref="D291">IFERROR(VLOOKUP(A291,'Chemical compounds'!A289:O583,{2,3,4,5,6,7,8,9},0),"")</f>
        <v/>
      </c>
      <c r="T291">
        <f t="shared" si="9"/>
        <v>0</v>
      </c>
      <c r="U291">
        <f t="shared" si="10"/>
        <v>0</v>
      </c>
    </row>
    <row r="292" spans="4:21" x14ac:dyDescent="0.25">
      <c r="D292" t="str" cm="1">
        <f t="array" ref="D292">IFERROR(VLOOKUP(A292,'Chemical compounds'!A290:O584,{2,3,4,5,6,7,8,9},0),"")</f>
        <v/>
      </c>
      <c r="T292">
        <f t="shared" si="9"/>
        <v>0</v>
      </c>
      <c r="U292">
        <f t="shared" si="10"/>
        <v>0</v>
      </c>
    </row>
    <row r="293" spans="4:21" x14ac:dyDescent="0.25">
      <c r="D293" t="str" cm="1">
        <f t="array" ref="D293">IFERROR(VLOOKUP(A293,'Chemical compounds'!A291:O585,{2,3,4,5,6,7,8,9},0),"")</f>
        <v/>
      </c>
      <c r="T293">
        <f t="shared" si="9"/>
        <v>0</v>
      </c>
      <c r="U293">
        <f t="shared" si="10"/>
        <v>0</v>
      </c>
    </row>
    <row r="294" spans="4:21" x14ac:dyDescent="0.25">
      <c r="D294" t="str" cm="1">
        <f t="array" ref="D294">IFERROR(VLOOKUP(A294,'Chemical compounds'!A292:O586,{2,3,4,5,6,7,8,9},0),"")</f>
        <v/>
      </c>
      <c r="T294">
        <f t="shared" si="9"/>
        <v>0</v>
      </c>
      <c r="U294">
        <f t="shared" si="10"/>
        <v>0</v>
      </c>
    </row>
    <row r="295" spans="4:21" x14ac:dyDescent="0.25">
      <c r="D295" t="str" cm="1">
        <f t="array" ref="D295">IFERROR(VLOOKUP(A295,'Chemical compounds'!A293:O587,{2,3,4,5,6,7,8,9},0),"")</f>
        <v/>
      </c>
      <c r="T295">
        <f t="shared" si="9"/>
        <v>0</v>
      </c>
      <c r="U295">
        <f t="shared" si="10"/>
        <v>0</v>
      </c>
    </row>
    <row r="296" spans="4:21" x14ac:dyDescent="0.25">
      <c r="D296" t="str" cm="1">
        <f t="array" ref="D296">IFERROR(VLOOKUP(A296,'Chemical compounds'!A294:O588,{2,3,4,5,6,7,8,9},0),"")</f>
        <v/>
      </c>
      <c r="T296">
        <f t="shared" si="9"/>
        <v>0</v>
      </c>
      <c r="U296">
        <f t="shared" si="10"/>
        <v>0</v>
      </c>
    </row>
    <row r="297" spans="4:21" x14ac:dyDescent="0.25">
      <c r="D297" t="str" cm="1">
        <f t="array" ref="D297">IFERROR(VLOOKUP(A297,'Chemical compounds'!A295:O589,{2,3,4,5,6,7,8,9},0),"")</f>
        <v/>
      </c>
      <c r="T297">
        <f t="shared" si="9"/>
        <v>0</v>
      </c>
      <c r="U297">
        <f t="shared" si="10"/>
        <v>0</v>
      </c>
    </row>
    <row r="298" spans="4:21" x14ac:dyDescent="0.25">
      <c r="D298" t="str" cm="1">
        <f t="array" ref="D298">IFERROR(VLOOKUP(A298,'Chemical compounds'!A296:O590,{2,3,4,5,6,7,8,9},0),"")</f>
        <v/>
      </c>
      <c r="T298">
        <f t="shared" si="9"/>
        <v>0</v>
      </c>
      <c r="U298">
        <f t="shared" si="10"/>
        <v>0</v>
      </c>
    </row>
    <row r="299" spans="4:21" x14ac:dyDescent="0.25">
      <c r="D299" t="str" cm="1">
        <f t="array" ref="D299">IFERROR(VLOOKUP(A299,'Chemical compounds'!A297:O591,{2,3,4,5,6,7,8,9},0),"")</f>
        <v/>
      </c>
      <c r="T299">
        <f t="shared" si="9"/>
        <v>0</v>
      </c>
      <c r="U299">
        <f t="shared" si="10"/>
        <v>0</v>
      </c>
    </row>
    <row r="300" spans="4:21" x14ac:dyDescent="0.25">
      <c r="D300" t="str" cm="1">
        <f t="array" ref="D300">IFERROR(VLOOKUP(A300,'Chemical compounds'!A298:O592,{2,3,4,5,6,7,8,9},0),"")</f>
        <v/>
      </c>
      <c r="T300">
        <f t="shared" si="9"/>
        <v>0</v>
      </c>
      <c r="U300">
        <f t="shared" si="10"/>
        <v>0</v>
      </c>
    </row>
    <row r="301" spans="4:21" x14ac:dyDescent="0.25">
      <c r="D301" t="str" cm="1">
        <f t="array" ref="D301">IFERROR(VLOOKUP(A301,'Chemical compounds'!A299:O593,{2,3,4,5,6,7,8,9},0),"")</f>
        <v/>
      </c>
      <c r="T301">
        <f t="shared" si="9"/>
        <v>0</v>
      </c>
      <c r="U301">
        <f t="shared" si="10"/>
        <v>0</v>
      </c>
    </row>
    <row r="302" spans="4:21" x14ac:dyDescent="0.25">
      <c r="D302" t="str" cm="1">
        <f t="array" ref="D302">IFERROR(VLOOKUP(A302,'Chemical compounds'!A300:O594,{2,3,4,5,6,7,8,9},0),"")</f>
        <v/>
      </c>
      <c r="T302">
        <f t="shared" si="9"/>
        <v>0</v>
      </c>
      <c r="U302">
        <f t="shared" si="10"/>
        <v>0</v>
      </c>
    </row>
    <row r="303" spans="4:21" x14ac:dyDescent="0.25">
      <c r="D303" t="str" cm="1">
        <f t="array" ref="D303">IFERROR(VLOOKUP(A303,'Chemical compounds'!A301:O595,{2,3,4,5,6,7,8,9},0),"")</f>
        <v/>
      </c>
      <c r="T303">
        <f t="shared" si="9"/>
        <v>0</v>
      </c>
      <c r="U303">
        <f t="shared" si="10"/>
        <v>0</v>
      </c>
    </row>
    <row r="304" spans="4:21" x14ac:dyDescent="0.25">
      <c r="D304" t="str" cm="1">
        <f t="array" ref="D304">IFERROR(VLOOKUP(A304,'Chemical compounds'!A302:O596,{2,3,4,5,6,7,8,9},0),"")</f>
        <v/>
      </c>
      <c r="T304">
        <f t="shared" si="9"/>
        <v>0</v>
      </c>
      <c r="U304">
        <f t="shared" si="10"/>
        <v>0</v>
      </c>
    </row>
    <row r="305" spans="4:21" x14ac:dyDescent="0.25">
      <c r="D305" t="str" cm="1">
        <f t="array" ref="D305">IFERROR(VLOOKUP(A305,'Chemical compounds'!A303:O597,{2,3,4,5,6,7,8,9},0),"")</f>
        <v/>
      </c>
      <c r="T305">
        <f t="shared" si="9"/>
        <v>0</v>
      </c>
      <c r="U305">
        <f t="shared" si="10"/>
        <v>0</v>
      </c>
    </row>
    <row r="306" spans="4:21" x14ac:dyDescent="0.25">
      <c r="D306" t="str" cm="1">
        <f t="array" ref="D306">IFERROR(VLOOKUP(A306,'Chemical compounds'!A304:O598,{2,3,4,5,6,7,8,9},0),"")</f>
        <v/>
      </c>
      <c r="T306">
        <f t="shared" si="9"/>
        <v>0</v>
      </c>
      <c r="U306">
        <f t="shared" si="10"/>
        <v>0</v>
      </c>
    </row>
    <row r="307" spans="4:21" x14ac:dyDescent="0.25">
      <c r="D307" t="str" cm="1">
        <f t="array" ref="D307">IFERROR(VLOOKUP(A307,'Chemical compounds'!A305:O599,{2,3,4,5,6,7,8,9},0),"")</f>
        <v/>
      </c>
      <c r="T307">
        <f t="shared" si="9"/>
        <v>0</v>
      </c>
      <c r="U307">
        <f t="shared" si="10"/>
        <v>0</v>
      </c>
    </row>
    <row r="308" spans="4:21" x14ac:dyDescent="0.25">
      <c r="D308" t="str" cm="1">
        <f t="array" ref="D308">IFERROR(VLOOKUP(A308,'Chemical compounds'!A306:O600,{2,3,4,5,6,7,8,9},0),"")</f>
        <v/>
      </c>
      <c r="T308">
        <f t="shared" si="9"/>
        <v>0</v>
      </c>
      <c r="U308">
        <f t="shared" si="10"/>
        <v>0</v>
      </c>
    </row>
    <row r="309" spans="4:21" x14ac:dyDescent="0.25">
      <c r="D309" t="str" cm="1">
        <f t="array" ref="D309">IFERROR(VLOOKUP(A309,'Chemical compounds'!A307:O601,{2,3,4,5,6,7,8,9},0),"")</f>
        <v/>
      </c>
      <c r="T309">
        <f t="shared" si="9"/>
        <v>0</v>
      </c>
      <c r="U309">
        <f t="shared" si="10"/>
        <v>0</v>
      </c>
    </row>
    <row r="310" spans="4:21" x14ac:dyDescent="0.25">
      <c r="D310" t="str" cm="1">
        <f t="array" ref="D310">IFERROR(VLOOKUP(A310,'Chemical compounds'!A308:O602,{2,3,4,5,6,7,8,9},0),"")</f>
        <v/>
      </c>
      <c r="T310">
        <f t="shared" si="9"/>
        <v>0</v>
      </c>
      <c r="U310">
        <f t="shared" si="10"/>
        <v>0</v>
      </c>
    </row>
    <row r="311" spans="4:21" x14ac:dyDescent="0.25">
      <c r="D311" t="str" cm="1">
        <f t="array" ref="D311">IFERROR(VLOOKUP(A311,'Chemical compounds'!A309:O603,{2,3,4,5,6,7,8,9},0),"")</f>
        <v/>
      </c>
      <c r="T311">
        <f t="shared" si="9"/>
        <v>0</v>
      </c>
      <c r="U311">
        <f t="shared" si="10"/>
        <v>0</v>
      </c>
    </row>
    <row r="312" spans="4:21" x14ac:dyDescent="0.25">
      <c r="D312" t="str" cm="1">
        <f t="array" ref="D312">IFERROR(VLOOKUP(A312,'Chemical compounds'!A310:O604,{2,3,4,5,6,7,8,9},0),"")</f>
        <v/>
      </c>
      <c r="T312">
        <f t="shared" si="9"/>
        <v>0</v>
      </c>
      <c r="U312">
        <f t="shared" si="10"/>
        <v>0</v>
      </c>
    </row>
    <row r="313" spans="4:21" x14ac:dyDescent="0.25">
      <c r="D313" t="str" cm="1">
        <f t="array" ref="D313">IFERROR(VLOOKUP(A313,'Chemical compounds'!A311:O605,{2,3,4,5,6,7,8,9},0),"")</f>
        <v/>
      </c>
      <c r="T313">
        <f t="shared" si="9"/>
        <v>0</v>
      </c>
      <c r="U313">
        <f t="shared" si="10"/>
        <v>0</v>
      </c>
    </row>
    <row r="314" spans="4:21" x14ac:dyDescent="0.25">
      <c r="D314" t="str" cm="1">
        <f t="array" ref="D314">IFERROR(VLOOKUP(A314,'Chemical compounds'!A312:O606,{2,3,4,5,6,7,8,9},0),"")</f>
        <v/>
      </c>
      <c r="T314">
        <f t="shared" si="9"/>
        <v>0</v>
      </c>
      <c r="U314">
        <f t="shared" si="10"/>
        <v>0</v>
      </c>
    </row>
    <row r="315" spans="4:21" x14ac:dyDescent="0.25">
      <c r="D315" t="str" cm="1">
        <f t="array" ref="D315">IFERROR(VLOOKUP(A315,'Chemical compounds'!A313:O607,{2,3,4,5,6,7,8,9},0),"")</f>
        <v/>
      </c>
      <c r="T315">
        <f t="shared" si="9"/>
        <v>0</v>
      </c>
      <c r="U315">
        <f t="shared" si="10"/>
        <v>0</v>
      </c>
    </row>
    <row r="316" spans="4:21" x14ac:dyDescent="0.25">
      <c r="D316" t="str" cm="1">
        <f t="array" ref="D316">IFERROR(VLOOKUP(A316,'Chemical compounds'!A314:O608,{2,3,4,5,6,7,8,9},0),"")</f>
        <v/>
      </c>
      <c r="T316">
        <f t="shared" si="9"/>
        <v>0</v>
      </c>
      <c r="U316">
        <f t="shared" si="10"/>
        <v>0</v>
      </c>
    </row>
    <row r="317" spans="4:21" x14ac:dyDescent="0.25">
      <c r="D317" t="str" cm="1">
        <f t="array" ref="D317">IFERROR(VLOOKUP(A317,'Chemical compounds'!A315:O609,{2,3,4,5,6,7,8,9},0),"")</f>
        <v/>
      </c>
      <c r="T317">
        <f t="shared" si="9"/>
        <v>0</v>
      </c>
      <c r="U317">
        <f t="shared" si="10"/>
        <v>0</v>
      </c>
    </row>
    <row r="318" spans="4:21" x14ac:dyDescent="0.25">
      <c r="D318" t="str" cm="1">
        <f t="array" ref="D318">IFERROR(VLOOKUP(A318,'Chemical compounds'!A316:O610,{2,3,4,5,6,7,8,9},0),"")</f>
        <v/>
      </c>
      <c r="T318">
        <f t="shared" si="9"/>
        <v>0</v>
      </c>
      <c r="U318">
        <f t="shared" si="10"/>
        <v>0</v>
      </c>
    </row>
    <row r="319" spans="4:21" x14ac:dyDescent="0.25">
      <c r="D319" t="str" cm="1">
        <f t="array" ref="D319">IFERROR(VLOOKUP(A319,'Chemical compounds'!A317:O611,{2,3,4,5,6,7,8,9},0),"")</f>
        <v/>
      </c>
      <c r="T319">
        <f t="shared" si="9"/>
        <v>0</v>
      </c>
      <c r="U319">
        <f t="shared" si="10"/>
        <v>0</v>
      </c>
    </row>
    <row r="320" spans="4:21" x14ac:dyDescent="0.25">
      <c r="D320" t="str" cm="1">
        <f t="array" ref="D320">IFERROR(VLOOKUP(A320,'Chemical compounds'!A318:O612,{2,3,4,5,6,7,8,9},0),"")</f>
        <v/>
      </c>
      <c r="T320">
        <f t="shared" si="9"/>
        <v>0</v>
      </c>
      <c r="U320">
        <f t="shared" si="10"/>
        <v>0</v>
      </c>
    </row>
    <row r="321" spans="4:4" x14ac:dyDescent="0.25">
      <c r="D321" t="str" cm="1">
        <f t="array" ref="D321">IFERROR(VLOOKUP(A321,'Chemical compounds'!A319:O613,{2,3,4,5,6,7,8,9},0),"")</f>
        <v/>
      </c>
    </row>
    <row r="322" spans="4:4" x14ac:dyDescent="0.25">
      <c r="D322" t="str" cm="1">
        <f t="array" ref="D322">IFERROR(VLOOKUP(A322,'Chemical compounds'!A320:O614,{2,3,4,5,6,7,8,9},0),"")</f>
        <v/>
      </c>
    </row>
    <row r="323" spans="4:4" x14ac:dyDescent="0.25">
      <c r="D323" t="str" cm="1">
        <f t="array" ref="D323">IFERROR(VLOOKUP(A323,'Chemical compounds'!A321:O615,{2,3,4,5,6,7,8,9},0),"")</f>
        <v/>
      </c>
    </row>
    <row r="324" spans="4:4" x14ac:dyDescent="0.25">
      <c r="D324" t="str" cm="1">
        <f t="array" ref="D324">IFERROR(VLOOKUP(A324,'Chemical compounds'!A322:O616,{2,3,4,5,6,7,8,9},0),"")</f>
        <v/>
      </c>
    </row>
    <row r="325" spans="4:4" x14ac:dyDescent="0.25">
      <c r="D325" t="str" cm="1">
        <f t="array" ref="D325">IFERROR(VLOOKUP(A325,'Chemical compounds'!A323:O617,{2,3,4,5,6,7,8,9},0),"")</f>
        <v/>
      </c>
    </row>
    <row r="326" spans="4:4" x14ac:dyDescent="0.25">
      <c r="D326" t="str" cm="1">
        <f t="array" ref="D326">IFERROR(VLOOKUP(A326,'Chemical compounds'!A324:O618,{2,3,4,5,6,7,8,9},0),"")</f>
        <v/>
      </c>
    </row>
  </sheetData>
  <conditionalFormatting sqref="A2:B54">
    <cfRule type="expression" dxfId="8" priority="6">
      <formula>AND(A2&lt;&gt;"",T2=0,U2=0,V2=0)</formula>
    </cfRule>
  </conditionalFormatting>
  <conditionalFormatting sqref="C55:C184">
    <cfRule type="expression" dxfId="7" priority="3">
      <formula>AND(C55&lt;&gt;"",U55=0,V55=0,W55=0)</formula>
    </cfRule>
  </conditionalFormatting>
  <conditionalFormatting sqref="P2:P54">
    <cfRule type="expression" dxfId="6" priority="1">
      <formula>AND(A2&lt;&gt;"",P2="")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46DE22-F25F-4CE5-9AAF-ADCB8F62187B}">
          <x14:formula1>
            <xm:f>'Farm Data - Grains'!$B$1:$M$1</xm:f>
          </x14:formula1>
          <xm:sqref>P2:P77</xm:sqref>
        </x14:dataValidation>
        <x14:dataValidation type="list" allowBlank="1" showInputMessage="1" showErrorMessage="1" xr:uid="{B099533A-DFB6-4CEF-A7C1-7AA271D0D316}">
          <x14:formula1>
            <xm:f>'Chemical compounds'!$A$2:$A$294</xm:f>
          </x14:formula1>
          <xm:sqref>D327:D334 C185:C334 A2:A334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9EC1-19E7-4B7C-B321-6E7CE7F12F3E}">
  <dimension ref="A1:H54"/>
  <sheetViews>
    <sheetView showZeros="0" workbookViewId="0">
      <selection activeCell="B2" sqref="B2"/>
    </sheetView>
  </sheetViews>
  <sheetFormatPr defaultRowHeight="15" x14ac:dyDescent="0.25"/>
  <cols>
    <col min="1" max="1" width="44.5703125" bestFit="1" customWidth="1"/>
    <col min="2" max="2" width="44.5703125" customWidth="1"/>
    <col min="3" max="3" width="38.42578125" bestFit="1" customWidth="1"/>
    <col min="4" max="4" width="20.5703125" bestFit="1" customWidth="1"/>
    <col min="5" max="5" width="10.5703125" bestFit="1" customWidth="1"/>
    <col min="6" max="6" width="16.42578125" bestFit="1" customWidth="1"/>
    <col min="7" max="7" width="19.42578125" bestFit="1" customWidth="1"/>
    <col min="8" max="8" width="19.7109375" bestFit="1" customWidth="1"/>
  </cols>
  <sheetData>
    <row r="1" spans="1:8" x14ac:dyDescent="0.25">
      <c r="A1" t="s">
        <v>291</v>
      </c>
      <c r="B1" t="s">
        <v>2</v>
      </c>
      <c r="C1" t="s">
        <v>896</v>
      </c>
      <c r="D1" t="s">
        <v>288</v>
      </c>
      <c r="E1" t="s">
        <v>269</v>
      </c>
      <c r="F1" t="s">
        <v>289</v>
      </c>
      <c r="G1" t="s">
        <v>292</v>
      </c>
      <c r="H1" t="s">
        <v>290</v>
      </c>
    </row>
    <row r="2" spans="1:8" x14ac:dyDescent="0.25">
      <c r="C2" s="30"/>
      <c r="G2">
        <f>E2*F2*C2</f>
        <v>0</v>
      </c>
      <c r="H2">
        <f>E2*F2*(1-C2)</f>
        <v>0</v>
      </c>
    </row>
    <row r="3" spans="1:8" x14ac:dyDescent="0.25">
      <c r="C3" s="30"/>
      <c r="G3">
        <f t="shared" ref="G3:G54" si="0">E3*F3*C3</f>
        <v>0</v>
      </c>
      <c r="H3">
        <f t="shared" ref="H3:H54" si="1">E3*F3*(1-C3)</f>
        <v>0</v>
      </c>
    </row>
    <row r="4" spans="1:8" x14ac:dyDescent="0.25">
      <c r="C4" s="30"/>
      <c r="G4">
        <f t="shared" si="0"/>
        <v>0</v>
      </c>
      <c r="H4">
        <f t="shared" si="1"/>
        <v>0</v>
      </c>
    </row>
    <row r="5" spans="1:8" x14ac:dyDescent="0.25">
      <c r="C5" s="30"/>
      <c r="G5">
        <f t="shared" si="0"/>
        <v>0</v>
      </c>
      <c r="H5">
        <f t="shared" si="1"/>
        <v>0</v>
      </c>
    </row>
    <row r="6" spans="1:8" x14ac:dyDescent="0.25">
      <c r="C6" s="30"/>
      <c r="G6">
        <f t="shared" si="0"/>
        <v>0</v>
      </c>
      <c r="H6">
        <f t="shared" si="1"/>
        <v>0</v>
      </c>
    </row>
    <row r="7" spans="1:8" x14ac:dyDescent="0.25">
      <c r="C7" s="30"/>
      <c r="G7">
        <f t="shared" si="0"/>
        <v>0</v>
      </c>
      <c r="H7">
        <f t="shared" si="1"/>
        <v>0</v>
      </c>
    </row>
    <row r="8" spans="1:8" x14ac:dyDescent="0.25">
      <c r="C8" s="30"/>
      <c r="G8">
        <f t="shared" si="0"/>
        <v>0</v>
      </c>
      <c r="H8">
        <f t="shared" si="1"/>
        <v>0</v>
      </c>
    </row>
    <row r="9" spans="1:8" x14ac:dyDescent="0.25">
      <c r="C9" s="30"/>
      <c r="G9">
        <f t="shared" si="0"/>
        <v>0</v>
      </c>
      <c r="H9">
        <f t="shared" si="1"/>
        <v>0</v>
      </c>
    </row>
    <row r="10" spans="1:8" x14ac:dyDescent="0.25">
      <c r="C10" s="30"/>
      <c r="G10">
        <f t="shared" si="0"/>
        <v>0</v>
      </c>
      <c r="H10">
        <f t="shared" si="1"/>
        <v>0</v>
      </c>
    </row>
    <row r="11" spans="1:8" x14ac:dyDescent="0.25">
      <c r="C11" s="30"/>
      <c r="G11">
        <f t="shared" si="0"/>
        <v>0</v>
      </c>
      <c r="H11">
        <f t="shared" si="1"/>
        <v>0</v>
      </c>
    </row>
    <row r="12" spans="1:8" x14ac:dyDescent="0.25">
      <c r="C12" s="30"/>
      <c r="G12">
        <f t="shared" si="0"/>
        <v>0</v>
      </c>
      <c r="H12">
        <f t="shared" si="1"/>
        <v>0</v>
      </c>
    </row>
    <row r="13" spans="1:8" x14ac:dyDescent="0.25">
      <c r="C13" s="30"/>
      <c r="G13">
        <f t="shared" si="0"/>
        <v>0</v>
      </c>
      <c r="H13">
        <f t="shared" si="1"/>
        <v>0</v>
      </c>
    </row>
    <row r="14" spans="1:8" x14ac:dyDescent="0.25">
      <c r="C14" s="30"/>
      <c r="G14">
        <f t="shared" si="0"/>
        <v>0</v>
      </c>
      <c r="H14">
        <f t="shared" si="1"/>
        <v>0</v>
      </c>
    </row>
    <row r="15" spans="1:8" x14ac:dyDescent="0.25">
      <c r="C15" s="30"/>
      <c r="G15">
        <f t="shared" si="0"/>
        <v>0</v>
      </c>
      <c r="H15">
        <f t="shared" si="1"/>
        <v>0</v>
      </c>
    </row>
    <row r="16" spans="1:8" x14ac:dyDescent="0.25">
      <c r="C16" s="30"/>
      <c r="G16">
        <f t="shared" si="0"/>
        <v>0</v>
      </c>
      <c r="H16">
        <f t="shared" si="1"/>
        <v>0</v>
      </c>
    </row>
    <row r="17" spans="3:8" x14ac:dyDescent="0.25">
      <c r="C17" s="30"/>
      <c r="G17">
        <f t="shared" si="0"/>
        <v>0</v>
      </c>
      <c r="H17">
        <f t="shared" si="1"/>
        <v>0</v>
      </c>
    </row>
    <row r="18" spans="3:8" x14ac:dyDescent="0.25">
      <c r="C18" s="30"/>
      <c r="G18">
        <f t="shared" si="0"/>
        <v>0</v>
      </c>
      <c r="H18">
        <f t="shared" si="1"/>
        <v>0</v>
      </c>
    </row>
    <row r="19" spans="3:8" x14ac:dyDescent="0.25">
      <c r="C19" s="30"/>
      <c r="G19">
        <f t="shared" si="0"/>
        <v>0</v>
      </c>
      <c r="H19">
        <f t="shared" si="1"/>
        <v>0</v>
      </c>
    </row>
    <row r="20" spans="3:8" x14ac:dyDescent="0.25">
      <c r="C20" s="30"/>
      <c r="G20">
        <f t="shared" si="0"/>
        <v>0</v>
      </c>
      <c r="H20">
        <f t="shared" si="1"/>
        <v>0</v>
      </c>
    </row>
    <row r="21" spans="3:8" x14ac:dyDescent="0.25">
      <c r="C21" s="30"/>
      <c r="H21">
        <f t="shared" si="1"/>
        <v>0</v>
      </c>
    </row>
    <row r="22" spans="3:8" x14ac:dyDescent="0.25">
      <c r="C22" s="30"/>
      <c r="G22">
        <f t="shared" si="0"/>
        <v>0</v>
      </c>
      <c r="H22">
        <f t="shared" si="1"/>
        <v>0</v>
      </c>
    </row>
    <row r="23" spans="3:8" x14ac:dyDescent="0.25">
      <c r="C23" s="30"/>
      <c r="G23">
        <f t="shared" si="0"/>
        <v>0</v>
      </c>
      <c r="H23">
        <f t="shared" si="1"/>
        <v>0</v>
      </c>
    </row>
    <row r="24" spans="3:8" x14ac:dyDescent="0.25">
      <c r="C24" s="30"/>
      <c r="G24">
        <f t="shared" si="0"/>
        <v>0</v>
      </c>
      <c r="H24">
        <f t="shared" si="1"/>
        <v>0</v>
      </c>
    </row>
    <row r="25" spans="3:8" x14ac:dyDescent="0.25">
      <c r="C25" s="30"/>
      <c r="G25">
        <f t="shared" si="0"/>
        <v>0</v>
      </c>
      <c r="H25">
        <f t="shared" si="1"/>
        <v>0</v>
      </c>
    </row>
    <row r="26" spans="3:8" x14ac:dyDescent="0.25">
      <c r="C26" s="30"/>
      <c r="G26">
        <f t="shared" si="0"/>
        <v>0</v>
      </c>
      <c r="H26">
        <f t="shared" si="1"/>
        <v>0</v>
      </c>
    </row>
    <row r="27" spans="3:8" x14ac:dyDescent="0.25">
      <c r="C27" s="30"/>
      <c r="G27">
        <f t="shared" si="0"/>
        <v>0</v>
      </c>
      <c r="H27">
        <f t="shared" si="1"/>
        <v>0</v>
      </c>
    </row>
    <row r="28" spans="3:8" x14ac:dyDescent="0.25">
      <c r="C28" s="30"/>
      <c r="G28">
        <f t="shared" si="0"/>
        <v>0</v>
      </c>
      <c r="H28">
        <f t="shared" si="1"/>
        <v>0</v>
      </c>
    </row>
    <row r="29" spans="3:8" x14ac:dyDescent="0.25">
      <c r="C29" s="30"/>
      <c r="G29">
        <f t="shared" si="0"/>
        <v>0</v>
      </c>
      <c r="H29">
        <f t="shared" si="1"/>
        <v>0</v>
      </c>
    </row>
    <row r="30" spans="3:8" x14ac:dyDescent="0.25">
      <c r="C30" s="30"/>
      <c r="G30">
        <f t="shared" si="0"/>
        <v>0</v>
      </c>
      <c r="H30">
        <f t="shared" si="1"/>
        <v>0</v>
      </c>
    </row>
    <row r="31" spans="3:8" x14ac:dyDescent="0.25">
      <c r="C31" s="30"/>
      <c r="G31">
        <f t="shared" si="0"/>
        <v>0</v>
      </c>
      <c r="H31">
        <f t="shared" si="1"/>
        <v>0</v>
      </c>
    </row>
    <row r="32" spans="3:8" x14ac:dyDescent="0.25">
      <c r="C32" s="30"/>
      <c r="G32">
        <f t="shared" si="0"/>
        <v>0</v>
      </c>
      <c r="H32">
        <f t="shared" si="1"/>
        <v>0</v>
      </c>
    </row>
    <row r="33" spans="3:8" x14ac:dyDescent="0.25">
      <c r="C33" s="30"/>
      <c r="G33">
        <f t="shared" si="0"/>
        <v>0</v>
      </c>
      <c r="H33">
        <f t="shared" si="1"/>
        <v>0</v>
      </c>
    </row>
    <row r="34" spans="3:8" x14ac:dyDescent="0.25">
      <c r="C34" s="30"/>
      <c r="G34">
        <f t="shared" si="0"/>
        <v>0</v>
      </c>
      <c r="H34">
        <f t="shared" si="1"/>
        <v>0</v>
      </c>
    </row>
    <row r="35" spans="3:8" x14ac:dyDescent="0.25">
      <c r="C35" s="30"/>
      <c r="G35">
        <f t="shared" si="0"/>
        <v>0</v>
      </c>
      <c r="H35">
        <f t="shared" si="1"/>
        <v>0</v>
      </c>
    </row>
    <row r="36" spans="3:8" x14ac:dyDescent="0.25">
      <c r="C36" s="30"/>
      <c r="G36">
        <f t="shared" si="0"/>
        <v>0</v>
      </c>
      <c r="H36">
        <f t="shared" si="1"/>
        <v>0</v>
      </c>
    </row>
    <row r="37" spans="3:8" x14ac:dyDescent="0.25">
      <c r="C37" s="30"/>
      <c r="G37">
        <f t="shared" si="0"/>
        <v>0</v>
      </c>
      <c r="H37">
        <f t="shared" si="1"/>
        <v>0</v>
      </c>
    </row>
    <row r="38" spans="3:8" x14ac:dyDescent="0.25">
      <c r="C38" s="30"/>
      <c r="G38">
        <f t="shared" si="0"/>
        <v>0</v>
      </c>
      <c r="H38">
        <f t="shared" si="1"/>
        <v>0</v>
      </c>
    </row>
    <row r="39" spans="3:8" x14ac:dyDescent="0.25">
      <c r="C39" s="30"/>
      <c r="G39">
        <f t="shared" si="0"/>
        <v>0</v>
      </c>
      <c r="H39">
        <f t="shared" si="1"/>
        <v>0</v>
      </c>
    </row>
    <row r="40" spans="3:8" x14ac:dyDescent="0.25">
      <c r="C40" s="30"/>
      <c r="G40">
        <f t="shared" si="0"/>
        <v>0</v>
      </c>
      <c r="H40">
        <f t="shared" si="1"/>
        <v>0</v>
      </c>
    </row>
    <row r="41" spans="3:8" x14ac:dyDescent="0.25">
      <c r="C41" s="30"/>
      <c r="G41">
        <f t="shared" si="0"/>
        <v>0</v>
      </c>
      <c r="H41">
        <f t="shared" si="1"/>
        <v>0</v>
      </c>
    </row>
    <row r="42" spans="3:8" x14ac:dyDescent="0.25">
      <c r="C42" s="30"/>
      <c r="G42">
        <f t="shared" si="0"/>
        <v>0</v>
      </c>
      <c r="H42">
        <f t="shared" si="1"/>
        <v>0</v>
      </c>
    </row>
    <row r="43" spans="3:8" x14ac:dyDescent="0.25">
      <c r="C43" s="30"/>
      <c r="G43">
        <f t="shared" si="0"/>
        <v>0</v>
      </c>
      <c r="H43">
        <f t="shared" si="1"/>
        <v>0</v>
      </c>
    </row>
    <row r="44" spans="3:8" x14ac:dyDescent="0.25">
      <c r="C44" s="30"/>
      <c r="G44">
        <f t="shared" si="0"/>
        <v>0</v>
      </c>
      <c r="H44">
        <f t="shared" si="1"/>
        <v>0</v>
      </c>
    </row>
    <row r="45" spans="3:8" x14ac:dyDescent="0.25">
      <c r="C45" s="30"/>
      <c r="G45">
        <f t="shared" si="0"/>
        <v>0</v>
      </c>
      <c r="H45">
        <f t="shared" si="1"/>
        <v>0</v>
      </c>
    </row>
    <row r="46" spans="3:8" x14ac:dyDescent="0.25">
      <c r="C46" s="30"/>
      <c r="G46">
        <f t="shared" si="0"/>
        <v>0</v>
      </c>
      <c r="H46">
        <f t="shared" si="1"/>
        <v>0</v>
      </c>
    </row>
    <row r="47" spans="3:8" x14ac:dyDescent="0.25">
      <c r="C47" s="30"/>
      <c r="G47">
        <f t="shared" si="0"/>
        <v>0</v>
      </c>
      <c r="H47">
        <f t="shared" si="1"/>
        <v>0</v>
      </c>
    </row>
    <row r="48" spans="3:8" x14ac:dyDescent="0.25">
      <c r="C48" s="30"/>
      <c r="G48">
        <f t="shared" si="0"/>
        <v>0</v>
      </c>
      <c r="H48">
        <f t="shared" si="1"/>
        <v>0</v>
      </c>
    </row>
    <row r="49" spans="3:8" x14ac:dyDescent="0.25">
      <c r="C49" s="30"/>
      <c r="G49">
        <f t="shared" si="0"/>
        <v>0</v>
      </c>
      <c r="H49">
        <f t="shared" si="1"/>
        <v>0</v>
      </c>
    </row>
    <row r="50" spans="3:8" x14ac:dyDescent="0.25">
      <c r="C50" s="30"/>
      <c r="G50">
        <f t="shared" si="0"/>
        <v>0</v>
      </c>
      <c r="H50">
        <f t="shared" si="1"/>
        <v>0</v>
      </c>
    </row>
    <row r="51" spans="3:8" x14ac:dyDescent="0.25">
      <c r="C51" s="30"/>
      <c r="G51">
        <f t="shared" si="0"/>
        <v>0</v>
      </c>
      <c r="H51">
        <f t="shared" si="1"/>
        <v>0</v>
      </c>
    </row>
    <row r="52" spans="3:8" x14ac:dyDescent="0.25">
      <c r="C52" s="30"/>
      <c r="G52">
        <f t="shared" si="0"/>
        <v>0</v>
      </c>
      <c r="H52">
        <f t="shared" si="1"/>
        <v>0</v>
      </c>
    </row>
    <row r="53" spans="3:8" x14ac:dyDescent="0.25">
      <c r="C53" s="30"/>
      <c r="G53">
        <f t="shared" si="0"/>
        <v>0</v>
      </c>
      <c r="H53">
        <f t="shared" si="1"/>
        <v>0</v>
      </c>
    </row>
    <row r="54" spans="3:8" x14ac:dyDescent="0.25">
      <c r="C54" s="30"/>
      <c r="G54">
        <f t="shared" si="0"/>
        <v>0</v>
      </c>
      <c r="H54">
        <f t="shared" si="1"/>
        <v>0</v>
      </c>
    </row>
  </sheetData>
  <conditionalFormatting sqref="A2:B54">
    <cfRule type="expression" dxfId="5" priority="1">
      <formula>AND(A2&lt;&gt;"",G2=0,H2=0)</formula>
    </cfRule>
  </conditionalFormatting>
  <dataValidations count="1">
    <dataValidation type="decimal" allowBlank="1" showInputMessage="1" showErrorMessage="1" error="&quot;It's too big&quot; for a percentage. That's what she said._x000a_" sqref="C2:C54" xr:uid="{9A8753FC-A15D-4FF7-8BF9-AC56BBC3655D}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254A2F-EEED-4FFA-943F-808B735E795A}">
          <x14:formula1>
            <xm:f>'General information'!$A$10:$A$21</xm:f>
          </x14:formula1>
          <xm:sqref>D2:D54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9DAB-4D2D-42C3-9895-61C196C87122}">
  <dimension ref="A1:P54"/>
  <sheetViews>
    <sheetView showZeros="0" zoomScaleNormal="100" workbookViewId="0">
      <selection activeCell="K10" sqref="K10"/>
    </sheetView>
  </sheetViews>
  <sheetFormatPr defaultRowHeight="15" x14ac:dyDescent="0.25"/>
  <cols>
    <col min="4" max="4" width="15.140625" bestFit="1" customWidth="1"/>
    <col min="5" max="5" width="11.140625" bestFit="1" customWidth="1"/>
    <col min="6" max="6" width="11.140625" customWidth="1"/>
    <col min="7" max="7" width="10" bestFit="1" customWidth="1"/>
    <col min="8" max="8" width="18" bestFit="1" customWidth="1"/>
    <col min="9" max="9" width="18" customWidth="1"/>
    <col min="10" max="10" width="13.7109375" bestFit="1" customWidth="1"/>
    <col min="11" max="11" width="27.7109375" bestFit="1" customWidth="1"/>
    <col min="12" max="12" width="29.42578125" bestFit="1" customWidth="1"/>
    <col min="13" max="13" width="37.5703125" bestFit="1" customWidth="1"/>
    <col min="14" max="14" width="29.42578125" bestFit="1" customWidth="1"/>
    <col min="15" max="15" width="22.42578125" bestFit="1" customWidth="1"/>
    <col min="16" max="16" width="28.85546875" bestFit="1" customWidth="1"/>
  </cols>
  <sheetData>
    <row r="1" spans="1:16" x14ac:dyDescent="0.25">
      <c r="A1" t="s">
        <v>414</v>
      </c>
      <c r="B1" t="s">
        <v>415</v>
      </c>
      <c r="C1" t="s">
        <v>416</v>
      </c>
      <c r="D1" t="s">
        <v>417</v>
      </c>
      <c r="E1" t="s">
        <v>304</v>
      </c>
      <c r="F1" t="s">
        <v>309</v>
      </c>
      <c r="G1" t="s">
        <v>296</v>
      </c>
      <c r="H1" t="s">
        <v>307</v>
      </c>
      <c r="I1" t="s">
        <v>308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</row>
    <row r="2" spans="1:16" x14ac:dyDescent="0.25">
      <c r="D2" t="s">
        <v>305</v>
      </c>
      <c r="E2" t="s">
        <v>110</v>
      </c>
      <c r="F2" t="s">
        <v>310</v>
      </c>
      <c r="G2">
        <v>15.2</v>
      </c>
      <c r="H2">
        <v>600</v>
      </c>
      <c r="I2">
        <v>1</v>
      </c>
      <c r="J2">
        <f ca="1">IFERROR(H2/OFFSET('General information'!$B$9,MATCH(E2,'General information'!$A$10:$A$21,0),0),0)*I2</f>
        <v>0</v>
      </c>
      <c r="K2">
        <f ca="1">IFERROR(((10000/G2)/1000)*J2,0)</f>
        <v>0</v>
      </c>
      <c r="L2">
        <f ca="1">H2*K2</f>
        <v>0</v>
      </c>
      <c r="M2">
        <v>10</v>
      </c>
      <c r="N2">
        <f ca="1">IFERROR(L2/M2,0)</f>
        <v>0</v>
      </c>
      <c r="O2">
        <f>((1.96/100)*1152)*3.785411784</f>
        <v>85.471569753292798</v>
      </c>
      <c r="P2">
        <f ca="1">O2*N2</f>
        <v>0</v>
      </c>
    </row>
    <row r="3" spans="1:16" x14ac:dyDescent="0.25">
      <c r="D3" t="s">
        <v>306</v>
      </c>
      <c r="E3" t="s">
        <v>110</v>
      </c>
      <c r="G3">
        <v>15.2</v>
      </c>
      <c r="H3">
        <v>600</v>
      </c>
      <c r="I3">
        <v>1</v>
      </c>
      <c r="J3">
        <f ca="1">IFERROR(H3/OFFSET('General information'!$B$9,MATCH(E3,'General information'!$A$10:$A$21,0),0),0)*I3</f>
        <v>0</v>
      </c>
      <c r="K3">
        <f t="shared" ref="K3:K54" ca="1" si="0">IFERROR(((10000/G3)/1000)*J3,0)</f>
        <v>0</v>
      </c>
      <c r="L3">
        <f t="shared" ref="L3:L54" ca="1" si="1">H3*K3</f>
        <v>0</v>
      </c>
      <c r="M3">
        <v>10</v>
      </c>
      <c r="N3">
        <f t="shared" ref="N3:N54" ca="1" si="2">IFERROR(L3/M3,0)</f>
        <v>0</v>
      </c>
      <c r="P3">
        <f t="shared" ref="P3:P54" ca="1" si="3">O3*N3</f>
        <v>0</v>
      </c>
    </row>
    <row r="4" spans="1:16" x14ac:dyDescent="0.25">
      <c r="J4">
        <f ca="1">IFERROR(H4/OFFSET('General information'!$B$9,MATCH(E4,'General information'!$A$10:$A$21,0),0),0)*I4</f>
        <v>0</v>
      </c>
      <c r="K4">
        <f t="shared" ca="1" si="0"/>
        <v>0</v>
      </c>
      <c r="L4">
        <f t="shared" ca="1" si="1"/>
        <v>0</v>
      </c>
      <c r="N4">
        <f t="shared" ca="1" si="2"/>
        <v>0</v>
      </c>
      <c r="P4">
        <f t="shared" ca="1" si="3"/>
        <v>0</v>
      </c>
    </row>
    <row r="5" spans="1:16" x14ac:dyDescent="0.25">
      <c r="J5">
        <f ca="1">IFERROR(H5/OFFSET('General information'!$B$9,MATCH(E5,'General information'!$A$10:$A$21,0),0),0)*I5</f>
        <v>0</v>
      </c>
      <c r="K5">
        <f t="shared" ca="1" si="0"/>
        <v>0</v>
      </c>
      <c r="L5">
        <f t="shared" ca="1" si="1"/>
        <v>0</v>
      </c>
      <c r="N5">
        <f t="shared" ca="1" si="2"/>
        <v>0</v>
      </c>
      <c r="P5">
        <f t="shared" ca="1" si="3"/>
        <v>0</v>
      </c>
    </row>
    <row r="6" spans="1:16" x14ac:dyDescent="0.25">
      <c r="J6">
        <f ca="1">IFERROR(H6/OFFSET('General information'!$B$9,MATCH(E6,'General information'!$A$10:$A$21,0),0),0)*I6</f>
        <v>0</v>
      </c>
      <c r="K6">
        <f t="shared" ca="1" si="0"/>
        <v>0</v>
      </c>
      <c r="L6">
        <f t="shared" ca="1" si="1"/>
        <v>0</v>
      </c>
      <c r="N6">
        <f t="shared" ca="1" si="2"/>
        <v>0</v>
      </c>
      <c r="P6">
        <f t="shared" ca="1" si="3"/>
        <v>0</v>
      </c>
    </row>
    <row r="7" spans="1:16" x14ac:dyDescent="0.25">
      <c r="J7">
        <f ca="1">IFERROR(H7/OFFSET('General information'!$B$9,MATCH(E7,'General information'!$A$10:$A$21,0),0),0)*I7</f>
        <v>0</v>
      </c>
      <c r="K7">
        <f t="shared" ca="1" si="0"/>
        <v>0</v>
      </c>
      <c r="L7">
        <f t="shared" ca="1" si="1"/>
        <v>0</v>
      </c>
      <c r="N7">
        <f t="shared" ca="1" si="2"/>
        <v>0</v>
      </c>
      <c r="P7">
        <f t="shared" ca="1" si="3"/>
        <v>0</v>
      </c>
    </row>
    <row r="8" spans="1:16" x14ac:dyDescent="0.25">
      <c r="J8">
        <f ca="1">IFERROR(H8/OFFSET('General information'!$B$9,MATCH(E8,'General information'!$A$10:$A$21,0),0),0)*I8</f>
        <v>0</v>
      </c>
      <c r="K8">
        <f t="shared" ca="1" si="0"/>
        <v>0</v>
      </c>
      <c r="L8">
        <f t="shared" ca="1" si="1"/>
        <v>0</v>
      </c>
      <c r="N8">
        <f t="shared" ca="1" si="2"/>
        <v>0</v>
      </c>
      <c r="P8">
        <f t="shared" ca="1" si="3"/>
        <v>0</v>
      </c>
    </row>
    <row r="9" spans="1:16" x14ac:dyDescent="0.25">
      <c r="J9">
        <f ca="1">IFERROR(H9/OFFSET('General information'!$B$9,MATCH(E9,'General information'!$A$10:$A$21,0),0),0)*I9</f>
        <v>0</v>
      </c>
      <c r="K9">
        <f t="shared" ca="1" si="0"/>
        <v>0</v>
      </c>
      <c r="L9">
        <f t="shared" ca="1" si="1"/>
        <v>0</v>
      </c>
      <c r="N9">
        <f t="shared" ca="1" si="2"/>
        <v>0</v>
      </c>
      <c r="P9">
        <f t="shared" ca="1" si="3"/>
        <v>0</v>
      </c>
    </row>
    <row r="10" spans="1:16" x14ac:dyDescent="0.25">
      <c r="J10">
        <f ca="1">IFERROR(H10/OFFSET('General information'!$B$9,MATCH(E10,'General information'!$A$10:$A$21,0),0),0)*I10</f>
        <v>0</v>
      </c>
      <c r="K10">
        <f t="shared" ca="1" si="0"/>
        <v>0</v>
      </c>
      <c r="L10">
        <f t="shared" ca="1" si="1"/>
        <v>0</v>
      </c>
      <c r="N10">
        <f t="shared" ca="1" si="2"/>
        <v>0</v>
      </c>
      <c r="P10">
        <f t="shared" ca="1" si="3"/>
        <v>0</v>
      </c>
    </row>
    <row r="11" spans="1:16" x14ac:dyDescent="0.25">
      <c r="J11">
        <f ca="1">IFERROR(H11/OFFSET('General information'!$B$9,MATCH(E11,'General information'!$A$10:$A$21,0),0),0)*I11</f>
        <v>0</v>
      </c>
      <c r="K11">
        <f t="shared" ca="1" si="0"/>
        <v>0</v>
      </c>
      <c r="L11">
        <f t="shared" ca="1" si="1"/>
        <v>0</v>
      </c>
      <c r="N11">
        <f t="shared" ca="1" si="2"/>
        <v>0</v>
      </c>
      <c r="P11">
        <f t="shared" ca="1" si="3"/>
        <v>0</v>
      </c>
    </row>
    <row r="12" spans="1:16" x14ac:dyDescent="0.25">
      <c r="J12">
        <f ca="1">IFERROR(H12/OFFSET('General information'!$B$9,MATCH(E12,'General information'!$A$10:$A$21,0),0),0)*I12</f>
        <v>0</v>
      </c>
      <c r="K12">
        <f t="shared" ca="1" si="0"/>
        <v>0</v>
      </c>
      <c r="L12">
        <f t="shared" ca="1" si="1"/>
        <v>0</v>
      </c>
      <c r="N12">
        <f t="shared" ca="1" si="2"/>
        <v>0</v>
      </c>
      <c r="P12">
        <f t="shared" ca="1" si="3"/>
        <v>0</v>
      </c>
    </row>
    <row r="13" spans="1:16" x14ac:dyDescent="0.25">
      <c r="J13">
        <f ca="1">IFERROR(H13/OFFSET('General information'!$B$9,MATCH(E13,'General information'!$A$10:$A$21,0),0),0)*I13</f>
        <v>0</v>
      </c>
      <c r="K13">
        <f t="shared" ca="1" si="0"/>
        <v>0</v>
      </c>
      <c r="L13">
        <f t="shared" ca="1" si="1"/>
        <v>0</v>
      </c>
      <c r="N13">
        <f t="shared" ca="1" si="2"/>
        <v>0</v>
      </c>
      <c r="P13">
        <f t="shared" ca="1" si="3"/>
        <v>0</v>
      </c>
    </row>
    <row r="14" spans="1:16" x14ac:dyDescent="0.25">
      <c r="J14">
        <f ca="1">IFERROR(H14/OFFSET('General information'!$B$9,MATCH(E14,'General information'!$A$10:$A$21,0),0),0)*I14</f>
        <v>0</v>
      </c>
      <c r="K14">
        <f t="shared" ca="1" si="0"/>
        <v>0</v>
      </c>
      <c r="L14">
        <f t="shared" ca="1" si="1"/>
        <v>0</v>
      </c>
      <c r="N14">
        <f t="shared" ca="1" si="2"/>
        <v>0</v>
      </c>
      <c r="P14">
        <f t="shared" ca="1" si="3"/>
        <v>0</v>
      </c>
    </row>
    <row r="15" spans="1:16" x14ac:dyDescent="0.25">
      <c r="J15">
        <f ca="1">IFERROR(H15/OFFSET('General information'!$B$9,MATCH(E15,'General information'!$A$10:$A$21,0),0),0)*I15</f>
        <v>0</v>
      </c>
      <c r="K15">
        <f t="shared" ca="1" si="0"/>
        <v>0</v>
      </c>
      <c r="L15">
        <f t="shared" ca="1" si="1"/>
        <v>0</v>
      </c>
      <c r="N15">
        <f t="shared" ca="1" si="2"/>
        <v>0</v>
      </c>
      <c r="P15">
        <f t="shared" ca="1" si="3"/>
        <v>0</v>
      </c>
    </row>
    <row r="16" spans="1:16" x14ac:dyDescent="0.25">
      <c r="J16">
        <f ca="1">IFERROR(H16/OFFSET('General information'!$B$9,MATCH(E16,'General information'!$A$10:$A$21,0),0),0)*I16</f>
        <v>0</v>
      </c>
      <c r="K16">
        <f t="shared" ca="1" si="0"/>
        <v>0</v>
      </c>
      <c r="L16">
        <f t="shared" ca="1" si="1"/>
        <v>0</v>
      </c>
      <c r="N16">
        <f t="shared" ca="1" si="2"/>
        <v>0</v>
      </c>
      <c r="P16">
        <f t="shared" ca="1" si="3"/>
        <v>0</v>
      </c>
    </row>
    <row r="17" spans="10:16" x14ac:dyDescent="0.25">
      <c r="J17">
        <f ca="1">IFERROR(H17/OFFSET('General information'!$B$9,MATCH(E17,'General information'!$A$10:$A$21,0),0),0)*I17</f>
        <v>0</v>
      </c>
      <c r="K17">
        <f t="shared" ca="1" si="0"/>
        <v>0</v>
      </c>
      <c r="L17">
        <f t="shared" ca="1" si="1"/>
        <v>0</v>
      </c>
      <c r="N17">
        <f t="shared" ca="1" si="2"/>
        <v>0</v>
      </c>
      <c r="P17">
        <f t="shared" ca="1" si="3"/>
        <v>0</v>
      </c>
    </row>
    <row r="18" spans="10:16" x14ac:dyDescent="0.25">
      <c r="J18">
        <f ca="1">IFERROR(H18/OFFSET('General information'!$B$9,MATCH(E18,'General information'!$A$10:$A$21,0),0),0)*I18</f>
        <v>0</v>
      </c>
      <c r="K18">
        <f t="shared" ca="1" si="0"/>
        <v>0</v>
      </c>
      <c r="L18">
        <f t="shared" ca="1" si="1"/>
        <v>0</v>
      </c>
      <c r="N18">
        <f t="shared" ca="1" si="2"/>
        <v>0</v>
      </c>
      <c r="P18">
        <f t="shared" ca="1" si="3"/>
        <v>0</v>
      </c>
    </row>
    <row r="19" spans="10:16" x14ac:dyDescent="0.25">
      <c r="J19">
        <f ca="1">IFERROR(H19/OFFSET('General information'!$B$9,MATCH(E19,'General information'!$A$10:$A$21,0),0),0)*I19</f>
        <v>0</v>
      </c>
      <c r="K19">
        <f t="shared" ca="1" si="0"/>
        <v>0</v>
      </c>
      <c r="L19">
        <f t="shared" ca="1" si="1"/>
        <v>0</v>
      </c>
      <c r="N19">
        <f t="shared" ca="1" si="2"/>
        <v>0</v>
      </c>
      <c r="P19">
        <f t="shared" ca="1" si="3"/>
        <v>0</v>
      </c>
    </row>
    <row r="20" spans="10:16" x14ac:dyDescent="0.25">
      <c r="J20">
        <f ca="1">IFERROR(H20/OFFSET('General information'!$B$9,MATCH(E20,'General information'!$A$10:$A$21,0),0),0)*I20</f>
        <v>0</v>
      </c>
      <c r="K20">
        <f t="shared" ca="1" si="0"/>
        <v>0</v>
      </c>
      <c r="L20">
        <f t="shared" ca="1" si="1"/>
        <v>0</v>
      </c>
      <c r="N20">
        <f t="shared" ca="1" si="2"/>
        <v>0</v>
      </c>
      <c r="P20">
        <f t="shared" ca="1" si="3"/>
        <v>0</v>
      </c>
    </row>
    <row r="21" spans="10:16" x14ac:dyDescent="0.25">
      <c r="J21">
        <f ca="1">IFERROR(H21/OFFSET('General information'!$B$9,MATCH(E21,'General information'!$A$10:$A$21,0),0),0)*I21</f>
        <v>0</v>
      </c>
      <c r="K21">
        <f t="shared" ca="1" si="0"/>
        <v>0</v>
      </c>
      <c r="L21">
        <f t="shared" ca="1" si="1"/>
        <v>0</v>
      </c>
      <c r="N21">
        <f t="shared" ca="1" si="2"/>
        <v>0</v>
      </c>
      <c r="P21">
        <f t="shared" ca="1" si="3"/>
        <v>0</v>
      </c>
    </row>
    <row r="22" spans="10:16" x14ac:dyDescent="0.25">
      <c r="J22">
        <f ca="1">IFERROR(H22/OFFSET('General information'!$B$9,MATCH(E22,'General information'!$A$10:$A$21,0),0),0)*I22</f>
        <v>0</v>
      </c>
      <c r="K22">
        <f t="shared" ca="1" si="0"/>
        <v>0</v>
      </c>
      <c r="L22">
        <f t="shared" ca="1" si="1"/>
        <v>0</v>
      </c>
      <c r="N22">
        <f t="shared" ca="1" si="2"/>
        <v>0</v>
      </c>
      <c r="P22">
        <f t="shared" ca="1" si="3"/>
        <v>0</v>
      </c>
    </row>
    <row r="23" spans="10:16" x14ac:dyDescent="0.25">
      <c r="J23">
        <f ca="1">IFERROR(H23/OFFSET('General information'!$B$9,MATCH(E23,'General information'!$A$10:$A$21,0),0),0)*I23</f>
        <v>0</v>
      </c>
      <c r="K23">
        <f t="shared" ca="1" si="0"/>
        <v>0</v>
      </c>
      <c r="L23">
        <f t="shared" ca="1" si="1"/>
        <v>0</v>
      </c>
      <c r="N23">
        <f t="shared" ca="1" si="2"/>
        <v>0</v>
      </c>
      <c r="P23">
        <f t="shared" ca="1" si="3"/>
        <v>0</v>
      </c>
    </row>
    <row r="24" spans="10:16" x14ac:dyDescent="0.25">
      <c r="J24">
        <f ca="1">IFERROR(H24/OFFSET('General information'!$B$9,MATCH(E24,'General information'!$A$10:$A$21,0),0),0)*I24</f>
        <v>0</v>
      </c>
      <c r="K24">
        <f t="shared" ca="1" si="0"/>
        <v>0</v>
      </c>
      <c r="L24">
        <f t="shared" ca="1" si="1"/>
        <v>0</v>
      </c>
      <c r="N24">
        <f t="shared" ca="1" si="2"/>
        <v>0</v>
      </c>
      <c r="P24">
        <f t="shared" ca="1" si="3"/>
        <v>0</v>
      </c>
    </row>
    <row r="25" spans="10:16" x14ac:dyDescent="0.25">
      <c r="J25">
        <f ca="1">IFERROR(H25/OFFSET('General information'!$B$9,MATCH(E25,'General information'!$A$10:$A$21,0),0),0)*I25</f>
        <v>0</v>
      </c>
      <c r="K25">
        <f t="shared" ca="1" si="0"/>
        <v>0</v>
      </c>
      <c r="L25">
        <f t="shared" ca="1" si="1"/>
        <v>0</v>
      </c>
      <c r="N25">
        <f t="shared" ca="1" si="2"/>
        <v>0</v>
      </c>
      <c r="P25">
        <f t="shared" ca="1" si="3"/>
        <v>0</v>
      </c>
    </row>
    <row r="26" spans="10:16" x14ac:dyDescent="0.25">
      <c r="J26">
        <f ca="1">IFERROR(H26/OFFSET('General information'!$B$9,MATCH(E26,'General information'!$A$10:$A$21,0),0),0)*I26</f>
        <v>0</v>
      </c>
      <c r="K26">
        <f t="shared" ca="1" si="0"/>
        <v>0</v>
      </c>
      <c r="L26">
        <f t="shared" ca="1" si="1"/>
        <v>0</v>
      </c>
      <c r="N26">
        <f t="shared" ca="1" si="2"/>
        <v>0</v>
      </c>
      <c r="P26">
        <f t="shared" ca="1" si="3"/>
        <v>0</v>
      </c>
    </row>
    <row r="27" spans="10:16" x14ac:dyDescent="0.25">
      <c r="J27">
        <f ca="1">IFERROR(H27/OFFSET('General information'!$B$9,MATCH(E27,'General information'!$A$10:$A$21,0),0),0)*I27</f>
        <v>0</v>
      </c>
      <c r="K27">
        <f t="shared" ca="1" si="0"/>
        <v>0</v>
      </c>
      <c r="L27">
        <f t="shared" ca="1" si="1"/>
        <v>0</v>
      </c>
      <c r="N27">
        <f t="shared" ca="1" si="2"/>
        <v>0</v>
      </c>
      <c r="P27">
        <f t="shared" ca="1" si="3"/>
        <v>0</v>
      </c>
    </row>
    <row r="28" spans="10:16" x14ac:dyDescent="0.25">
      <c r="J28">
        <f ca="1">IFERROR(H28/OFFSET('General information'!$B$9,MATCH(E28,'General information'!$A$10:$A$21,0),0),0)*I28</f>
        <v>0</v>
      </c>
      <c r="K28">
        <f t="shared" ca="1" si="0"/>
        <v>0</v>
      </c>
      <c r="L28">
        <f t="shared" ca="1" si="1"/>
        <v>0</v>
      </c>
      <c r="N28">
        <f t="shared" ca="1" si="2"/>
        <v>0</v>
      </c>
      <c r="P28">
        <f t="shared" ca="1" si="3"/>
        <v>0</v>
      </c>
    </row>
    <row r="29" spans="10:16" x14ac:dyDescent="0.25">
      <c r="J29">
        <f ca="1">IFERROR(H29/OFFSET('General information'!$B$9,MATCH(E29,'General information'!$A$10:$A$21,0),0),0)*I29</f>
        <v>0</v>
      </c>
      <c r="K29">
        <f t="shared" ca="1" si="0"/>
        <v>0</v>
      </c>
      <c r="L29">
        <f t="shared" ca="1" si="1"/>
        <v>0</v>
      </c>
      <c r="N29">
        <f t="shared" ca="1" si="2"/>
        <v>0</v>
      </c>
      <c r="P29">
        <f t="shared" ca="1" si="3"/>
        <v>0</v>
      </c>
    </row>
    <row r="30" spans="10:16" x14ac:dyDescent="0.25">
      <c r="J30">
        <f ca="1">IFERROR(H30/OFFSET('General information'!$B$9,MATCH(E30,'General information'!$A$10:$A$21,0),0),0)*I30</f>
        <v>0</v>
      </c>
      <c r="K30">
        <f t="shared" ca="1" si="0"/>
        <v>0</v>
      </c>
      <c r="L30">
        <f t="shared" ca="1" si="1"/>
        <v>0</v>
      </c>
      <c r="N30">
        <f t="shared" ca="1" si="2"/>
        <v>0</v>
      </c>
      <c r="P30">
        <f t="shared" ca="1" si="3"/>
        <v>0</v>
      </c>
    </row>
    <row r="31" spans="10:16" x14ac:dyDescent="0.25">
      <c r="J31">
        <f ca="1">IFERROR(H31/OFFSET('General information'!$B$9,MATCH(E31,'General information'!$A$10:$A$21,0),0),0)*I31</f>
        <v>0</v>
      </c>
      <c r="K31">
        <f t="shared" ca="1" si="0"/>
        <v>0</v>
      </c>
      <c r="L31">
        <f t="shared" ca="1" si="1"/>
        <v>0</v>
      </c>
      <c r="N31">
        <f t="shared" ca="1" si="2"/>
        <v>0</v>
      </c>
      <c r="P31">
        <f t="shared" ca="1" si="3"/>
        <v>0</v>
      </c>
    </row>
    <row r="32" spans="10:16" x14ac:dyDescent="0.25">
      <c r="J32">
        <f ca="1">IFERROR(H32/OFFSET('General information'!$B$9,MATCH(E32,'General information'!$A$10:$A$21,0),0),0)*I32</f>
        <v>0</v>
      </c>
      <c r="K32">
        <f t="shared" ca="1" si="0"/>
        <v>0</v>
      </c>
      <c r="L32">
        <f t="shared" ca="1" si="1"/>
        <v>0</v>
      </c>
      <c r="N32">
        <f t="shared" ca="1" si="2"/>
        <v>0</v>
      </c>
      <c r="P32">
        <f t="shared" ca="1" si="3"/>
        <v>0</v>
      </c>
    </row>
    <row r="33" spans="10:16" x14ac:dyDescent="0.25">
      <c r="J33">
        <f ca="1">IFERROR(H33/OFFSET('General information'!$B$9,MATCH(E33,'General information'!$A$10:$A$21,0),0),0)*I33</f>
        <v>0</v>
      </c>
      <c r="K33">
        <f t="shared" ca="1" si="0"/>
        <v>0</v>
      </c>
      <c r="L33">
        <f t="shared" ca="1" si="1"/>
        <v>0</v>
      </c>
      <c r="N33">
        <f t="shared" ca="1" si="2"/>
        <v>0</v>
      </c>
      <c r="P33">
        <f t="shared" ca="1" si="3"/>
        <v>0</v>
      </c>
    </row>
    <row r="34" spans="10:16" x14ac:dyDescent="0.25">
      <c r="J34">
        <f ca="1">IFERROR(H34/OFFSET('General information'!$B$9,MATCH(E34,'General information'!$A$10:$A$21,0),0),0)*I34</f>
        <v>0</v>
      </c>
      <c r="K34">
        <f t="shared" ca="1" si="0"/>
        <v>0</v>
      </c>
      <c r="L34">
        <f t="shared" ca="1" si="1"/>
        <v>0</v>
      </c>
      <c r="N34">
        <f t="shared" ca="1" si="2"/>
        <v>0</v>
      </c>
      <c r="P34">
        <f t="shared" ca="1" si="3"/>
        <v>0</v>
      </c>
    </row>
    <row r="35" spans="10:16" x14ac:dyDescent="0.25">
      <c r="J35">
        <f ca="1">IFERROR(H35/OFFSET('General information'!$B$9,MATCH(E35,'General information'!$A$10:$A$21,0),0),0)*I35</f>
        <v>0</v>
      </c>
      <c r="K35">
        <f t="shared" ca="1" si="0"/>
        <v>0</v>
      </c>
      <c r="L35">
        <f t="shared" ca="1" si="1"/>
        <v>0</v>
      </c>
      <c r="N35">
        <f t="shared" ca="1" si="2"/>
        <v>0</v>
      </c>
      <c r="P35">
        <f t="shared" ca="1" si="3"/>
        <v>0</v>
      </c>
    </row>
    <row r="36" spans="10:16" x14ac:dyDescent="0.25">
      <c r="J36">
        <f ca="1">IFERROR(H36/OFFSET('General information'!$B$9,MATCH(E36,'General information'!$A$10:$A$21,0),0),0)*I36</f>
        <v>0</v>
      </c>
      <c r="K36">
        <f t="shared" ca="1" si="0"/>
        <v>0</v>
      </c>
      <c r="L36">
        <f t="shared" ca="1" si="1"/>
        <v>0</v>
      </c>
      <c r="N36">
        <f t="shared" ca="1" si="2"/>
        <v>0</v>
      </c>
      <c r="P36">
        <f t="shared" ca="1" si="3"/>
        <v>0</v>
      </c>
    </row>
    <row r="37" spans="10:16" x14ac:dyDescent="0.25">
      <c r="J37">
        <f ca="1">IFERROR(H37/OFFSET('General information'!$B$9,MATCH(E37,'General information'!$A$10:$A$21,0),0),0)*I37</f>
        <v>0</v>
      </c>
      <c r="K37">
        <f t="shared" ca="1" si="0"/>
        <v>0</v>
      </c>
      <c r="L37">
        <f t="shared" ca="1" si="1"/>
        <v>0</v>
      </c>
      <c r="N37">
        <f t="shared" ca="1" si="2"/>
        <v>0</v>
      </c>
      <c r="P37">
        <f t="shared" ca="1" si="3"/>
        <v>0</v>
      </c>
    </row>
    <row r="38" spans="10:16" x14ac:dyDescent="0.25">
      <c r="J38">
        <f ca="1">IFERROR(H38/OFFSET('General information'!$B$9,MATCH(E38,'General information'!$A$10:$A$21,0),0),0)*I38</f>
        <v>0</v>
      </c>
      <c r="K38">
        <f t="shared" ca="1" si="0"/>
        <v>0</v>
      </c>
      <c r="L38">
        <f t="shared" ca="1" si="1"/>
        <v>0</v>
      </c>
      <c r="N38">
        <f t="shared" ca="1" si="2"/>
        <v>0</v>
      </c>
      <c r="P38">
        <f t="shared" ca="1" si="3"/>
        <v>0</v>
      </c>
    </row>
    <row r="39" spans="10:16" x14ac:dyDescent="0.25">
      <c r="J39">
        <f ca="1">IFERROR(H39/OFFSET('General information'!$B$9,MATCH(E39,'General information'!$A$10:$A$21,0),0),0)*I39</f>
        <v>0</v>
      </c>
      <c r="K39">
        <f t="shared" ca="1" si="0"/>
        <v>0</v>
      </c>
      <c r="L39">
        <f t="shared" ca="1" si="1"/>
        <v>0</v>
      </c>
      <c r="N39">
        <f t="shared" ca="1" si="2"/>
        <v>0</v>
      </c>
      <c r="P39">
        <f t="shared" ca="1" si="3"/>
        <v>0</v>
      </c>
    </row>
    <row r="40" spans="10:16" x14ac:dyDescent="0.25">
      <c r="J40">
        <f ca="1">IFERROR(H40/OFFSET('General information'!$B$9,MATCH(E40,'General information'!$A$10:$A$21,0),0),0)*I40</f>
        <v>0</v>
      </c>
      <c r="K40">
        <f t="shared" ca="1" si="0"/>
        <v>0</v>
      </c>
      <c r="L40">
        <f t="shared" ca="1" si="1"/>
        <v>0</v>
      </c>
      <c r="N40">
        <f t="shared" ca="1" si="2"/>
        <v>0</v>
      </c>
      <c r="P40">
        <f t="shared" ca="1" si="3"/>
        <v>0</v>
      </c>
    </row>
    <row r="41" spans="10:16" x14ac:dyDescent="0.25">
      <c r="J41">
        <f ca="1">IFERROR(H41/OFFSET('General information'!$B$9,MATCH(E41,'General information'!$A$10:$A$21,0),0),0)*I41</f>
        <v>0</v>
      </c>
      <c r="K41">
        <f t="shared" ca="1" si="0"/>
        <v>0</v>
      </c>
      <c r="L41">
        <f t="shared" ca="1" si="1"/>
        <v>0</v>
      </c>
      <c r="N41">
        <f t="shared" ca="1" si="2"/>
        <v>0</v>
      </c>
      <c r="P41">
        <f t="shared" ca="1" si="3"/>
        <v>0</v>
      </c>
    </row>
    <row r="42" spans="10:16" x14ac:dyDescent="0.25">
      <c r="J42">
        <f ca="1">IFERROR(H42/OFFSET('General information'!$B$9,MATCH(E42,'General information'!$A$10:$A$21,0),0),0)*I42</f>
        <v>0</v>
      </c>
      <c r="K42">
        <f t="shared" ca="1" si="0"/>
        <v>0</v>
      </c>
      <c r="L42">
        <f t="shared" ca="1" si="1"/>
        <v>0</v>
      </c>
      <c r="N42">
        <f t="shared" ca="1" si="2"/>
        <v>0</v>
      </c>
      <c r="P42">
        <f t="shared" ca="1" si="3"/>
        <v>0</v>
      </c>
    </row>
    <row r="43" spans="10:16" x14ac:dyDescent="0.25">
      <c r="J43">
        <f ca="1">IFERROR(H43/OFFSET('General information'!$B$9,MATCH(E43,'General information'!$A$10:$A$21,0),0),0)*I43</f>
        <v>0</v>
      </c>
      <c r="K43">
        <f t="shared" ca="1" si="0"/>
        <v>0</v>
      </c>
      <c r="L43">
        <f t="shared" ca="1" si="1"/>
        <v>0</v>
      </c>
      <c r="N43">
        <f t="shared" ca="1" si="2"/>
        <v>0</v>
      </c>
      <c r="P43">
        <f t="shared" ca="1" si="3"/>
        <v>0</v>
      </c>
    </row>
    <row r="44" spans="10:16" x14ac:dyDescent="0.25">
      <c r="J44">
        <f ca="1">IFERROR(H44/OFFSET('General information'!$B$9,MATCH(E44,'General information'!$A$10:$A$21,0),0),0)*I44</f>
        <v>0</v>
      </c>
      <c r="K44">
        <f t="shared" ca="1" si="0"/>
        <v>0</v>
      </c>
      <c r="L44">
        <f t="shared" ca="1" si="1"/>
        <v>0</v>
      </c>
      <c r="N44">
        <f t="shared" ca="1" si="2"/>
        <v>0</v>
      </c>
      <c r="P44">
        <f t="shared" ca="1" si="3"/>
        <v>0</v>
      </c>
    </row>
    <row r="45" spans="10:16" x14ac:dyDescent="0.25">
      <c r="J45">
        <f ca="1">IFERROR(H45/OFFSET('General information'!$B$9,MATCH(E45,'General information'!$A$10:$A$21,0),0),0)*I45</f>
        <v>0</v>
      </c>
      <c r="K45">
        <f t="shared" ca="1" si="0"/>
        <v>0</v>
      </c>
      <c r="L45">
        <f t="shared" ca="1" si="1"/>
        <v>0</v>
      </c>
      <c r="N45">
        <f t="shared" ca="1" si="2"/>
        <v>0</v>
      </c>
      <c r="P45">
        <f t="shared" ca="1" si="3"/>
        <v>0</v>
      </c>
    </row>
    <row r="46" spans="10:16" x14ac:dyDescent="0.25">
      <c r="J46">
        <f ca="1">IFERROR(H46/OFFSET('General information'!$B$9,MATCH(E46,'General information'!$A$10:$A$21,0),0),0)*I46</f>
        <v>0</v>
      </c>
      <c r="K46">
        <f t="shared" ca="1" si="0"/>
        <v>0</v>
      </c>
      <c r="L46">
        <f t="shared" ca="1" si="1"/>
        <v>0</v>
      </c>
      <c r="N46">
        <f t="shared" ca="1" si="2"/>
        <v>0</v>
      </c>
      <c r="P46">
        <f t="shared" ca="1" si="3"/>
        <v>0</v>
      </c>
    </row>
    <row r="47" spans="10:16" x14ac:dyDescent="0.25">
      <c r="J47">
        <f ca="1">IFERROR(H47/OFFSET('General information'!$B$9,MATCH(E47,'General information'!$A$10:$A$21,0),0),0)*I47</f>
        <v>0</v>
      </c>
      <c r="K47">
        <f t="shared" ca="1" si="0"/>
        <v>0</v>
      </c>
      <c r="L47">
        <f t="shared" ca="1" si="1"/>
        <v>0</v>
      </c>
      <c r="N47">
        <f t="shared" ca="1" si="2"/>
        <v>0</v>
      </c>
      <c r="P47">
        <f t="shared" ca="1" si="3"/>
        <v>0</v>
      </c>
    </row>
    <row r="48" spans="10:16" x14ac:dyDescent="0.25">
      <c r="J48">
        <f ca="1">IFERROR(H48/OFFSET('General information'!$B$9,MATCH(E48,'General information'!$A$10:$A$21,0),0),0)*I48</f>
        <v>0</v>
      </c>
      <c r="K48">
        <f t="shared" ca="1" si="0"/>
        <v>0</v>
      </c>
      <c r="L48">
        <f t="shared" ca="1" si="1"/>
        <v>0</v>
      </c>
      <c r="N48">
        <f t="shared" ca="1" si="2"/>
        <v>0</v>
      </c>
      <c r="P48">
        <f t="shared" ca="1" si="3"/>
        <v>0</v>
      </c>
    </row>
    <row r="49" spans="10:16" x14ac:dyDescent="0.25">
      <c r="J49">
        <f ca="1">IFERROR(H49/OFFSET('General information'!$B$9,MATCH(E49,'General information'!$A$10:$A$21,0),0),0)*I49</f>
        <v>0</v>
      </c>
      <c r="K49">
        <f t="shared" ca="1" si="0"/>
        <v>0</v>
      </c>
      <c r="L49">
        <f t="shared" ca="1" si="1"/>
        <v>0</v>
      </c>
      <c r="N49">
        <f t="shared" ca="1" si="2"/>
        <v>0</v>
      </c>
      <c r="P49">
        <f t="shared" ca="1" si="3"/>
        <v>0</v>
      </c>
    </row>
    <row r="50" spans="10:16" x14ac:dyDescent="0.25">
      <c r="J50">
        <f ca="1">IFERROR(H50/OFFSET('General information'!$B$9,MATCH(E50,'General information'!$A$10:$A$21,0),0),0)*I50</f>
        <v>0</v>
      </c>
      <c r="K50">
        <f t="shared" ca="1" si="0"/>
        <v>0</v>
      </c>
      <c r="L50">
        <f t="shared" ca="1" si="1"/>
        <v>0</v>
      </c>
      <c r="N50">
        <f t="shared" ca="1" si="2"/>
        <v>0</v>
      </c>
      <c r="P50">
        <f t="shared" ca="1" si="3"/>
        <v>0</v>
      </c>
    </row>
    <row r="51" spans="10:16" x14ac:dyDescent="0.25">
      <c r="J51">
        <f ca="1">IFERROR(H51/OFFSET('General information'!$B$9,MATCH(E51,'General information'!$A$10:$A$21,0),0),0)*I51</f>
        <v>0</v>
      </c>
      <c r="K51">
        <f t="shared" ca="1" si="0"/>
        <v>0</v>
      </c>
      <c r="L51">
        <f t="shared" ca="1" si="1"/>
        <v>0</v>
      </c>
      <c r="N51">
        <f t="shared" ca="1" si="2"/>
        <v>0</v>
      </c>
      <c r="P51">
        <f t="shared" ca="1" si="3"/>
        <v>0</v>
      </c>
    </row>
    <row r="52" spans="10:16" x14ac:dyDescent="0.25">
      <c r="J52">
        <f ca="1">IFERROR(H52/OFFSET('General information'!$B$9,MATCH(E52,'General information'!$A$10:$A$21,0),0),0)*I52</f>
        <v>0</v>
      </c>
      <c r="K52">
        <f t="shared" ca="1" si="0"/>
        <v>0</v>
      </c>
      <c r="L52">
        <f t="shared" ca="1" si="1"/>
        <v>0</v>
      </c>
      <c r="N52">
        <f t="shared" ca="1" si="2"/>
        <v>0</v>
      </c>
      <c r="P52">
        <f t="shared" ca="1" si="3"/>
        <v>0</v>
      </c>
    </row>
    <row r="53" spans="10:16" x14ac:dyDescent="0.25">
      <c r="J53">
        <f ca="1">IFERROR(H53/OFFSET('General information'!$B$9,MATCH(E53,'General information'!$A$10:$A$21,0),0),0)*I53</f>
        <v>0</v>
      </c>
      <c r="K53">
        <f t="shared" ca="1" si="0"/>
        <v>0</v>
      </c>
      <c r="L53">
        <f t="shared" ca="1" si="1"/>
        <v>0</v>
      </c>
      <c r="N53">
        <f t="shared" ca="1" si="2"/>
        <v>0</v>
      </c>
      <c r="P53">
        <f t="shared" ca="1" si="3"/>
        <v>0</v>
      </c>
    </row>
    <row r="54" spans="10:16" x14ac:dyDescent="0.25">
      <c r="J54">
        <f ca="1">IFERROR(H54/OFFSET('General information'!$B$9,MATCH(E54,'General information'!$A$10:$A$21,0),0),0)*I54</f>
        <v>0</v>
      </c>
      <c r="K54">
        <f t="shared" ca="1" si="0"/>
        <v>0</v>
      </c>
      <c r="L54">
        <f t="shared" ca="1" si="1"/>
        <v>0</v>
      </c>
      <c r="N54">
        <f t="shared" ca="1" si="2"/>
        <v>0</v>
      </c>
      <c r="P54">
        <f t="shared" ca="1" si="3"/>
        <v>0</v>
      </c>
    </row>
  </sheetData>
  <dataValidations count="1">
    <dataValidation type="list" allowBlank="1" showInputMessage="1" showErrorMessage="1" sqref="F2:F54" xr:uid="{70C5D66B-6AB0-4C6D-B044-A28A5D6F7DF6}">
      <formula1>"Diesel, Petrol, LPG"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69FF66-8C82-4DFC-A7C3-0489219A105B}">
          <x14:formula1>
            <xm:f>'General information'!$A$10:$A$21</xm:f>
          </x14:formula1>
          <xm:sqref>E2:E54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1B8B-C186-483A-B68A-29FBA7C8B314}">
  <dimension ref="A1:R54"/>
  <sheetViews>
    <sheetView showZeros="0" workbookViewId="0">
      <selection activeCell="E5" sqref="E5"/>
    </sheetView>
  </sheetViews>
  <sheetFormatPr defaultRowHeight="15" x14ac:dyDescent="0.25"/>
  <cols>
    <col min="1" max="1" width="23" bestFit="1" customWidth="1"/>
    <col min="2" max="2" width="9.28515625" bestFit="1" customWidth="1"/>
    <col min="3" max="3" width="12.140625" bestFit="1" customWidth="1"/>
    <col min="5" max="5" width="11" bestFit="1" customWidth="1"/>
    <col min="6" max="6" width="15" bestFit="1" customWidth="1"/>
    <col min="7" max="7" width="19.28515625" bestFit="1" customWidth="1"/>
    <col min="8" max="8" width="11.5703125" bestFit="1" customWidth="1"/>
    <col min="9" max="9" width="15.7109375" bestFit="1" customWidth="1"/>
    <col min="10" max="10" width="18.140625" bestFit="1" customWidth="1"/>
    <col min="11" max="11" width="13.28515625" bestFit="1" customWidth="1"/>
    <col min="12" max="12" width="10" bestFit="1" customWidth="1"/>
    <col min="13" max="13" width="10.85546875" bestFit="1" customWidth="1"/>
    <col min="14" max="14" width="17" bestFit="1" customWidth="1"/>
    <col min="15" max="15" width="17" customWidth="1"/>
    <col min="16" max="16" width="12.28515625" bestFit="1" customWidth="1"/>
    <col min="17" max="17" width="16" bestFit="1" customWidth="1"/>
    <col min="18" max="18" width="17.7109375" bestFit="1" customWidth="1"/>
  </cols>
  <sheetData>
    <row r="1" spans="1:18" x14ac:dyDescent="0.25">
      <c r="A1" t="s">
        <v>470</v>
      </c>
      <c r="B1" t="s">
        <v>484</v>
      </c>
      <c r="C1" t="s">
        <v>471</v>
      </c>
      <c r="D1" t="s">
        <v>412</v>
      </c>
      <c r="E1" t="s">
        <v>295</v>
      </c>
      <c r="F1" t="s">
        <v>475</v>
      </c>
      <c r="G1" t="s">
        <v>476</v>
      </c>
      <c r="H1" t="s">
        <v>445</v>
      </c>
      <c r="I1" t="s">
        <v>424</v>
      </c>
      <c r="J1" t="s">
        <v>477</v>
      </c>
      <c r="K1" t="s">
        <v>472</v>
      </c>
      <c r="L1" t="s">
        <v>296</v>
      </c>
      <c r="M1" t="s">
        <v>473</v>
      </c>
      <c r="N1" t="s">
        <v>446</v>
      </c>
      <c r="O1" t="s">
        <v>494</v>
      </c>
      <c r="P1" t="s">
        <v>474</v>
      </c>
      <c r="Q1" t="s">
        <v>482</v>
      </c>
      <c r="R1" t="s">
        <v>483</v>
      </c>
    </row>
    <row r="2" spans="1:18" x14ac:dyDescent="0.25">
      <c r="A2" t="s">
        <v>478</v>
      </c>
      <c r="C2" t="s">
        <v>110</v>
      </c>
      <c r="D2">
        <v>200</v>
      </c>
      <c r="E2" t="str">
        <f>IF(LEFT(A2,3)="Har",VLOOKUP(C2,'General information'!$A$9:$I$21,2,0),"")</f>
        <v/>
      </c>
      <c r="J2">
        <v>209</v>
      </c>
      <c r="K2">
        <v>10</v>
      </c>
      <c r="L2">
        <v>40.229999999999997</v>
      </c>
      <c r="P2" t="str">
        <f ca="1">IF(LEFT(A2,3)="Cul",OFFSET('Fuel Formula &amp; Constant'!$A$18,MATCH(O2,'Fuel Formula &amp; Constant'!A17:A46,0),MATCH(VLOOKUP(C2,'General information'!$A$9:$I$21,7,0),'Fuel Formula &amp; Constant'!$B$17:$D$17,0))+
(OFFSET('Fuel Formula &amp; Constant'!$A$18,MATCH(O2,'Fuel Formula &amp; Constant'!A17:A46,0)+1,MATCH(VLOOKUP(C2,'General information'!$A$9:$I$21,7,0),'Fuel Formula &amp; Constant'!$B$17:$D$17,0))*M2)+
(OFFSET('Fuel Formula &amp; Constant'!$A$18,MATCH(O2,'Fuel Formula &amp; Constant'!A17:A46,0)+2,MATCH(VLOOKUP(C2,'General information'!$A$9:$I$21,7,0),'Fuel Formula &amp; Constant'!$B$17:$D$17,0))*K2)+
(OFFSET('Fuel Formula &amp; Constant'!$A$18,MATCH(O2,'Fuel Formula &amp; Constant'!A17:A46,0)+3,MATCH(VLOOKUP(C2,'General information'!$A$9:$I$21,7,0),'Fuel Formula &amp; Constant'!$B$17:$D$17,0))*M2*K2),"")</f>
        <v/>
      </c>
      <c r="Q2">
        <f ca="1">IF(LEFT(A2,3)="Spr",(J2*Csw)/(K2*L2/10),
IF(LEFT(A2,3)="Cul",(Cdrft*P2)/VLOOKUP(H2,'Fuel Formula &amp; Constant'!$E$4:$H$7,MATCH(N2,'Fuel Formula &amp; Constant'!$F$4:$H$4,0)+1,0),
IF(LEFT(A2,3)="Har",IF(FIND("Harvesting",VLOOKUP(C2,'General information'!$A$9:$H$21,8,0))&gt;0,OFFSET('Fuel Formula &amp; Constant'!$F$18,IFERROR(MATCH(RIGHT(VLOOKUP(C2, 'General information'!$A$9:$H$21,8,0),FIND("Conventional",VLOOKUP(C2,'General information'!$A$9:$H$21,8,0))),'Fuel Formula &amp; Constant'!$F$19:$F$20,0),2),MATCH(I2,'Fuel Formula &amp; Constant'!$G$17:$J$17,0)),IF(FIND("Mowing",VLOOKUP(C2, 'General information'!$A$9:$H$21,8,0))&gt;0,OFFSET('Fuel Formula &amp; Constant'!$F$21,IFERROR(MATCH(RIGHT(VLOOKUP(C2, 'General information'!$A$9:$H$21,8,0),FIND("Conventional",VLOOKUP(C2, 'General information'!$A$9:$H$21,8,0))),'Fuel Formula &amp; Constant'!$F$22:$F$23,0),2),MATCH(I2,'Fuel Formula &amp; Constant'!$G$17:$J$17,0)),OFFSET('Fuel Formula &amp; Constant'!$J$24,IFERROR(MATCH(RIGHT(VLOOKUP(C2, 'General information'!$A$9:$H$21,8,0),FIND("Conventional",VLOOKUP(C2, 'General information'!$A$9:$H$21,8,0))),'Fuel Formula &amp; Constant'!$F$25:$F$26,0),2),MATCH(I2,'Fuel Formula &amp; Constant'!$G$17:$J$17,0))))+Cy*E2+Cch*F2+Ccch*G2+Ceh*J2,
(J2*Cblr/(K2*L2/10))*OFFSET('Fuel Formula &amp; Constant'!$C$5,MATCH(VLOOKUP(C2,'General information'!$A$9:$I$21,9,0),'Fuel Formula &amp; Constant'!$B$6:$B$8,0),0))))</f>
        <v>2.3378076062639823</v>
      </c>
      <c r="R2">
        <f ca="1">Q2*D2</f>
        <v>467.56152125279647</v>
      </c>
    </row>
    <row r="3" spans="1:18" x14ac:dyDescent="0.25">
      <c r="A3" t="s">
        <v>479</v>
      </c>
      <c r="C3" t="s">
        <v>110</v>
      </c>
      <c r="D3">
        <v>50</v>
      </c>
      <c r="E3" t="str">
        <f>IF(LEFT(A3,3)="Har",VLOOKUP(C3,'General information'!$A$9:$I$21,2,0),"")</f>
        <v/>
      </c>
      <c r="H3" t="s">
        <v>451</v>
      </c>
      <c r="K3">
        <v>10</v>
      </c>
      <c r="M3">
        <v>10</v>
      </c>
      <c r="N3" t="s">
        <v>452</v>
      </c>
      <c r="O3" t="s">
        <v>455</v>
      </c>
      <c r="P3" t="e">
        <f ca="1">IF(LEFT(A3,3)="Cul",OFFSET('Fuel Formula &amp; Constant'!$A$18,MATCH(O3,'Fuel Formula &amp; Constant'!A18:A47,0),MATCH(VLOOKUP(C3,'General information'!$A$9:$I$21,7,0),'Fuel Formula &amp; Constant'!$B$17:$D$17,0))+
(OFFSET('Fuel Formula &amp; Constant'!$A$18,MATCH(O3,'Fuel Formula &amp; Constant'!A18:A47,0)+1,MATCH(VLOOKUP(C3,'General information'!$A$9:$I$21,7,0),'Fuel Formula &amp; Constant'!$B$17:$D$17,0))*M3)+
(OFFSET('Fuel Formula &amp; Constant'!$A$18,MATCH(O3,'Fuel Formula &amp; Constant'!A18:A47,0)+2,MATCH(VLOOKUP(C3,'General information'!$A$9:$I$21,7,0),'Fuel Formula &amp; Constant'!$B$17:$D$17,0))*K3)+
(OFFSET('Fuel Formula &amp; Constant'!$A$18,MATCH(O3,'Fuel Formula &amp; Constant'!A18:A47,0)+3,MATCH(VLOOKUP(C3,'General information'!$A$9:$I$21,7,0),'Fuel Formula &amp; Constant'!$B$17:$D$17,0))*M3*K3),"")</f>
        <v>#N/A</v>
      </c>
      <c r="Q3" t="e">
        <f ca="1">IF(LEFT(A3,3)="Spr",(J3*Csw)/(K3*L3/10),
IF(LEFT(A3,3)="Cul",(Cdrft*P3)/VLOOKUP(H3,'Fuel Formula &amp; Constant'!$E$4:$H$7,MATCH(N3,'Fuel Formula &amp; Constant'!$F$4:$H$4,0)+1,0),
IF(LEFT(A3,3)="Har",IF(FIND("Harvesting",VLOOKUP(C3,'General information'!$A$9:$H$21,8,0))&gt;0,OFFSET('Fuel Formula &amp; Constant'!$F$18,IFERROR(MATCH(RIGHT(VLOOKUP(C3, 'General information'!$A$9:$H$21,8,0),FIND("Conventional",VLOOKUP(C3,'General information'!$A$9:$H$21,8,0))),'Fuel Formula &amp; Constant'!$F$19:$F$20,0),2),MATCH(I3,'Fuel Formula &amp; Constant'!$G$17:$J$17,0)),IF(FIND("Mowing",VLOOKUP(C3, 'General information'!$A$9:$H$21,8,0))&gt;0,OFFSET('Fuel Formula &amp; Constant'!$F$21,IFERROR(MATCH(RIGHT(VLOOKUP(C3, 'General information'!$A$9:$H$21,8,0),FIND("Conventional",VLOOKUP(C3, 'General information'!$A$9:$H$21,8,0))),'Fuel Formula &amp; Constant'!$F$22:$F$23,0),2),MATCH(I3,'Fuel Formula &amp; Constant'!$G$17:$J$17,0)),OFFSET('Fuel Formula &amp; Constant'!$J$24,IFERROR(MATCH(RIGHT(VLOOKUP(C3, 'General information'!$A$9:$H$21,8,0),FIND("Conventional",VLOOKUP(C3, 'General information'!$A$9:$H$21,8,0))),'Fuel Formula &amp; Constant'!$F$25:$F$26,0),2),MATCH(I3,'Fuel Formula &amp; Constant'!$G$17:$J$17,0))))+Cy*E3+Cch*F3+Ccch*G3+Ceh*J3,
(J3*Cblr/(K3*L3/10))*OFFSET('Fuel Formula &amp; Constant'!$C$5,MATCH(VLOOKUP(C3,'General information'!$A$9:$I$21,9,0),'Fuel Formula &amp; Constant'!$B$6:$B$8,0),0))))</f>
        <v>#N/A</v>
      </c>
      <c r="R3" t="e">
        <f t="shared" ref="R3:R54" ca="1" si="0">Q3*D3</f>
        <v>#N/A</v>
      </c>
    </row>
    <row r="4" spans="1:18" x14ac:dyDescent="0.25">
      <c r="A4" t="s">
        <v>480</v>
      </c>
      <c r="C4" t="s">
        <v>110</v>
      </c>
      <c r="D4">
        <v>600</v>
      </c>
      <c r="E4" t="e">
        <f>IF(LEFT(A4,3)="Har",VLOOKUP(C4,'General information'!$A$9:$I$21,3,0),"")</f>
        <v>#N/A</v>
      </c>
      <c r="F4">
        <v>1</v>
      </c>
      <c r="G4">
        <v>0.25</v>
      </c>
      <c r="I4" t="s">
        <v>422</v>
      </c>
      <c r="J4">
        <v>470</v>
      </c>
      <c r="P4" t="str">
        <f ca="1">IF(LEFT(A4,3)="Cul",OFFSET('Fuel Formula &amp; Constant'!$A$18,MATCH(O4,'Fuel Formula &amp; Constant'!A19:A48,0),MATCH(VLOOKUP(C4,'General information'!$A$9:$I$21,7,0),'Fuel Formula &amp; Constant'!$B$17:$D$17,0))+
(OFFSET('Fuel Formula &amp; Constant'!$A$18,MATCH(O4,'Fuel Formula &amp; Constant'!A19:A48,0)+1,MATCH(VLOOKUP(C4,'General information'!$A$9:$I$21,7,0),'Fuel Formula &amp; Constant'!$B$17:$D$17,0))*M4)+
(OFFSET('Fuel Formula &amp; Constant'!$A$18,MATCH(O4,'Fuel Formula &amp; Constant'!A19:A48,0)+2,MATCH(VLOOKUP(C4,'General information'!$A$9:$I$21,7,0),'Fuel Formula &amp; Constant'!$B$17:$D$17,0))*K4)+
(OFFSET('Fuel Formula &amp; Constant'!$A$18,MATCH(O4,'Fuel Formula &amp; Constant'!A19:A48,0)+3,MATCH(VLOOKUP(C4,'General information'!$A$9:$I$21,7,0),'Fuel Formula &amp; Constant'!$B$17:$D$17,0))*M4*K4),"")</f>
        <v/>
      </c>
      <c r="Q4" t="e">
        <f ca="1">IF(LEFT(A4,3)="Spr",(J4*Csw)/(K4*L4/10),
IF(LEFT(A4,3)="Cul",(Cdrft*P4)/VLOOKUP(H4,'Fuel Formula &amp; Constant'!$E$4:$H$7,MATCH(N4,'Fuel Formula &amp; Constant'!$F$4:$H$4,0)+1,0),
IF(LEFT(A4,3)="Har",IF(FIND("Harvesting",VLOOKUP(C4,'General information'!$A$9:$H$21,8,0))&gt;0,OFFSET('Fuel Formula &amp; Constant'!$F$18,IFERROR(MATCH(RIGHT(VLOOKUP(C4, 'General information'!$A$9:$H$21,8,0),FIND("Conventional",VLOOKUP(C4,'General information'!$A$9:$H$21,8,0))),'Fuel Formula &amp; Constant'!$F$19:$F$20,0),2),MATCH(I4,'Fuel Formula &amp; Constant'!$G$17:$J$17,0)),IF(FIND("Mowing",VLOOKUP(C4, 'General information'!$A$9:$H$21,8,0))&gt;0,OFFSET('Fuel Formula &amp; Constant'!$F$21,IFERROR(MATCH(RIGHT(VLOOKUP(C4, 'General information'!$A$9:$H$21,8,0),FIND("Conventional",VLOOKUP(C4, 'General information'!$A$9:$H$21,8,0))),'Fuel Formula &amp; Constant'!$F$22:$F$23,0),2),MATCH(I4,'Fuel Formula &amp; Constant'!$G$17:$J$17,0)),OFFSET('Fuel Formula &amp; Constant'!$J$24,IFERROR(MATCH(RIGHT(VLOOKUP(C4, 'General information'!$A$9:$H$21,8,0),FIND("Conventional",VLOOKUP(C4, 'General information'!$A$9:$H$21,8,0))),'Fuel Formula &amp; Constant'!$F$25:$F$26,0),2),MATCH(I4,'Fuel Formula &amp; Constant'!$G$17:$J$17,0))))+Cy*E4+Cch*F4+Ccch*G4+Ceh*J4,
(J4*Cblr/(K4*L4/10))*OFFSET('Fuel Formula &amp; Constant'!$C$5,MATCH(VLOOKUP(C4,'General information'!$A$9:$I$21,9,0),'Fuel Formula &amp; Constant'!$B$6:$B$8,0),0))))</f>
        <v>#N/A</v>
      </c>
      <c r="R4" t="e">
        <f t="shared" ca="1" si="0"/>
        <v>#N/A</v>
      </c>
    </row>
    <row r="5" spans="1:18" x14ac:dyDescent="0.25">
      <c r="A5" t="s">
        <v>481</v>
      </c>
      <c r="C5" t="s">
        <v>110</v>
      </c>
      <c r="D5">
        <v>89</v>
      </c>
      <c r="E5" t="str">
        <f>IF(LEFT(A5,3)="Har",VLOOKUP(C5,'General information'!$A$9:$I$21,2,0),"")</f>
        <v/>
      </c>
      <c r="J5">
        <v>42</v>
      </c>
      <c r="K5">
        <v>10</v>
      </c>
      <c r="L5">
        <v>117</v>
      </c>
      <c r="P5" t="str">
        <f ca="1">IF(LEFT(A5,3)="Cul",OFFSET('Fuel Formula &amp; Constant'!$A$18,MATCH(O5,'Fuel Formula &amp; Constant'!A20:A49,0),MATCH(VLOOKUP(C5,'General information'!$A$9:$I$21,7,0),'Fuel Formula &amp; Constant'!$B$17:$D$17,0))+
(OFFSET('Fuel Formula &amp; Constant'!$A$18,MATCH(O5,'Fuel Formula &amp; Constant'!A20:A49,0)+1,MATCH(VLOOKUP(C5,'General information'!$A$9:$I$21,7,0),'Fuel Formula &amp; Constant'!$B$17:$D$17,0))*M5)+
(OFFSET('Fuel Formula &amp; Constant'!$A$18,MATCH(O5,'Fuel Formula &amp; Constant'!A20:A49,0)+2,MATCH(VLOOKUP(C5,'General information'!$A$9:$I$21,7,0),'Fuel Formula &amp; Constant'!$B$17:$D$17,0))*K5)+
(OFFSET('Fuel Formula &amp; Constant'!$A$18,MATCH(O5,'Fuel Formula &amp; Constant'!A20:A49,0)+3,MATCH(VLOOKUP(C5,'General information'!$A$9:$I$21,7,0),'Fuel Formula &amp; Constant'!$B$17:$D$17,0))*M5*K5),"")</f>
        <v/>
      </c>
      <c r="Q5" t="e">
        <f ca="1">IF(LEFT(A5,3)="Spr",(J5*Csw)/(K5*L5/10),
IF(LEFT(A5,3)="Cul",(Cdrft*P5)/VLOOKUP(H5,'Fuel Formula &amp; Constant'!$E$4:$H$7,MATCH(N5,'Fuel Formula &amp; Constant'!$F$4:$H$4,0)+1,0),
IF(LEFT(A5,3)="Har",IF(FIND("Harvesting",VLOOKUP(C5,'General information'!$A$9:$H$21,8,0))&gt;0,OFFSET('Fuel Formula &amp; Constant'!$F$18,IFERROR(MATCH(RIGHT(VLOOKUP(C5, 'General information'!$A$9:$H$21,8,0),FIND("Conventional",VLOOKUP(C5,'General information'!$A$9:$H$21,8,0))),'Fuel Formula &amp; Constant'!$F$19:$F$20,0),2),MATCH(I5,'Fuel Formula &amp; Constant'!$G$17:$J$17,0)),IF(FIND("Mowing",VLOOKUP(C5, 'General information'!$A$9:$H$21,8,0))&gt;0,OFFSET('Fuel Formula &amp; Constant'!$F$21,IFERROR(MATCH(RIGHT(VLOOKUP(C5, 'General information'!$A$9:$H$21,8,0),FIND("Conventional",VLOOKUP(C5, 'General information'!$A$9:$H$21,8,0))),'Fuel Formula &amp; Constant'!$F$22:$F$23,0),2),MATCH(I5,'Fuel Formula &amp; Constant'!$G$17:$J$17,0)),OFFSET('Fuel Formula &amp; Constant'!$J$24,IFERROR(MATCH(RIGHT(VLOOKUP(C5, 'General information'!$A$9:$H$21,8,0),FIND("Conventional",VLOOKUP(C5, 'General information'!$A$9:$H$21,8,0))),'Fuel Formula &amp; Constant'!$F$25:$F$26,0),2),MATCH(I5,'Fuel Formula &amp; Constant'!$G$17:$J$17,0))))+Cy*E5+Cch*F5+Ccch*G5+Ceh*J5,
(J5*Cblr/(K5*L5/10))*OFFSET('Fuel Formula &amp; Constant'!$C$5,MATCH(VLOOKUP(C5,'General information'!$A$9:$I$21,9,0),'Fuel Formula &amp; Constant'!$B$6:$B$8,0),0))))</f>
        <v>#N/A</v>
      </c>
      <c r="R5" t="e">
        <f t="shared" ca="1" si="0"/>
        <v>#N/A</v>
      </c>
    </row>
    <row r="6" spans="1:18" x14ac:dyDescent="0.25">
      <c r="P6" t="str">
        <f ca="1">IF(LEFT(A6,3)="Cul",OFFSET('Fuel Formula &amp; Constant'!$A$18,MATCH(O6,'Fuel Formula &amp; Constant'!A21:A50,0),MATCH(VLOOKUP(C6,'General information'!$A$9:$I$21,7,0),'Fuel Formula &amp; Constant'!$B$17:$D$17,0))+
(OFFSET('Fuel Formula &amp; Constant'!$A$18,MATCH(O6,'Fuel Formula &amp; Constant'!A21:A50,0)+1,MATCH(VLOOKUP(C6,'General information'!$A$9:$I$21,7,0),'Fuel Formula &amp; Constant'!$B$17:$D$17,0))*M6)+
(OFFSET('Fuel Formula &amp; Constant'!$A$18,MATCH(O6,'Fuel Formula &amp; Constant'!A21:A50,0)+2,MATCH(VLOOKUP(C6,'General information'!$A$9:$I$21,7,0),'Fuel Formula &amp; Constant'!$B$17:$D$17,0))*K6)+
(OFFSET('Fuel Formula &amp; Constant'!$A$18,MATCH(O6,'Fuel Formula &amp; Constant'!A21:A50,0)+3,MATCH(VLOOKUP(C6,'General information'!$A$9:$I$21,7,0),'Fuel Formula &amp; Constant'!$B$17:$D$17,0))*M6*K6),"")</f>
        <v/>
      </c>
      <c r="R6">
        <f t="shared" si="0"/>
        <v>0</v>
      </c>
    </row>
    <row r="7" spans="1:18" x14ac:dyDescent="0.25">
      <c r="P7" t="str">
        <f ca="1">IF(LEFT(A7,3)="Cul",OFFSET('Fuel Formula &amp; Constant'!$A$18,MATCH(O7,'Fuel Formula &amp; Constant'!A22:A51,0),MATCH(VLOOKUP(C7,'General information'!$A$9:$I$21,7,0),'Fuel Formula &amp; Constant'!$B$17:$D$17,0))+
(OFFSET('Fuel Formula &amp; Constant'!$A$18,MATCH(O7,'Fuel Formula &amp; Constant'!A22:A51,0)+1,MATCH(VLOOKUP(C7,'General information'!$A$9:$I$21,7,0),'Fuel Formula &amp; Constant'!$B$17:$D$17,0))*M7)+
(OFFSET('Fuel Formula &amp; Constant'!$A$18,MATCH(O7,'Fuel Formula &amp; Constant'!A22:A51,0)+2,MATCH(VLOOKUP(C7,'General information'!$A$9:$I$21,7,0),'Fuel Formula &amp; Constant'!$B$17:$D$17,0))*K7)+
(OFFSET('Fuel Formula &amp; Constant'!$A$18,MATCH(O7,'Fuel Formula &amp; Constant'!A22:A51,0)+3,MATCH(VLOOKUP(C7,'General information'!$A$9:$I$21,7,0),'Fuel Formula &amp; Constant'!$B$17:$D$17,0))*M7*K7),"")</f>
        <v/>
      </c>
      <c r="R7">
        <f t="shared" si="0"/>
        <v>0</v>
      </c>
    </row>
    <row r="8" spans="1:18" x14ac:dyDescent="0.25">
      <c r="P8" t="str">
        <f ca="1">IF(LEFT(A8,3)="Cul",OFFSET('Fuel Formula &amp; Constant'!$A$18,MATCH(O8,'Fuel Formula &amp; Constant'!A23:A52,0),MATCH(VLOOKUP(C8,'General information'!$A$9:$I$21,7,0),'Fuel Formula &amp; Constant'!$B$17:$D$17,0))+
(OFFSET('Fuel Formula &amp; Constant'!$A$18,MATCH(O8,'Fuel Formula &amp; Constant'!A23:A52,0)+1,MATCH(VLOOKUP(C8,'General information'!$A$9:$I$21,7,0),'Fuel Formula &amp; Constant'!$B$17:$D$17,0))*M8)+
(OFFSET('Fuel Formula &amp; Constant'!$A$18,MATCH(O8,'Fuel Formula &amp; Constant'!A23:A52,0)+2,MATCH(VLOOKUP(C8,'General information'!$A$9:$I$21,7,0),'Fuel Formula &amp; Constant'!$B$17:$D$17,0))*K8)+
(OFFSET('Fuel Formula &amp; Constant'!$A$18,MATCH(O8,'Fuel Formula &amp; Constant'!A23:A52,0)+3,MATCH(VLOOKUP(C8,'General information'!$A$9:$I$21,7,0),'Fuel Formula &amp; Constant'!$B$17:$D$17,0))*M8*K8),"")</f>
        <v/>
      </c>
      <c r="R8">
        <f t="shared" si="0"/>
        <v>0</v>
      </c>
    </row>
    <row r="9" spans="1:18" x14ac:dyDescent="0.25">
      <c r="P9" t="str">
        <f ca="1">IF(LEFT(A9,3)="Cul",OFFSET('Fuel Formula &amp; Constant'!$A$18,MATCH(O9,'Fuel Formula &amp; Constant'!A24:A53,0),MATCH(VLOOKUP(C9,'General information'!$A$9:$I$21,7,0),'Fuel Formula &amp; Constant'!$B$17:$D$17,0))+
(OFFSET('Fuel Formula &amp; Constant'!$A$18,MATCH(O9,'Fuel Formula &amp; Constant'!A24:A53,0)+1,MATCH(VLOOKUP(C9,'General information'!$A$9:$I$21,7,0),'Fuel Formula &amp; Constant'!$B$17:$D$17,0))*M9)+
(OFFSET('Fuel Formula &amp; Constant'!$A$18,MATCH(O9,'Fuel Formula &amp; Constant'!A24:A53,0)+2,MATCH(VLOOKUP(C9,'General information'!$A$9:$I$21,7,0),'Fuel Formula &amp; Constant'!$B$17:$D$17,0))*K9)+
(OFFSET('Fuel Formula &amp; Constant'!$A$18,MATCH(O9,'Fuel Formula &amp; Constant'!A24:A53,0)+3,MATCH(VLOOKUP(C9,'General information'!$A$9:$I$21,7,0),'Fuel Formula &amp; Constant'!$B$17:$D$17,0))*M9*K9),"")</f>
        <v/>
      </c>
      <c r="R9">
        <f t="shared" si="0"/>
        <v>0</v>
      </c>
    </row>
    <row r="10" spans="1:18" x14ac:dyDescent="0.25">
      <c r="P10" t="str">
        <f ca="1">IF(LEFT(A10,3)="Cul",OFFSET('Fuel Formula &amp; Constant'!$A$18,MATCH(O10,'Fuel Formula &amp; Constant'!A25:A54,0),MATCH(VLOOKUP(C10,'General information'!$A$9:$I$21,7,0),'Fuel Formula &amp; Constant'!$B$17:$D$17,0))+
(OFFSET('Fuel Formula &amp; Constant'!$A$18,MATCH(O10,'Fuel Formula &amp; Constant'!A25:A54,0)+1,MATCH(VLOOKUP(C10,'General information'!$A$9:$I$21,7,0),'Fuel Formula &amp; Constant'!$B$17:$D$17,0))*M10)+
(OFFSET('Fuel Formula &amp; Constant'!$A$18,MATCH(O10,'Fuel Formula &amp; Constant'!A25:A54,0)+2,MATCH(VLOOKUP(C10,'General information'!$A$9:$I$21,7,0),'Fuel Formula &amp; Constant'!$B$17:$D$17,0))*K10)+
(OFFSET('Fuel Formula &amp; Constant'!$A$18,MATCH(O10,'Fuel Formula &amp; Constant'!A25:A54,0)+3,MATCH(VLOOKUP(C10,'General information'!$A$9:$I$21,7,0),'Fuel Formula &amp; Constant'!$B$17:$D$17,0))*M10*K10),"")</f>
        <v/>
      </c>
      <c r="R10">
        <f t="shared" si="0"/>
        <v>0</v>
      </c>
    </row>
    <row r="11" spans="1:18" x14ac:dyDescent="0.25">
      <c r="P11" t="str">
        <f ca="1">IF(LEFT(A11,3)="Cul",OFFSET('Fuel Formula &amp; Constant'!$A$18,MATCH(O11,'Fuel Formula &amp; Constant'!A26:A55,0),MATCH(VLOOKUP(C11,'General information'!$A$9:$I$21,7,0),'Fuel Formula &amp; Constant'!$B$17:$D$17,0))+
(OFFSET('Fuel Formula &amp; Constant'!$A$18,MATCH(O11,'Fuel Formula &amp; Constant'!A26:A55,0)+1,MATCH(VLOOKUP(C11,'General information'!$A$9:$I$21,7,0),'Fuel Formula &amp; Constant'!$B$17:$D$17,0))*M11)+
(OFFSET('Fuel Formula &amp; Constant'!$A$18,MATCH(O11,'Fuel Formula &amp; Constant'!A26:A55,0)+2,MATCH(VLOOKUP(C11,'General information'!$A$9:$I$21,7,0),'Fuel Formula &amp; Constant'!$B$17:$D$17,0))*K11)+
(OFFSET('Fuel Formula &amp; Constant'!$A$18,MATCH(O11,'Fuel Formula &amp; Constant'!A26:A55,0)+3,MATCH(VLOOKUP(C11,'General information'!$A$9:$I$21,7,0),'Fuel Formula &amp; Constant'!$B$17:$D$17,0))*M11*K11),"")</f>
        <v/>
      </c>
      <c r="R11">
        <f t="shared" si="0"/>
        <v>0</v>
      </c>
    </row>
    <row r="12" spans="1:18" x14ac:dyDescent="0.25">
      <c r="P12" t="str">
        <f ca="1">IF(LEFT(A12,3)="Cul",OFFSET('Fuel Formula &amp; Constant'!$A$18,MATCH(O12,'Fuel Formula &amp; Constant'!A27:A56,0),MATCH(VLOOKUP(C12,'General information'!$A$9:$I$21,7,0),'Fuel Formula &amp; Constant'!$B$17:$D$17,0))+
(OFFSET('Fuel Formula &amp; Constant'!$A$18,MATCH(O12,'Fuel Formula &amp; Constant'!A27:A56,0)+1,MATCH(VLOOKUP(C12,'General information'!$A$9:$I$21,7,0),'Fuel Formula &amp; Constant'!$B$17:$D$17,0))*M12)+
(OFFSET('Fuel Formula &amp; Constant'!$A$18,MATCH(O12,'Fuel Formula &amp; Constant'!A27:A56,0)+2,MATCH(VLOOKUP(C12,'General information'!$A$9:$I$21,7,0),'Fuel Formula &amp; Constant'!$B$17:$D$17,0))*K12)+
(OFFSET('Fuel Formula &amp; Constant'!$A$18,MATCH(O12,'Fuel Formula &amp; Constant'!A27:A56,0)+3,MATCH(VLOOKUP(C12,'General information'!$A$9:$I$21,7,0),'Fuel Formula &amp; Constant'!$B$17:$D$17,0))*M12*K12),"")</f>
        <v/>
      </c>
      <c r="R12">
        <f t="shared" si="0"/>
        <v>0</v>
      </c>
    </row>
    <row r="13" spans="1:18" x14ac:dyDescent="0.25">
      <c r="P13" t="str">
        <f ca="1">IF(LEFT(A13,3)="Cul",OFFSET('Fuel Formula &amp; Constant'!$A$18,MATCH(O13,'Fuel Formula &amp; Constant'!A28:A57,0),MATCH(VLOOKUP(C13,'General information'!$A$9:$I$21,7,0),'Fuel Formula &amp; Constant'!$B$17:$D$17,0))+
(OFFSET('Fuel Formula &amp; Constant'!$A$18,MATCH(O13,'Fuel Formula &amp; Constant'!A28:A57,0)+1,MATCH(VLOOKUP(C13,'General information'!$A$9:$I$21,7,0),'Fuel Formula &amp; Constant'!$B$17:$D$17,0))*M13)+
(OFFSET('Fuel Formula &amp; Constant'!$A$18,MATCH(O13,'Fuel Formula &amp; Constant'!A28:A57,0)+2,MATCH(VLOOKUP(C13,'General information'!$A$9:$I$21,7,0),'Fuel Formula &amp; Constant'!$B$17:$D$17,0))*K13)+
(OFFSET('Fuel Formula &amp; Constant'!$A$18,MATCH(O13,'Fuel Formula &amp; Constant'!A28:A57,0)+3,MATCH(VLOOKUP(C13,'General information'!$A$9:$I$21,7,0),'Fuel Formula &amp; Constant'!$B$17:$D$17,0))*M13*K13),"")</f>
        <v/>
      </c>
      <c r="R13">
        <f t="shared" si="0"/>
        <v>0</v>
      </c>
    </row>
    <row r="14" spans="1:18" x14ac:dyDescent="0.25">
      <c r="P14" t="str">
        <f ca="1">IF(LEFT(A14,3)="Cul",OFFSET('Fuel Formula &amp; Constant'!$A$18,MATCH(O14,'Fuel Formula &amp; Constant'!A29:A58,0),MATCH(VLOOKUP(C14,'General information'!$A$9:$I$21,7,0),'Fuel Formula &amp; Constant'!$B$17:$D$17,0))+
(OFFSET('Fuel Formula &amp; Constant'!$A$18,MATCH(O14,'Fuel Formula &amp; Constant'!A29:A58,0)+1,MATCH(VLOOKUP(C14,'General information'!$A$9:$I$21,7,0),'Fuel Formula &amp; Constant'!$B$17:$D$17,0))*M14)+
(OFFSET('Fuel Formula &amp; Constant'!$A$18,MATCH(O14,'Fuel Formula &amp; Constant'!A29:A58,0)+2,MATCH(VLOOKUP(C14,'General information'!$A$9:$I$21,7,0),'Fuel Formula &amp; Constant'!$B$17:$D$17,0))*K14)+
(OFFSET('Fuel Formula &amp; Constant'!$A$18,MATCH(O14,'Fuel Formula &amp; Constant'!A29:A58,0)+3,MATCH(VLOOKUP(C14,'General information'!$A$9:$I$21,7,0),'Fuel Formula &amp; Constant'!$B$17:$D$17,0))*M14*K14),"")</f>
        <v/>
      </c>
      <c r="R14">
        <f t="shared" si="0"/>
        <v>0</v>
      </c>
    </row>
    <row r="15" spans="1:18" x14ac:dyDescent="0.25">
      <c r="P15" t="str">
        <f ca="1">IF(LEFT(A15,3)="Cul",OFFSET('Fuel Formula &amp; Constant'!$A$18,MATCH(O15,'Fuel Formula &amp; Constant'!A30:A59,0),MATCH(VLOOKUP(C15,'General information'!$A$9:$I$21,7,0),'Fuel Formula &amp; Constant'!$B$17:$D$17,0))+
(OFFSET('Fuel Formula &amp; Constant'!$A$18,MATCH(O15,'Fuel Formula &amp; Constant'!A30:A59,0)+1,MATCH(VLOOKUP(C15,'General information'!$A$9:$I$21,7,0),'Fuel Formula &amp; Constant'!$B$17:$D$17,0))*M15)+
(OFFSET('Fuel Formula &amp; Constant'!$A$18,MATCH(O15,'Fuel Formula &amp; Constant'!A30:A59,0)+2,MATCH(VLOOKUP(C15,'General information'!$A$9:$I$21,7,0),'Fuel Formula &amp; Constant'!$B$17:$D$17,0))*K15)+
(OFFSET('Fuel Formula &amp; Constant'!$A$18,MATCH(O15,'Fuel Formula &amp; Constant'!A30:A59,0)+3,MATCH(VLOOKUP(C15,'General information'!$A$9:$I$21,7,0),'Fuel Formula &amp; Constant'!$B$17:$D$17,0))*M15*K15),"")</f>
        <v/>
      </c>
      <c r="R15">
        <f t="shared" si="0"/>
        <v>0</v>
      </c>
    </row>
    <row r="16" spans="1:18" x14ac:dyDescent="0.25">
      <c r="P16" t="str">
        <f ca="1">IF(LEFT(A16,3)="Cul",OFFSET('Fuel Formula &amp; Constant'!$A$18,MATCH(O16,'Fuel Formula &amp; Constant'!A31:A60,0),MATCH(VLOOKUP(C16,'General information'!$A$9:$I$21,7,0),'Fuel Formula &amp; Constant'!$B$17:$D$17,0))+
(OFFSET('Fuel Formula &amp; Constant'!$A$18,MATCH(O16,'Fuel Formula &amp; Constant'!A31:A60,0)+1,MATCH(VLOOKUP(C16,'General information'!$A$9:$I$21,7,0),'Fuel Formula &amp; Constant'!$B$17:$D$17,0))*M16)+
(OFFSET('Fuel Formula &amp; Constant'!$A$18,MATCH(O16,'Fuel Formula &amp; Constant'!A31:A60,0)+2,MATCH(VLOOKUP(C16,'General information'!$A$9:$I$21,7,0),'Fuel Formula &amp; Constant'!$B$17:$D$17,0))*K16)+
(OFFSET('Fuel Formula &amp; Constant'!$A$18,MATCH(O16,'Fuel Formula &amp; Constant'!A31:A60,0)+3,MATCH(VLOOKUP(C16,'General information'!$A$9:$I$21,7,0),'Fuel Formula &amp; Constant'!$B$17:$D$17,0))*M16*K16),"")</f>
        <v/>
      </c>
      <c r="R16">
        <f t="shared" si="0"/>
        <v>0</v>
      </c>
    </row>
    <row r="17" spans="16:18" x14ac:dyDescent="0.25">
      <c r="P17" t="str">
        <f ca="1">IF(LEFT(A17,3)="Cul",OFFSET('Fuel Formula &amp; Constant'!$A$18,MATCH(O17,'Fuel Formula &amp; Constant'!A32:A61,0),MATCH(VLOOKUP(C17,'General information'!$A$9:$I$21,7,0),'Fuel Formula &amp; Constant'!$B$17:$D$17,0))+
(OFFSET('Fuel Formula &amp; Constant'!$A$18,MATCH(O17,'Fuel Formula &amp; Constant'!A32:A61,0)+1,MATCH(VLOOKUP(C17,'General information'!$A$9:$I$21,7,0),'Fuel Formula &amp; Constant'!$B$17:$D$17,0))*M17)+
(OFFSET('Fuel Formula &amp; Constant'!$A$18,MATCH(O17,'Fuel Formula &amp; Constant'!A32:A61,0)+2,MATCH(VLOOKUP(C17,'General information'!$A$9:$I$21,7,0),'Fuel Formula &amp; Constant'!$B$17:$D$17,0))*K17)+
(OFFSET('Fuel Formula &amp; Constant'!$A$18,MATCH(O17,'Fuel Formula &amp; Constant'!A32:A61,0)+3,MATCH(VLOOKUP(C17,'General information'!$A$9:$I$21,7,0),'Fuel Formula &amp; Constant'!$B$17:$D$17,0))*M17*K17),"")</f>
        <v/>
      </c>
      <c r="R17">
        <f t="shared" si="0"/>
        <v>0</v>
      </c>
    </row>
    <row r="18" spans="16:18" x14ac:dyDescent="0.25">
      <c r="P18" t="str">
        <f ca="1">IF(LEFT(A18,3)="Cul",OFFSET('Fuel Formula &amp; Constant'!$A$18,MATCH(O18,'Fuel Formula &amp; Constant'!A33:A62,0),MATCH(VLOOKUP(C18,'General information'!$A$9:$I$21,7,0),'Fuel Formula &amp; Constant'!$B$17:$D$17,0))+
(OFFSET('Fuel Formula &amp; Constant'!$A$18,MATCH(O18,'Fuel Formula &amp; Constant'!A33:A62,0)+1,MATCH(VLOOKUP(C18,'General information'!$A$9:$I$21,7,0),'Fuel Formula &amp; Constant'!$B$17:$D$17,0))*M18)+
(OFFSET('Fuel Formula &amp; Constant'!$A$18,MATCH(O18,'Fuel Formula &amp; Constant'!A33:A62,0)+2,MATCH(VLOOKUP(C18,'General information'!$A$9:$I$21,7,0),'Fuel Formula &amp; Constant'!$B$17:$D$17,0))*K18)+
(OFFSET('Fuel Formula &amp; Constant'!$A$18,MATCH(O18,'Fuel Formula &amp; Constant'!A33:A62,0)+3,MATCH(VLOOKUP(C18,'General information'!$A$9:$I$21,7,0),'Fuel Formula &amp; Constant'!$B$17:$D$17,0))*M18*K18),"")</f>
        <v/>
      </c>
      <c r="R18">
        <f t="shared" si="0"/>
        <v>0</v>
      </c>
    </row>
    <row r="19" spans="16:18" x14ac:dyDescent="0.25">
      <c r="P19" t="str">
        <f ca="1">IF(LEFT(A19,3)="Cul",OFFSET('Fuel Formula &amp; Constant'!$A$18,MATCH(O19,'Fuel Formula &amp; Constant'!A34:A63,0),MATCH(VLOOKUP(C19,'General information'!$A$9:$I$21,7,0),'Fuel Formula &amp; Constant'!$B$17:$D$17,0))+
(OFFSET('Fuel Formula &amp; Constant'!$A$18,MATCH(O19,'Fuel Formula &amp; Constant'!A34:A63,0)+1,MATCH(VLOOKUP(C19,'General information'!$A$9:$I$21,7,0),'Fuel Formula &amp; Constant'!$B$17:$D$17,0))*M19)+
(OFFSET('Fuel Formula &amp; Constant'!$A$18,MATCH(O19,'Fuel Formula &amp; Constant'!A34:A63,0)+2,MATCH(VLOOKUP(C19,'General information'!$A$9:$I$21,7,0),'Fuel Formula &amp; Constant'!$B$17:$D$17,0))*K19)+
(OFFSET('Fuel Formula &amp; Constant'!$A$18,MATCH(O19,'Fuel Formula &amp; Constant'!A34:A63,0)+3,MATCH(VLOOKUP(C19,'General information'!$A$9:$I$21,7,0),'Fuel Formula &amp; Constant'!$B$17:$D$17,0))*M19*K19),"")</f>
        <v/>
      </c>
      <c r="R19">
        <f t="shared" si="0"/>
        <v>0</v>
      </c>
    </row>
    <row r="20" spans="16:18" x14ac:dyDescent="0.25">
      <c r="P20" t="str">
        <f ca="1">IF(LEFT(A20,3)="Cul",OFFSET('Fuel Formula &amp; Constant'!$A$18,MATCH(O20,'Fuel Formula &amp; Constant'!A35:A64,0),MATCH(VLOOKUP(C20,'General information'!$A$9:$I$21,7,0),'Fuel Formula &amp; Constant'!$B$17:$D$17,0))+
(OFFSET('Fuel Formula &amp; Constant'!$A$18,MATCH(O20,'Fuel Formula &amp; Constant'!A35:A64,0)+1,MATCH(VLOOKUP(C20,'General information'!$A$9:$I$21,7,0),'Fuel Formula &amp; Constant'!$B$17:$D$17,0))*M20)+
(OFFSET('Fuel Formula &amp; Constant'!$A$18,MATCH(O20,'Fuel Formula &amp; Constant'!A35:A64,0)+2,MATCH(VLOOKUP(C20,'General information'!$A$9:$I$21,7,0),'Fuel Formula &amp; Constant'!$B$17:$D$17,0))*K20)+
(OFFSET('Fuel Formula &amp; Constant'!$A$18,MATCH(O20,'Fuel Formula &amp; Constant'!A35:A64,0)+3,MATCH(VLOOKUP(C20,'General information'!$A$9:$I$21,7,0),'Fuel Formula &amp; Constant'!$B$17:$D$17,0))*M20*K20),"")</f>
        <v/>
      </c>
      <c r="R20">
        <f t="shared" si="0"/>
        <v>0</v>
      </c>
    </row>
    <row r="21" spans="16:18" x14ac:dyDescent="0.25">
      <c r="P21" t="str">
        <f ca="1">IF(LEFT(A21,3)="Cul",OFFSET('Fuel Formula &amp; Constant'!$A$18,MATCH(O21,'Fuel Formula &amp; Constant'!A36:A65,0),MATCH(VLOOKUP(C21,'General information'!$A$9:$I$21,7,0),'Fuel Formula &amp; Constant'!$B$17:$D$17,0))+
(OFFSET('Fuel Formula &amp; Constant'!$A$18,MATCH(O21,'Fuel Formula &amp; Constant'!A36:A65,0)+1,MATCH(VLOOKUP(C21,'General information'!$A$9:$I$21,7,0),'Fuel Formula &amp; Constant'!$B$17:$D$17,0))*M21)+
(OFFSET('Fuel Formula &amp; Constant'!$A$18,MATCH(O21,'Fuel Formula &amp; Constant'!A36:A65,0)+2,MATCH(VLOOKUP(C21,'General information'!$A$9:$I$21,7,0),'Fuel Formula &amp; Constant'!$B$17:$D$17,0))*K21)+
(OFFSET('Fuel Formula &amp; Constant'!$A$18,MATCH(O21,'Fuel Formula &amp; Constant'!A36:A65,0)+3,MATCH(VLOOKUP(C21,'General information'!$A$9:$I$21,7,0),'Fuel Formula &amp; Constant'!$B$17:$D$17,0))*M21*K21),"")</f>
        <v/>
      </c>
      <c r="R21">
        <f t="shared" si="0"/>
        <v>0</v>
      </c>
    </row>
    <row r="22" spans="16:18" x14ac:dyDescent="0.25">
      <c r="P22" t="str">
        <f ca="1">IF(LEFT(A22,3)="Cul",OFFSET('Fuel Formula &amp; Constant'!$A$18,MATCH(O22,'Fuel Formula &amp; Constant'!A37:A66,0),MATCH(VLOOKUP(C22,'General information'!$A$9:$I$21,7,0),'Fuel Formula &amp; Constant'!$B$17:$D$17,0))+
(OFFSET('Fuel Formula &amp; Constant'!$A$18,MATCH(O22,'Fuel Formula &amp; Constant'!A37:A66,0)+1,MATCH(VLOOKUP(C22,'General information'!$A$9:$I$21,7,0),'Fuel Formula &amp; Constant'!$B$17:$D$17,0))*M22)+
(OFFSET('Fuel Formula &amp; Constant'!$A$18,MATCH(O22,'Fuel Formula &amp; Constant'!A37:A66,0)+2,MATCH(VLOOKUP(C22,'General information'!$A$9:$I$21,7,0),'Fuel Formula &amp; Constant'!$B$17:$D$17,0))*K22)+
(OFFSET('Fuel Formula &amp; Constant'!$A$18,MATCH(O22,'Fuel Formula &amp; Constant'!A37:A66,0)+3,MATCH(VLOOKUP(C22,'General information'!$A$9:$I$21,7,0),'Fuel Formula &amp; Constant'!$B$17:$D$17,0))*M22*K22),"")</f>
        <v/>
      </c>
      <c r="R22">
        <f t="shared" si="0"/>
        <v>0</v>
      </c>
    </row>
    <row r="23" spans="16:18" x14ac:dyDescent="0.25">
      <c r="P23" t="str">
        <f ca="1">IF(LEFT(A23,3)="Cul",OFFSET('Fuel Formula &amp; Constant'!$A$18,MATCH(O23,'Fuel Formula &amp; Constant'!A38:A67,0),MATCH(VLOOKUP(C23,'General information'!$A$9:$I$21,7,0),'Fuel Formula &amp; Constant'!$B$17:$D$17,0))+
(OFFSET('Fuel Formula &amp; Constant'!$A$18,MATCH(O23,'Fuel Formula &amp; Constant'!A38:A67,0)+1,MATCH(VLOOKUP(C23,'General information'!$A$9:$I$21,7,0),'Fuel Formula &amp; Constant'!$B$17:$D$17,0))*M23)+
(OFFSET('Fuel Formula &amp; Constant'!$A$18,MATCH(O23,'Fuel Formula &amp; Constant'!A38:A67,0)+2,MATCH(VLOOKUP(C23,'General information'!$A$9:$I$21,7,0),'Fuel Formula &amp; Constant'!$B$17:$D$17,0))*K23)+
(OFFSET('Fuel Formula &amp; Constant'!$A$18,MATCH(O23,'Fuel Formula &amp; Constant'!A38:A67,0)+3,MATCH(VLOOKUP(C23,'General information'!$A$9:$I$21,7,0),'Fuel Formula &amp; Constant'!$B$17:$D$17,0))*M23*K23),"")</f>
        <v/>
      </c>
      <c r="R23">
        <f t="shared" si="0"/>
        <v>0</v>
      </c>
    </row>
    <row r="24" spans="16:18" x14ac:dyDescent="0.25">
      <c r="P24" t="str">
        <f ca="1">IF(LEFT(A24,3)="Cul",OFFSET('Fuel Formula &amp; Constant'!$A$18,MATCH(O24,'Fuel Formula &amp; Constant'!A39:A68,0),MATCH(VLOOKUP(C24,'General information'!$A$9:$I$21,7,0),'Fuel Formula &amp; Constant'!$B$17:$D$17,0))+
(OFFSET('Fuel Formula &amp; Constant'!$A$18,MATCH(O24,'Fuel Formula &amp; Constant'!A39:A68,0)+1,MATCH(VLOOKUP(C24,'General information'!$A$9:$I$21,7,0),'Fuel Formula &amp; Constant'!$B$17:$D$17,0))*M24)+
(OFFSET('Fuel Formula &amp; Constant'!$A$18,MATCH(O24,'Fuel Formula &amp; Constant'!A39:A68,0)+2,MATCH(VLOOKUP(C24,'General information'!$A$9:$I$21,7,0),'Fuel Formula &amp; Constant'!$B$17:$D$17,0))*K24)+
(OFFSET('Fuel Formula &amp; Constant'!$A$18,MATCH(O24,'Fuel Formula &amp; Constant'!A39:A68,0)+3,MATCH(VLOOKUP(C24,'General information'!$A$9:$I$21,7,0),'Fuel Formula &amp; Constant'!$B$17:$D$17,0))*M24*K24),"")</f>
        <v/>
      </c>
      <c r="R24">
        <f t="shared" si="0"/>
        <v>0</v>
      </c>
    </row>
    <row r="25" spans="16:18" x14ac:dyDescent="0.25">
      <c r="P25" t="str">
        <f ca="1">IF(LEFT(A25,3)="Cul",OFFSET('Fuel Formula &amp; Constant'!$A$18,MATCH(O25,'Fuel Formula &amp; Constant'!A40:A69,0),MATCH(VLOOKUP(C25,'General information'!$A$9:$I$21,7,0),'Fuel Formula &amp; Constant'!$B$17:$D$17,0))+
(OFFSET('Fuel Formula &amp; Constant'!$A$18,MATCH(O25,'Fuel Formula &amp; Constant'!A40:A69,0)+1,MATCH(VLOOKUP(C25,'General information'!$A$9:$I$21,7,0),'Fuel Formula &amp; Constant'!$B$17:$D$17,0))*M25)+
(OFFSET('Fuel Formula &amp; Constant'!$A$18,MATCH(O25,'Fuel Formula &amp; Constant'!A40:A69,0)+2,MATCH(VLOOKUP(C25,'General information'!$A$9:$I$21,7,0),'Fuel Formula &amp; Constant'!$B$17:$D$17,0))*K25)+
(OFFSET('Fuel Formula &amp; Constant'!$A$18,MATCH(O25,'Fuel Formula &amp; Constant'!A40:A69,0)+3,MATCH(VLOOKUP(C25,'General information'!$A$9:$I$21,7,0),'Fuel Formula &amp; Constant'!$B$17:$D$17,0))*M25*K25),"")</f>
        <v/>
      </c>
      <c r="R25">
        <f t="shared" si="0"/>
        <v>0</v>
      </c>
    </row>
    <row r="26" spans="16:18" x14ac:dyDescent="0.25">
      <c r="P26" t="str">
        <f ca="1">IF(LEFT(A26,3)="Cul",OFFSET('Fuel Formula &amp; Constant'!$A$18,MATCH(O26,'Fuel Formula &amp; Constant'!A41:A70,0),MATCH(VLOOKUP(C26,'General information'!$A$9:$I$21,7,0),'Fuel Formula &amp; Constant'!$B$17:$D$17,0))+
(OFFSET('Fuel Formula &amp; Constant'!$A$18,MATCH(O26,'Fuel Formula &amp; Constant'!A41:A70,0)+1,MATCH(VLOOKUP(C26,'General information'!$A$9:$I$21,7,0),'Fuel Formula &amp; Constant'!$B$17:$D$17,0))*M26)+
(OFFSET('Fuel Formula &amp; Constant'!$A$18,MATCH(O26,'Fuel Formula &amp; Constant'!A41:A70,0)+2,MATCH(VLOOKUP(C26,'General information'!$A$9:$I$21,7,0),'Fuel Formula &amp; Constant'!$B$17:$D$17,0))*K26)+
(OFFSET('Fuel Formula &amp; Constant'!$A$18,MATCH(O26,'Fuel Formula &amp; Constant'!A41:A70,0)+3,MATCH(VLOOKUP(C26,'General information'!$A$9:$I$21,7,0),'Fuel Formula &amp; Constant'!$B$17:$D$17,0))*M26*K26),"")</f>
        <v/>
      </c>
      <c r="R26">
        <f t="shared" si="0"/>
        <v>0</v>
      </c>
    </row>
    <row r="27" spans="16:18" x14ac:dyDescent="0.25">
      <c r="P27" t="str">
        <f ca="1">IF(LEFT(A27,3)="Cul",OFFSET('Fuel Formula &amp; Constant'!$A$18,MATCH(O27,'Fuel Formula &amp; Constant'!A42:A71,0),MATCH(VLOOKUP(C27,'General information'!$A$9:$I$21,7,0),'Fuel Formula &amp; Constant'!$B$17:$D$17,0))+
(OFFSET('Fuel Formula &amp; Constant'!$A$18,MATCH(O27,'Fuel Formula &amp; Constant'!A42:A71,0)+1,MATCH(VLOOKUP(C27,'General information'!$A$9:$I$21,7,0),'Fuel Formula &amp; Constant'!$B$17:$D$17,0))*M27)+
(OFFSET('Fuel Formula &amp; Constant'!$A$18,MATCH(O27,'Fuel Formula &amp; Constant'!A42:A71,0)+2,MATCH(VLOOKUP(C27,'General information'!$A$9:$I$21,7,0),'Fuel Formula &amp; Constant'!$B$17:$D$17,0))*K27)+
(OFFSET('Fuel Formula &amp; Constant'!$A$18,MATCH(O27,'Fuel Formula &amp; Constant'!A42:A71,0)+3,MATCH(VLOOKUP(C27,'General information'!$A$9:$I$21,7,0),'Fuel Formula &amp; Constant'!$B$17:$D$17,0))*M27*K27),"")</f>
        <v/>
      </c>
      <c r="R27">
        <f t="shared" si="0"/>
        <v>0</v>
      </c>
    </row>
    <row r="28" spans="16:18" x14ac:dyDescent="0.25">
      <c r="P28" t="str">
        <f ca="1">IF(LEFT(A28,3)="Cul",OFFSET('Fuel Formula &amp; Constant'!$A$18,MATCH(O28,'Fuel Formula &amp; Constant'!A43:A72,0),MATCH(VLOOKUP(C28,'General information'!$A$9:$I$21,7,0),'Fuel Formula &amp; Constant'!$B$17:$D$17,0))+
(OFFSET('Fuel Formula &amp; Constant'!$A$18,MATCH(O28,'Fuel Formula &amp; Constant'!A43:A72,0)+1,MATCH(VLOOKUP(C28,'General information'!$A$9:$I$21,7,0),'Fuel Formula &amp; Constant'!$B$17:$D$17,0))*M28)+
(OFFSET('Fuel Formula &amp; Constant'!$A$18,MATCH(O28,'Fuel Formula &amp; Constant'!A43:A72,0)+2,MATCH(VLOOKUP(C28,'General information'!$A$9:$I$21,7,0),'Fuel Formula &amp; Constant'!$B$17:$D$17,0))*K28)+
(OFFSET('Fuel Formula &amp; Constant'!$A$18,MATCH(O28,'Fuel Formula &amp; Constant'!A43:A72,0)+3,MATCH(VLOOKUP(C28,'General information'!$A$9:$I$21,7,0),'Fuel Formula &amp; Constant'!$B$17:$D$17,0))*M28*K28),"")</f>
        <v/>
      </c>
      <c r="R28">
        <f t="shared" si="0"/>
        <v>0</v>
      </c>
    </row>
    <row r="29" spans="16:18" x14ac:dyDescent="0.25">
      <c r="P29" t="str">
        <f ca="1">IF(LEFT(A29,3)="Cul",OFFSET('Fuel Formula &amp; Constant'!$A$18,MATCH(O29,'Fuel Formula &amp; Constant'!A44:A73,0),MATCH(VLOOKUP(C29,'General information'!$A$9:$I$21,7,0),'Fuel Formula &amp; Constant'!$B$17:$D$17,0))+
(OFFSET('Fuel Formula &amp; Constant'!$A$18,MATCH(O29,'Fuel Formula &amp; Constant'!A44:A73,0)+1,MATCH(VLOOKUP(C29,'General information'!$A$9:$I$21,7,0),'Fuel Formula &amp; Constant'!$B$17:$D$17,0))*M29)+
(OFFSET('Fuel Formula &amp; Constant'!$A$18,MATCH(O29,'Fuel Formula &amp; Constant'!A44:A73,0)+2,MATCH(VLOOKUP(C29,'General information'!$A$9:$I$21,7,0),'Fuel Formula &amp; Constant'!$B$17:$D$17,0))*K29)+
(OFFSET('Fuel Formula &amp; Constant'!$A$18,MATCH(O29,'Fuel Formula &amp; Constant'!A44:A73,0)+3,MATCH(VLOOKUP(C29,'General information'!$A$9:$I$21,7,0),'Fuel Formula &amp; Constant'!$B$17:$D$17,0))*M29*K29),"")</f>
        <v/>
      </c>
      <c r="R29">
        <f t="shared" si="0"/>
        <v>0</v>
      </c>
    </row>
    <row r="30" spans="16:18" x14ac:dyDescent="0.25">
      <c r="P30" t="str">
        <f ca="1">IF(LEFT(A30,3)="Cul",OFFSET('Fuel Formula &amp; Constant'!$A$18,MATCH(O30,'Fuel Formula &amp; Constant'!A45:A74,0),MATCH(VLOOKUP(C30,'General information'!$A$9:$I$21,7,0),'Fuel Formula &amp; Constant'!$B$17:$D$17,0))+
(OFFSET('Fuel Formula &amp; Constant'!$A$18,MATCH(O30,'Fuel Formula &amp; Constant'!A45:A74,0)+1,MATCH(VLOOKUP(C30,'General information'!$A$9:$I$21,7,0),'Fuel Formula &amp; Constant'!$B$17:$D$17,0))*M30)+
(OFFSET('Fuel Formula &amp; Constant'!$A$18,MATCH(O30,'Fuel Formula &amp; Constant'!A45:A74,0)+2,MATCH(VLOOKUP(C30,'General information'!$A$9:$I$21,7,0),'Fuel Formula &amp; Constant'!$B$17:$D$17,0))*K30)+
(OFFSET('Fuel Formula &amp; Constant'!$A$18,MATCH(O30,'Fuel Formula &amp; Constant'!A45:A74,0)+3,MATCH(VLOOKUP(C30,'General information'!$A$9:$I$21,7,0),'Fuel Formula &amp; Constant'!$B$17:$D$17,0))*M30*K30),"")</f>
        <v/>
      </c>
      <c r="R30">
        <f t="shared" si="0"/>
        <v>0</v>
      </c>
    </row>
    <row r="31" spans="16:18" x14ac:dyDescent="0.25">
      <c r="P31" t="str">
        <f ca="1">IF(LEFT(A31,3)="Cul",OFFSET('Fuel Formula &amp; Constant'!$A$18,MATCH(O31,'Fuel Formula &amp; Constant'!A46:A75,0),MATCH(VLOOKUP(C31,'General information'!$A$9:$I$21,7,0),'Fuel Formula &amp; Constant'!$B$17:$D$17,0))+
(OFFSET('Fuel Formula &amp; Constant'!$A$18,MATCH(O31,'Fuel Formula &amp; Constant'!A46:A75,0)+1,MATCH(VLOOKUP(C31,'General information'!$A$9:$I$21,7,0),'Fuel Formula &amp; Constant'!$B$17:$D$17,0))*M31)+
(OFFSET('Fuel Formula &amp; Constant'!$A$18,MATCH(O31,'Fuel Formula &amp; Constant'!A46:A75,0)+2,MATCH(VLOOKUP(C31,'General information'!$A$9:$I$21,7,0),'Fuel Formula &amp; Constant'!$B$17:$D$17,0))*K31)+
(OFFSET('Fuel Formula &amp; Constant'!$A$18,MATCH(O31,'Fuel Formula &amp; Constant'!A46:A75,0)+3,MATCH(VLOOKUP(C31,'General information'!$A$9:$I$21,7,0),'Fuel Formula &amp; Constant'!$B$17:$D$17,0))*M31*K31),"")</f>
        <v/>
      </c>
      <c r="R31">
        <f t="shared" si="0"/>
        <v>0</v>
      </c>
    </row>
    <row r="32" spans="16:18" x14ac:dyDescent="0.25">
      <c r="P32" t="str">
        <f ca="1">IF(LEFT(A32,3)="Cul",OFFSET('Fuel Formula &amp; Constant'!$A$18,MATCH(O32,'Fuel Formula &amp; Constant'!A47:A76,0),MATCH(VLOOKUP(C32,'General information'!$A$9:$I$21,7,0),'Fuel Formula &amp; Constant'!$B$17:$D$17,0))+
(OFFSET('Fuel Formula &amp; Constant'!$A$18,MATCH(O32,'Fuel Formula &amp; Constant'!A47:A76,0)+1,MATCH(VLOOKUP(C32,'General information'!$A$9:$I$21,7,0),'Fuel Formula &amp; Constant'!$B$17:$D$17,0))*M32)+
(OFFSET('Fuel Formula &amp; Constant'!$A$18,MATCH(O32,'Fuel Formula &amp; Constant'!A47:A76,0)+2,MATCH(VLOOKUP(C32,'General information'!$A$9:$I$21,7,0),'Fuel Formula &amp; Constant'!$B$17:$D$17,0))*K32)+
(OFFSET('Fuel Formula &amp; Constant'!$A$18,MATCH(O32,'Fuel Formula &amp; Constant'!A47:A76,0)+3,MATCH(VLOOKUP(C32,'General information'!$A$9:$I$21,7,0),'Fuel Formula &amp; Constant'!$B$17:$D$17,0))*M32*K32),"")</f>
        <v/>
      </c>
      <c r="R32">
        <f t="shared" si="0"/>
        <v>0</v>
      </c>
    </row>
    <row r="33" spans="16:18" x14ac:dyDescent="0.25">
      <c r="P33" t="str">
        <f ca="1">IF(LEFT(A33,3)="Cul",OFFSET('Fuel Formula &amp; Constant'!$A$18,MATCH(O33,'Fuel Formula &amp; Constant'!A48:A77,0),MATCH(VLOOKUP(C33,'General information'!$A$9:$I$21,7,0),'Fuel Formula &amp; Constant'!$B$17:$D$17,0))+
(OFFSET('Fuel Formula &amp; Constant'!$A$18,MATCH(O33,'Fuel Formula &amp; Constant'!A48:A77,0)+1,MATCH(VLOOKUP(C33,'General information'!$A$9:$I$21,7,0),'Fuel Formula &amp; Constant'!$B$17:$D$17,0))*M33)+
(OFFSET('Fuel Formula &amp; Constant'!$A$18,MATCH(O33,'Fuel Formula &amp; Constant'!A48:A77,0)+2,MATCH(VLOOKUP(C33,'General information'!$A$9:$I$21,7,0),'Fuel Formula &amp; Constant'!$B$17:$D$17,0))*K33)+
(OFFSET('Fuel Formula &amp; Constant'!$A$18,MATCH(O33,'Fuel Formula &amp; Constant'!A48:A77,0)+3,MATCH(VLOOKUP(C33,'General information'!$A$9:$I$21,7,0),'Fuel Formula &amp; Constant'!$B$17:$D$17,0))*M33*K33),"")</f>
        <v/>
      </c>
      <c r="R33">
        <f t="shared" si="0"/>
        <v>0</v>
      </c>
    </row>
    <row r="34" spans="16:18" x14ac:dyDescent="0.25">
      <c r="P34" t="str">
        <f ca="1">IF(LEFT(A34,3)="Cul",OFFSET('Fuel Formula &amp; Constant'!$A$18,MATCH(O34,'Fuel Formula &amp; Constant'!A49:A78,0),MATCH(VLOOKUP(C34,'General information'!$A$9:$I$21,7,0),'Fuel Formula &amp; Constant'!$B$17:$D$17,0))+
(OFFSET('Fuel Formula &amp; Constant'!$A$18,MATCH(O34,'Fuel Formula &amp; Constant'!A49:A78,0)+1,MATCH(VLOOKUP(C34,'General information'!$A$9:$I$21,7,0),'Fuel Formula &amp; Constant'!$B$17:$D$17,0))*M34)+
(OFFSET('Fuel Formula &amp; Constant'!$A$18,MATCH(O34,'Fuel Formula &amp; Constant'!A49:A78,0)+2,MATCH(VLOOKUP(C34,'General information'!$A$9:$I$21,7,0),'Fuel Formula &amp; Constant'!$B$17:$D$17,0))*K34)+
(OFFSET('Fuel Formula &amp; Constant'!$A$18,MATCH(O34,'Fuel Formula &amp; Constant'!A49:A78,0)+3,MATCH(VLOOKUP(C34,'General information'!$A$9:$I$21,7,0),'Fuel Formula &amp; Constant'!$B$17:$D$17,0))*M34*K34),"")</f>
        <v/>
      </c>
      <c r="R34">
        <f t="shared" si="0"/>
        <v>0</v>
      </c>
    </row>
    <row r="35" spans="16:18" x14ac:dyDescent="0.25">
      <c r="P35" t="str">
        <f ca="1">IF(LEFT(A35,3)="Cul",OFFSET('Fuel Formula &amp; Constant'!$A$18,MATCH(O35,'Fuel Formula &amp; Constant'!A50:A79,0),MATCH(VLOOKUP(C35,'General information'!$A$9:$I$21,7,0),'Fuel Formula &amp; Constant'!$B$17:$D$17,0))+
(OFFSET('Fuel Formula &amp; Constant'!$A$18,MATCH(O35,'Fuel Formula &amp; Constant'!A50:A79,0)+1,MATCH(VLOOKUP(C35,'General information'!$A$9:$I$21,7,0),'Fuel Formula &amp; Constant'!$B$17:$D$17,0))*M35)+
(OFFSET('Fuel Formula &amp; Constant'!$A$18,MATCH(O35,'Fuel Formula &amp; Constant'!A50:A79,0)+2,MATCH(VLOOKUP(C35,'General information'!$A$9:$I$21,7,0),'Fuel Formula &amp; Constant'!$B$17:$D$17,0))*K35)+
(OFFSET('Fuel Formula &amp; Constant'!$A$18,MATCH(O35,'Fuel Formula &amp; Constant'!A50:A79,0)+3,MATCH(VLOOKUP(C35,'General information'!$A$9:$I$21,7,0),'Fuel Formula &amp; Constant'!$B$17:$D$17,0))*M35*K35),"")</f>
        <v/>
      </c>
      <c r="R35">
        <f t="shared" si="0"/>
        <v>0</v>
      </c>
    </row>
    <row r="36" spans="16:18" x14ac:dyDescent="0.25">
      <c r="P36" t="str">
        <f ca="1">IF(LEFT(A36,3)="Cul",OFFSET('Fuel Formula &amp; Constant'!$A$18,MATCH(O36,'Fuel Formula &amp; Constant'!A51:A80,0),MATCH(VLOOKUP(C36,'General information'!$A$9:$I$21,7,0),'Fuel Formula &amp; Constant'!$B$17:$D$17,0))+
(OFFSET('Fuel Formula &amp; Constant'!$A$18,MATCH(O36,'Fuel Formula &amp; Constant'!A51:A80,0)+1,MATCH(VLOOKUP(C36,'General information'!$A$9:$I$21,7,0),'Fuel Formula &amp; Constant'!$B$17:$D$17,0))*M36)+
(OFFSET('Fuel Formula &amp; Constant'!$A$18,MATCH(O36,'Fuel Formula &amp; Constant'!A51:A80,0)+2,MATCH(VLOOKUP(C36,'General information'!$A$9:$I$21,7,0),'Fuel Formula &amp; Constant'!$B$17:$D$17,0))*K36)+
(OFFSET('Fuel Formula &amp; Constant'!$A$18,MATCH(O36,'Fuel Formula &amp; Constant'!A51:A80,0)+3,MATCH(VLOOKUP(C36,'General information'!$A$9:$I$21,7,0),'Fuel Formula &amp; Constant'!$B$17:$D$17,0))*M36*K36),"")</f>
        <v/>
      </c>
      <c r="R36">
        <f t="shared" si="0"/>
        <v>0</v>
      </c>
    </row>
    <row r="37" spans="16:18" x14ac:dyDescent="0.25">
      <c r="P37" t="str">
        <f ca="1">IF(LEFT(A37,3)="Cul",OFFSET('Fuel Formula &amp; Constant'!$A$18,MATCH(O37,'Fuel Formula &amp; Constant'!A52:A81,0),MATCH(VLOOKUP(C37,'General information'!$A$9:$I$21,7,0),'Fuel Formula &amp; Constant'!$B$17:$D$17,0))+
(OFFSET('Fuel Formula &amp; Constant'!$A$18,MATCH(O37,'Fuel Formula &amp; Constant'!A52:A81,0)+1,MATCH(VLOOKUP(C37,'General information'!$A$9:$I$21,7,0),'Fuel Formula &amp; Constant'!$B$17:$D$17,0))*M37)+
(OFFSET('Fuel Formula &amp; Constant'!$A$18,MATCH(O37,'Fuel Formula &amp; Constant'!A52:A81,0)+2,MATCH(VLOOKUP(C37,'General information'!$A$9:$I$21,7,0),'Fuel Formula &amp; Constant'!$B$17:$D$17,0))*K37)+
(OFFSET('Fuel Formula &amp; Constant'!$A$18,MATCH(O37,'Fuel Formula &amp; Constant'!A52:A81,0)+3,MATCH(VLOOKUP(C37,'General information'!$A$9:$I$21,7,0),'Fuel Formula &amp; Constant'!$B$17:$D$17,0))*M37*K37),"")</f>
        <v/>
      </c>
      <c r="R37">
        <f t="shared" si="0"/>
        <v>0</v>
      </c>
    </row>
    <row r="38" spans="16:18" x14ac:dyDescent="0.25">
      <c r="P38" t="str">
        <f ca="1">IF(LEFT(A38,3)="Cul",OFFSET('Fuel Formula &amp; Constant'!$A$18,MATCH(O38,'Fuel Formula &amp; Constant'!A53:A82,0),MATCH(VLOOKUP(C38,'General information'!$A$9:$I$21,7,0),'Fuel Formula &amp; Constant'!$B$17:$D$17,0))+
(OFFSET('Fuel Formula &amp; Constant'!$A$18,MATCH(O38,'Fuel Formula &amp; Constant'!A53:A82,0)+1,MATCH(VLOOKUP(C38,'General information'!$A$9:$I$21,7,0),'Fuel Formula &amp; Constant'!$B$17:$D$17,0))*M38)+
(OFFSET('Fuel Formula &amp; Constant'!$A$18,MATCH(O38,'Fuel Formula &amp; Constant'!A53:A82,0)+2,MATCH(VLOOKUP(C38,'General information'!$A$9:$I$21,7,0),'Fuel Formula &amp; Constant'!$B$17:$D$17,0))*K38)+
(OFFSET('Fuel Formula &amp; Constant'!$A$18,MATCH(O38,'Fuel Formula &amp; Constant'!A53:A82,0)+3,MATCH(VLOOKUP(C38,'General information'!$A$9:$I$21,7,0),'Fuel Formula &amp; Constant'!$B$17:$D$17,0))*M38*K38),"")</f>
        <v/>
      </c>
      <c r="R38">
        <f t="shared" si="0"/>
        <v>0</v>
      </c>
    </row>
    <row r="39" spans="16:18" x14ac:dyDescent="0.25">
      <c r="P39" t="str">
        <f ca="1">IF(LEFT(A39,3)="Cul",OFFSET('Fuel Formula &amp; Constant'!$A$18,MATCH(O39,'Fuel Formula &amp; Constant'!A54:A83,0),MATCH(VLOOKUP(C39,'General information'!$A$9:$I$21,7,0),'Fuel Formula &amp; Constant'!$B$17:$D$17,0))+
(OFFSET('Fuel Formula &amp; Constant'!$A$18,MATCH(O39,'Fuel Formula &amp; Constant'!A54:A83,0)+1,MATCH(VLOOKUP(C39,'General information'!$A$9:$I$21,7,0),'Fuel Formula &amp; Constant'!$B$17:$D$17,0))*M39)+
(OFFSET('Fuel Formula &amp; Constant'!$A$18,MATCH(O39,'Fuel Formula &amp; Constant'!A54:A83,0)+2,MATCH(VLOOKUP(C39,'General information'!$A$9:$I$21,7,0),'Fuel Formula &amp; Constant'!$B$17:$D$17,0))*K39)+
(OFFSET('Fuel Formula &amp; Constant'!$A$18,MATCH(O39,'Fuel Formula &amp; Constant'!A54:A83,0)+3,MATCH(VLOOKUP(C39,'General information'!$A$9:$I$21,7,0),'Fuel Formula &amp; Constant'!$B$17:$D$17,0))*M39*K39),"")</f>
        <v/>
      </c>
      <c r="R39">
        <f t="shared" si="0"/>
        <v>0</v>
      </c>
    </row>
    <row r="40" spans="16:18" x14ac:dyDescent="0.25">
      <c r="P40" t="str">
        <f ca="1">IF(LEFT(A40,3)="Cul",OFFSET('Fuel Formula &amp; Constant'!$A$18,MATCH(O40,'Fuel Formula &amp; Constant'!A55:A84,0),MATCH(VLOOKUP(C40,'General information'!$A$9:$I$21,7,0),'Fuel Formula &amp; Constant'!$B$17:$D$17,0))+
(OFFSET('Fuel Formula &amp; Constant'!$A$18,MATCH(O40,'Fuel Formula &amp; Constant'!A55:A84,0)+1,MATCH(VLOOKUP(C40,'General information'!$A$9:$I$21,7,0),'Fuel Formula &amp; Constant'!$B$17:$D$17,0))*M40)+
(OFFSET('Fuel Formula &amp; Constant'!$A$18,MATCH(O40,'Fuel Formula &amp; Constant'!A55:A84,0)+2,MATCH(VLOOKUP(C40,'General information'!$A$9:$I$21,7,0),'Fuel Formula &amp; Constant'!$B$17:$D$17,0))*K40)+
(OFFSET('Fuel Formula &amp; Constant'!$A$18,MATCH(O40,'Fuel Formula &amp; Constant'!A55:A84,0)+3,MATCH(VLOOKUP(C40,'General information'!$A$9:$I$21,7,0),'Fuel Formula &amp; Constant'!$B$17:$D$17,0))*M40*K40),"")</f>
        <v/>
      </c>
      <c r="R40">
        <f t="shared" si="0"/>
        <v>0</v>
      </c>
    </row>
    <row r="41" spans="16:18" x14ac:dyDescent="0.25">
      <c r="P41" t="str">
        <f ca="1">IF(LEFT(A41,3)="Cul",OFFSET('Fuel Formula &amp; Constant'!$A$18,MATCH(O41,'Fuel Formula &amp; Constant'!A56:A85,0),MATCH(VLOOKUP(C41,'General information'!$A$9:$I$21,7,0),'Fuel Formula &amp; Constant'!$B$17:$D$17,0))+
(OFFSET('Fuel Formula &amp; Constant'!$A$18,MATCH(O41,'Fuel Formula &amp; Constant'!A56:A85,0)+1,MATCH(VLOOKUP(C41,'General information'!$A$9:$I$21,7,0),'Fuel Formula &amp; Constant'!$B$17:$D$17,0))*M41)+
(OFFSET('Fuel Formula &amp; Constant'!$A$18,MATCH(O41,'Fuel Formula &amp; Constant'!A56:A85,0)+2,MATCH(VLOOKUP(C41,'General information'!$A$9:$I$21,7,0),'Fuel Formula &amp; Constant'!$B$17:$D$17,0))*K41)+
(OFFSET('Fuel Formula &amp; Constant'!$A$18,MATCH(O41,'Fuel Formula &amp; Constant'!A56:A85,0)+3,MATCH(VLOOKUP(C41,'General information'!$A$9:$I$21,7,0),'Fuel Formula &amp; Constant'!$B$17:$D$17,0))*M41*K41),"")</f>
        <v/>
      </c>
      <c r="R41">
        <f t="shared" si="0"/>
        <v>0</v>
      </c>
    </row>
    <row r="42" spans="16:18" x14ac:dyDescent="0.25">
      <c r="P42" t="str">
        <f ca="1">IF(LEFT(A42,3)="Cul",OFFSET('Fuel Formula &amp; Constant'!$A$18,MATCH(O42,'Fuel Formula &amp; Constant'!A57:A86,0),MATCH(VLOOKUP(C42,'General information'!$A$9:$I$21,7,0),'Fuel Formula &amp; Constant'!$B$17:$D$17,0))+
(OFFSET('Fuel Formula &amp; Constant'!$A$18,MATCH(O42,'Fuel Formula &amp; Constant'!A57:A86,0)+1,MATCH(VLOOKUP(C42,'General information'!$A$9:$I$21,7,0),'Fuel Formula &amp; Constant'!$B$17:$D$17,0))*M42)+
(OFFSET('Fuel Formula &amp; Constant'!$A$18,MATCH(O42,'Fuel Formula &amp; Constant'!A57:A86,0)+2,MATCH(VLOOKUP(C42,'General information'!$A$9:$I$21,7,0),'Fuel Formula &amp; Constant'!$B$17:$D$17,0))*K42)+
(OFFSET('Fuel Formula &amp; Constant'!$A$18,MATCH(O42,'Fuel Formula &amp; Constant'!A57:A86,0)+3,MATCH(VLOOKUP(C42,'General information'!$A$9:$I$21,7,0),'Fuel Formula &amp; Constant'!$B$17:$D$17,0))*M42*K42),"")</f>
        <v/>
      </c>
      <c r="R42">
        <f t="shared" si="0"/>
        <v>0</v>
      </c>
    </row>
    <row r="43" spans="16:18" x14ac:dyDescent="0.25">
      <c r="P43" t="str">
        <f ca="1">IF(LEFT(A43,3)="Cul",OFFSET('Fuel Formula &amp; Constant'!$A$18,MATCH(O43,'Fuel Formula &amp; Constant'!A58:A87,0),MATCH(VLOOKUP(C43,'General information'!$A$9:$I$21,7,0),'Fuel Formula &amp; Constant'!$B$17:$D$17,0))+
(OFFSET('Fuel Formula &amp; Constant'!$A$18,MATCH(O43,'Fuel Formula &amp; Constant'!A58:A87,0)+1,MATCH(VLOOKUP(C43,'General information'!$A$9:$I$21,7,0),'Fuel Formula &amp; Constant'!$B$17:$D$17,0))*M43)+
(OFFSET('Fuel Formula &amp; Constant'!$A$18,MATCH(O43,'Fuel Formula &amp; Constant'!A58:A87,0)+2,MATCH(VLOOKUP(C43,'General information'!$A$9:$I$21,7,0),'Fuel Formula &amp; Constant'!$B$17:$D$17,0))*K43)+
(OFFSET('Fuel Formula &amp; Constant'!$A$18,MATCH(O43,'Fuel Formula &amp; Constant'!A58:A87,0)+3,MATCH(VLOOKUP(C43,'General information'!$A$9:$I$21,7,0),'Fuel Formula &amp; Constant'!$B$17:$D$17,0))*M43*K43),"")</f>
        <v/>
      </c>
      <c r="R43">
        <f t="shared" si="0"/>
        <v>0</v>
      </c>
    </row>
    <row r="44" spans="16:18" x14ac:dyDescent="0.25">
      <c r="P44" t="str">
        <f ca="1">IF(LEFT(A44,3)="Cul",OFFSET('Fuel Formula &amp; Constant'!$A$18,MATCH(O44,'Fuel Formula &amp; Constant'!A59:A88,0),MATCH(VLOOKUP(C44,'General information'!$A$9:$I$21,7,0),'Fuel Formula &amp; Constant'!$B$17:$D$17,0))+
(OFFSET('Fuel Formula &amp; Constant'!$A$18,MATCH(O44,'Fuel Formula &amp; Constant'!A59:A88,0)+1,MATCH(VLOOKUP(C44,'General information'!$A$9:$I$21,7,0),'Fuel Formula &amp; Constant'!$B$17:$D$17,0))*M44)+
(OFFSET('Fuel Formula &amp; Constant'!$A$18,MATCH(O44,'Fuel Formula &amp; Constant'!A59:A88,0)+2,MATCH(VLOOKUP(C44,'General information'!$A$9:$I$21,7,0),'Fuel Formula &amp; Constant'!$B$17:$D$17,0))*K44)+
(OFFSET('Fuel Formula &amp; Constant'!$A$18,MATCH(O44,'Fuel Formula &amp; Constant'!A59:A88,0)+3,MATCH(VLOOKUP(C44,'General information'!$A$9:$I$21,7,0),'Fuel Formula &amp; Constant'!$B$17:$D$17,0))*M44*K44),"")</f>
        <v/>
      </c>
      <c r="R44">
        <f t="shared" si="0"/>
        <v>0</v>
      </c>
    </row>
    <row r="45" spans="16:18" x14ac:dyDescent="0.25">
      <c r="P45" t="str">
        <f ca="1">IF(LEFT(A45,3)="Cul",OFFSET('Fuel Formula &amp; Constant'!$A$18,MATCH(O45,'Fuel Formula &amp; Constant'!A60:A89,0),MATCH(VLOOKUP(C45,'General information'!$A$9:$I$21,7,0),'Fuel Formula &amp; Constant'!$B$17:$D$17,0))+
(OFFSET('Fuel Formula &amp; Constant'!$A$18,MATCH(O45,'Fuel Formula &amp; Constant'!A60:A89,0)+1,MATCH(VLOOKUP(C45,'General information'!$A$9:$I$21,7,0),'Fuel Formula &amp; Constant'!$B$17:$D$17,0))*M45)+
(OFFSET('Fuel Formula &amp; Constant'!$A$18,MATCH(O45,'Fuel Formula &amp; Constant'!A60:A89,0)+2,MATCH(VLOOKUP(C45,'General information'!$A$9:$I$21,7,0),'Fuel Formula &amp; Constant'!$B$17:$D$17,0))*K45)+
(OFFSET('Fuel Formula &amp; Constant'!$A$18,MATCH(O45,'Fuel Formula &amp; Constant'!A60:A89,0)+3,MATCH(VLOOKUP(C45,'General information'!$A$9:$I$21,7,0),'Fuel Formula &amp; Constant'!$B$17:$D$17,0))*M45*K45),"")</f>
        <v/>
      </c>
      <c r="R45">
        <f t="shared" si="0"/>
        <v>0</v>
      </c>
    </row>
    <row r="46" spans="16:18" x14ac:dyDescent="0.25">
      <c r="P46" t="str">
        <f ca="1">IF(LEFT(A46,3)="Cul",OFFSET('Fuel Formula &amp; Constant'!$A$18,MATCH(O46,'Fuel Formula &amp; Constant'!A61:A90,0),MATCH(VLOOKUP(C46,'General information'!$A$9:$I$21,7,0),'Fuel Formula &amp; Constant'!$B$17:$D$17,0))+
(OFFSET('Fuel Formula &amp; Constant'!$A$18,MATCH(O46,'Fuel Formula &amp; Constant'!A61:A90,0)+1,MATCH(VLOOKUP(C46,'General information'!$A$9:$I$21,7,0),'Fuel Formula &amp; Constant'!$B$17:$D$17,0))*M46)+
(OFFSET('Fuel Formula &amp; Constant'!$A$18,MATCH(O46,'Fuel Formula &amp; Constant'!A61:A90,0)+2,MATCH(VLOOKUP(C46,'General information'!$A$9:$I$21,7,0),'Fuel Formula &amp; Constant'!$B$17:$D$17,0))*K46)+
(OFFSET('Fuel Formula &amp; Constant'!$A$18,MATCH(O46,'Fuel Formula &amp; Constant'!A61:A90,0)+3,MATCH(VLOOKUP(C46,'General information'!$A$9:$I$21,7,0),'Fuel Formula &amp; Constant'!$B$17:$D$17,0))*M46*K46),"")</f>
        <v/>
      </c>
      <c r="R46">
        <f t="shared" si="0"/>
        <v>0</v>
      </c>
    </row>
    <row r="47" spans="16:18" x14ac:dyDescent="0.25">
      <c r="P47" t="str">
        <f ca="1">IF(LEFT(A47,3)="Cul",OFFSET('Fuel Formula &amp; Constant'!$A$18,MATCH(O47,'Fuel Formula &amp; Constant'!A62:A91,0),MATCH(VLOOKUP(C47,'General information'!$A$9:$I$21,7,0),'Fuel Formula &amp; Constant'!$B$17:$D$17,0))+
(OFFSET('Fuel Formula &amp; Constant'!$A$18,MATCH(O47,'Fuel Formula &amp; Constant'!A62:A91,0)+1,MATCH(VLOOKUP(C47,'General information'!$A$9:$I$21,7,0),'Fuel Formula &amp; Constant'!$B$17:$D$17,0))*M47)+
(OFFSET('Fuel Formula &amp; Constant'!$A$18,MATCH(O47,'Fuel Formula &amp; Constant'!A62:A91,0)+2,MATCH(VLOOKUP(C47,'General information'!$A$9:$I$21,7,0),'Fuel Formula &amp; Constant'!$B$17:$D$17,0))*K47)+
(OFFSET('Fuel Formula &amp; Constant'!$A$18,MATCH(O47,'Fuel Formula &amp; Constant'!A62:A91,0)+3,MATCH(VLOOKUP(C47,'General information'!$A$9:$I$21,7,0),'Fuel Formula &amp; Constant'!$B$17:$D$17,0))*M47*K47),"")</f>
        <v/>
      </c>
      <c r="R47">
        <f t="shared" si="0"/>
        <v>0</v>
      </c>
    </row>
    <row r="48" spans="16:18" x14ac:dyDescent="0.25">
      <c r="P48" t="str">
        <f ca="1">IF(LEFT(A48,3)="Cul",OFFSET('Fuel Formula &amp; Constant'!$A$18,MATCH(O48,'Fuel Formula &amp; Constant'!A63:A92,0),MATCH(VLOOKUP(C48,'General information'!$A$9:$I$21,7,0),'Fuel Formula &amp; Constant'!$B$17:$D$17,0))+
(OFFSET('Fuel Formula &amp; Constant'!$A$18,MATCH(O48,'Fuel Formula &amp; Constant'!A63:A92,0)+1,MATCH(VLOOKUP(C48,'General information'!$A$9:$I$21,7,0),'Fuel Formula &amp; Constant'!$B$17:$D$17,0))*M48)+
(OFFSET('Fuel Formula &amp; Constant'!$A$18,MATCH(O48,'Fuel Formula &amp; Constant'!A63:A92,0)+2,MATCH(VLOOKUP(C48,'General information'!$A$9:$I$21,7,0),'Fuel Formula &amp; Constant'!$B$17:$D$17,0))*K48)+
(OFFSET('Fuel Formula &amp; Constant'!$A$18,MATCH(O48,'Fuel Formula &amp; Constant'!A63:A92,0)+3,MATCH(VLOOKUP(C48,'General information'!$A$9:$I$21,7,0),'Fuel Formula &amp; Constant'!$B$17:$D$17,0))*M48*K48),"")</f>
        <v/>
      </c>
      <c r="R48">
        <f t="shared" si="0"/>
        <v>0</v>
      </c>
    </row>
    <row r="49" spans="16:18" x14ac:dyDescent="0.25">
      <c r="P49" t="str">
        <f ca="1">IF(LEFT(A49,3)="Cul",OFFSET('Fuel Formula &amp; Constant'!$A$18,MATCH(O49,'Fuel Formula &amp; Constant'!A64:A93,0),MATCH(VLOOKUP(C49,'General information'!$A$9:$I$21,7,0),'Fuel Formula &amp; Constant'!$B$17:$D$17,0))+
(OFFSET('Fuel Formula &amp; Constant'!$A$18,MATCH(O49,'Fuel Formula &amp; Constant'!A64:A93,0)+1,MATCH(VLOOKUP(C49,'General information'!$A$9:$I$21,7,0),'Fuel Formula &amp; Constant'!$B$17:$D$17,0))*M49)+
(OFFSET('Fuel Formula &amp; Constant'!$A$18,MATCH(O49,'Fuel Formula &amp; Constant'!A64:A93,0)+2,MATCH(VLOOKUP(C49,'General information'!$A$9:$I$21,7,0),'Fuel Formula &amp; Constant'!$B$17:$D$17,0))*K49)+
(OFFSET('Fuel Formula &amp; Constant'!$A$18,MATCH(O49,'Fuel Formula &amp; Constant'!A64:A93,0)+3,MATCH(VLOOKUP(C49,'General information'!$A$9:$I$21,7,0),'Fuel Formula &amp; Constant'!$B$17:$D$17,0))*M49*K49),"")</f>
        <v/>
      </c>
      <c r="R49">
        <f t="shared" si="0"/>
        <v>0</v>
      </c>
    </row>
    <row r="50" spans="16:18" x14ac:dyDescent="0.25">
      <c r="P50" t="str">
        <f ca="1">IF(LEFT(A50,3)="Cul",OFFSET('Fuel Formula &amp; Constant'!$A$18,MATCH(O50,'Fuel Formula &amp; Constant'!A65:A94,0),MATCH(VLOOKUP(C50,'General information'!$A$9:$I$21,7,0),'Fuel Formula &amp; Constant'!$B$17:$D$17,0))+
(OFFSET('Fuel Formula &amp; Constant'!$A$18,MATCH(O50,'Fuel Formula &amp; Constant'!A65:A94,0)+1,MATCH(VLOOKUP(C50,'General information'!$A$9:$I$21,7,0),'Fuel Formula &amp; Constant'!$B$17:$D$17,0))*M50)+
(OFFSET('Fuel Formula &amp; Constant'!$A$18,MATCH(O50,'Fuel Formula &amp; Constant'!A65:A94,0)+2,MATCH(VLOOKUP(C50,'General information'!$A$9:$I$21,7,0),'Fuel Formula &amp; Constant'!$B$17:$D$17,0))*K50)+
(OFFSET('Fuel Formula &amp; Constant'!$A$18,MATCH(O50,'Fuel Formula &amp; Constant'!A65:A94,0)+3,MATCH(VLOOKUP(C50,'General information'!$A$9:$I$21,7,0),'Fuel Formula &amp; Constant'!$B$17:$D$17,0))*M50*K50),"")</f>
        <v/>
      </c>
      <c r="R50">
        <f t="shared" si="0"/>
        <v>0</v>
      </c>
    </row>
    <row r="51" spans="16:18" x14ac:dyDescent="0.25">
      <c r="P51" t="str">
        <f ca="1">IF(LEFT(A51,3)="Cul",OFFSET('Fuel Formula &amp; Constant'!$A$18,MATCH(O51,'Fuel Formula &amp; Constant'!A66:A95,0),MATCH(VLOOKUP(C51,'General information'!$A$9:$I$21,7,0),'Fuel Formula &amp; Constant'!$B$17:$D$17,0))+
(OFFSET('Fuel Formula &amp; Constant'!$A$18,MATCH(O51,'Fuel Formula &amp; Constant'!A66:A95,0)+1,MATCH(VLOOKUP(C51,'General information'!$A$9:$I$21,7,0),'Fuel Formula &amp; Constant'!$B$17:$D$17,0))*M51)+
(OFFSET('Fuel Formula &amp; Constant'!$A$18,MATCH(O51,'Fuel Formula &amp; Constant'!A66:A95,0)+2,MATCH(VLOOKUP(C51,'General information'!$A$9:$I$21,7,0),'Fuel Formula &amp; Constant'!$B$17:$D$17,0))*K51)+
(OFFSET('Fuel Formula &amp; Constant'!$A$18,MATCH(O51,'Fuel Formula &amp; Constant'!A66:A95,0)+3,MATCH(VLOOKUP(C51,'General information'!$A$9:$I$21,7,0),'Fuel Formula &amp; Constant'!$B$17:$D$17,0))*M51*K51),"")</f>
        <v/>
      </c>
      <c r="R51">
        <f t="shared" si="0"/>
        <v>0</v>
      </c>
    </row>
    <row r="52" spans="16:18" x14ac:dyDescent="0.25">
      <c r="P52" t="str">
        <f ca="1">IF(LEFT(A52,3)="Cul",OFFSET('Fuel Formula &amp; Constant'!$A$18,MATCH(O52,'Fuel Formula &amp; Constant'!A67:A96,0),MATCH(VLOOKUP(C52,'General information'!$A$9:$I$21,7,0),'Fuel Formula &amp; Constant'!$B$17:$D$17,0))+
(OFFSET('Fuel Formula &amp; Constant'!$A$18,MATCH(O52,'Fuel Formula &amp; Constant'!A67:A96,0)+1,MATCH(VLOOKUP(C52,'General information'!$A$9:$I$21,7,0),'Fuel Formula &amp; Constant'!$B$17:$D$17,0))*M52)+
(OFFSET('Fuel Formula &amp; Constant'!$A$18,MATCH(O52,'Fuel Formula &amp; Constant'!A67:A96,0)+2,MATCH(VLOOKUP(C52,'General information'!$A$9:$I$21,7,0),'Fuel Formula &amp; Constant'!$B$17:$D$17,0))*K52)+
(OFFSET('Fuel Formula &amp; Constant'!$A$18,MATCH(O52,'Fuel Formula &amp; Constant'!A67:A96,0)+3,MATCH(VLOOKUP(C52,'General information'!$A$9:$I$21,7,0),'Fuel Formula &amp; Constant'!$B$17:$D$17,0))*M52*K52),"")</f>
        <v/>
      </c>
      <c r="R52">
        <f t="shared" si="0"/>
        <v>0</v>
      </c>
    </row>
    <row r="53" spans="16:18" x14ac:dyDescent="0.25">
      <c r="P53" t="str">
        <f ca="1">IF(LEFT(A53,3)="Cul",OFFSET('Fuel Formula &amp; Constant'!$A$18,MATCH(O53,'Fuel Formula &amp; Constant'!A68:A97,0),MATCH(VLOOKUP(C53,'General information'!$A$9:$I$21,7,0),'Fuel Formula &amp; Constant'!$B$17:$D$17,0))+
(OFFSET('Fuel Formula &amp; Constant'!$A$18,MATCH(O53,'Fuel Formula &amp; Constant'!A68:A97,0)+1,MATCH(VLOOKUP(C53,'General information'!$A$9:$I$21,7,0),'Fuel Formula &amp; Constant'!$B$17:$D$17,0))*M53)+
(OFFSET('Fuel Formula &amp; Constant'!$A$18,MATCH(O53,'Fuel Formula &amp; Constant'!A68:A97,0)+2,MATCH(VLOOKUP(C53,'General information'!$A$9:$I$21,7,0),'Fuel Formula &amp; Constant'!$B$17:$D$17,0))*K53)+
(OFFSET('Fuel Formula &amp; Constant'!$A$18,MATCH(O53,'Fuel Formula &amp; Constant'!A68:A97,0)+3,MATCH(VLOOKUP(C53,'General information'!$A$9:$I$21,7,0),'Fuel Formula &amp; Constant'!$B$17:$D$17,0))*M53*K53),"")</f>
        <v/>
      </c>
      <c r="R53">
        <f t="shared" si="0"/>
        <v>0</v>
      </c>
    </row>
    <row r="54" spans="16:18" x14ac:dyDescent="0.25">
      <c r="P54" t="str">
        <f ca="1">IF(LEFT(A54,3)="Cul",OFFSET('Fuel Formula &amp; Constant'!$A$18,MATCH(O54,'Fuel Formula &amp; Constant'!A69:A98,0),MATCH(VLOOKUP(C54,'General information'!$A$9:$I$21,7,0),'Fuel Formula &amp; Constant'!$B$17:$D$17,0))+
(OFFSET('Fuel Formula &amp; Constant'!$A$18,MATCH(O54,'Fuel Formula &amp; Constant'!A69:A98,0)+1,MATCH(VLOOKUP(C54,'General information'!$A$9:$I$21,7,0),'Fuel Formula &amp; Constant'!$B$17:$D$17,0))*M54)+
(OFFSET('Fuel Formula &amp; Constant'!$A$18,MATCH(O54,'Fuel Formula &amp; Constant'!A69:A98,0)+2,MATCH(VLOOKUP(C54,'General information'!$A$9:$I$21,7,0),'Fuel Formula &amp; Constant'!$B$17:$D$17,0))*K54)+
(OFFSET('Fuel Formula &amp; Constant'!$A$18,MATCH(O54,'Fuel Formula &amp; Constant'!A69:A98,0)+3,MATCH(VLOOKUP(C54,'General information'!$A$9:$I$21,7,0),'Fuel Formula &amp; Constant'!$B$17:$D$17,0))*M54*K54),"")</f>
        <v/>
      </c>
      <c r="R54">
        <f t="shared" si="0"/>
        <v>0</v>
      </c>
    </row>
  </sheetData>
  <conditionalFormatting sqref="A2:A54 J2:J54 E2:G54">
    <cfRule type="expression" dxfId="4" priority="3">
      <formula>LEFT($A2,3)="Har"</formula>
    </cfRule>
  </conditionalFormatting>
  <conditionalFormatting sqref="A2:A54 J2:L54">
    <cfRule type="expression" dxfId="3" priority="2">
      <formula>LEFT($A2,3)="Hay"</formula>
    </cfRule>
    <cfRule type="expression" dxfId="2" priority="5">
      <formula>LEFT($A2,3)="Spr"</formula>
    </cfRule>
  </conditionalFormatting>
  <conditionalFormatting sqref="A2:A54 K2:K54 H2:H54 M2:O54">
    <cfRule type="expression" dxfId="1" priority="4">
      <formula>LEFT($A2,3)="Cul"</formula>
    </cfRule>
  </conditionalFormatting>
  <conditionalFormatting sqref="I2:I55">
    <cfRule type="expression" dxfId="0" priority="1">
      <formula>LEFT($A2,3)="Har"</formula>
    </cfRule>
  </conditionalFormatting>
  <dataValidations count="4">
    <dataValidation type="list" allowBlank="1" showInputMessage="1" showErrorMessage="1" sqref="B3:B54 A2:A54" xr:uid="{F28D415A-9C2D-40B2-BDFC-BFB80A0814FB}">
      <formula1>"Spraying and spreading, Cultivation and seeding, Harvesting and swathing, Hay production"</formula1>
    </dataValidation>
    <dataValidation type="list" allowBlank="1" showInputMessage="1" showErrorMessage="1" sqref="H2:H54" xr:uid="{FF1BFEEC-D5DD-4E8E-9C45-2E397BD54864}">
      <formula1>"2WD, FWA, 4WD"</formula1>
    </dataValidation>
    <dataValidation type="list" allowBlank="1" showInputMessage="1" showErrorMessage="1" sqref="B2" xr:uid="{C8C3D587-D652-4A44-BD02-20FF6CFC8EB1}">
      <formula1>"Diesel, Petrol, LPG"</formula1>
    </dataValidation>
    <dataValidation type="list" allowBlank="1" showInputMessage="1" showErrorMessage="1" sqref="O2:O54" xr:uid="{740F7613-AE93-4FC5-A0BA-9BCE4E76E898}">
      <formula1>"Disc plough, Cultivator, Scarifier, Deep ripping, Seeding: full cut and deep point, Seeding: narrow point"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11B131D-160B-48AB-B18E-2F1D251F0C03}">
          <x14:formula1>
            <xm:f>'General information'!$A$10:$A$21</xm:f>
          </x14:formula1>
          <xm:sqref>C2:C54</xm:sqref>
        </x14:dataValidation>
        <x14:dataValidation type="list" allowBlank="1" showInputMessage="1" showErrorMessage="1" xr:uid="{51D7FCAE-D6E6-4D80-9F5E-752588BD17CD}">
          <x14:formula1>
            <xm:f>'Fuel Formula &amp; Constant'!$F$4:$H$4</xm:f>
          </x14:formula1>
          <xm:sqref>N2:N54</xm:sqref>
        </x14:dataValidation>
        <x14:dataValidation type="list" allowBlank="1" showInputMessage="1" showErrorMessage="1" xr:uid="{586D1633-02DE-4D94-AFFC-2C414CBDEA39}">
          <x14:formula1>
            <xm:f>'Fuel Formula &amp; Constant'!$G$17:$J$17</xm:f>
          </x14:formula1>
          <xm:sqref>I2:I55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8585-5B32-43AF-B9E5-BEDB8C398FCE}">
  <dimension ref="A1:K6"/>
  <sheetViews>
    <sheetView workbookViewId="0">
      <selection activeCell="H21" sqref="H21"/>
    </sheetView>
  </sheetViews>
  <sheetFormatPr defaultRowHeight="15" x14ac:dyDescent="0.25"/>
  <cols>
    <col min="1" max="1" width="20.7109375" bestFit="1" customWidth="1"/>
    <col min="2" max="2" width="18.140625" bestFit="1" customWidth="1"/>
    <col min="3" max="3" width="18.5703125" bestFit="1" customWidth="1"/>
    <col min="4" max="4" width="14.85546875" bestFit="1" customWidth="1"/>
    <col min="5" max="5" width="9.140625" bestFit="1" customWidth="1"/>
    <col min="6" max="6" width="13.28515625" bestFit="1" customWidth="1"/>
    <col min="7" max="7" width="8.85546875" bestFit="1" customWidth="1"/>
    <col min="8" max="8" width="22.7109375" bestFit="1" customWidth="1"/>
    <col min="9" max="9" width="19.42578125" bestFit="1" customWidth="1"/>
    <col min="10" max="10" width="19" bestFit="1" customWidth="1"/>
    <col min="11" max="11" width="18.7109375" bestFit="1" customWidth="1"/>
    <col min="12" max="12" width="16.85546875" bestFit="1" customWidth="1"/>
    <col min="13" max="13" width="16.140625" bestFit="1" customWidth="1"/>
    <col min="14" max="14" width="20.140625" bestFit="1" customWidth="1"/>
    <col min="15" max="15" width="22.140625" bestFit="1" customWidth="1"/>
    <col min="16" max="16" width="22.42578125" bestFit="1" customWidth="1"/>
    <col min="17" max="17" width="23" bestFit="1" customWidth="1"/>
    <col min="18" max="18" width="18.85546875" bestFit="1" customWidth="1"/>
    <col min="19" max="19" width="24.28515625" bestFit="1" customWidth="1"/>
  </cols>
  <sheetData>
    <row r="1" spans="1:11" x14ac:dyDescent="0.25">
      <c r="A1" s="31" t="s">
        <v>897</v>
      </c>
      <c r="B1" s="31" t="s">
        <v>898</v>
      </c>
      <c r="C1" s="31" t="s">
        <v>899</v>
      </c>
      <c r="D1" s="31" t="s">
        <v>900</v>
      </c>
      <c r="E1" s="31" t="s">
        <v>412</v>
      </c>
      <c r="F1" s="31" t="s">
        <v>901</v>
      </c>
      <c r="G1" s="31" t="s">
        <v>413</v>
      </c>
      <c r="H1" s="31" t="s">
        <v>902</v>
      </c>
      <c r="I1" s="31" t="s">
        <v>903</v>
      </c>
    </row>
    <row r="2" spans="1:11" x14ac:dyDescent="0.25">
      <c r="A2" t="s">
        <v>338</v>
      </c>
      <c r="B2" t="s">
        <v>363</v>
      </c>
      <c r="D2" t="s">
        <v>385</v>
      </c>
      <c r="E2">
        <v>30</v>
      </c>
      <c r="G2" s="64"/>
      <c r="H2" t="s">
        <v>112</v>
      </c>
      <c r="I2">
        <v>15</v>
      </c>
      <c r="K2" s="26"/>
    </row>
    <row r="3" spans="1:11" x14ac:dyDescent="0.25">
      <c r="A3" t="s">
        <v>339</v>
      </c>
      <c r="B3" t="s">
        <v>904</v>
      </c>
      <c r="E3">
        <v>20</v>
      </c>
      <c r="G3" s="64"/>
      <c r="H3" t="s">
        <v>111</v>
      </c>
      <c r="I3">
        <v>10</v>
      </c>
    </row>
    <row r="4" spans="1:11" x14ac:dyDescent="0.25">
      <c r="A4" t="s">
        <v>350</v>
      </c>
      <c r="B4" t="s">
        <v>905</v>
      </c>
      <c r="E4">
        <v>30</v>
      </c>
      <c r="G4" s="64"/>
      <c r="H4" t="s">
        <v>110</v>
      </c>
      <c r="I4">
        <v>15</v>
      </c>
    </row>
    <row r="6" spans="1:11" x14ac:dyDescent="0.25">
      <c r="A6" s="31" t="s">
        <v>906</v>
      </c>
    </row>
  </sheetData>
  <dataValidations count="2">
    <dataValidation allowBlank="1" showInputMessage="1" showErrorMessage="1" errorTitle="WRONG INPUT" error="Percentage only" sqref="J1:XFD1048576" xr:uid="{C3FCD47F-322C-43B6-93E9-86E3FEFB5B09}"/>
    <dataValidation type="whole" allowBlank="1" showInputMessage="1" showErrorMessage="1" errorTitle="WRONG INPUT" error="Percentage only" sqref="I2" xr:uid="{EF778415-D659-44F5-AE25-2EFEE9B93EA0}">
      <formula1>0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86AED96-DF32-4F23-BA5A-90C1FE53488D}">
          <x14:formula1>
            <xm:f>'Lookup Value (HIDE)'!$A$2:$A$46</xm:f>
          </x14:formula1>
          <xm:sqref>A2</xm:sqref>
        </x14:dataValidation>
        <x14:dataValidation type="list" allowBlank="1" showInputMessage="1" showErrorMessage="1" xr:uid="{E8A51D9B-C626-4417-9246-015CF308D2B4}">
          <x14:formula1>
            <xm:f>'Lookup Value (HIDE)'!$C$2:$C$25</xm:f>
          </x14:formula1>
          <xm:sqref>B2</xm:sqref>
        </x14:dataValidation>
        <x14:dataValidation type="list" allowBlank="1" showInputMessage="1" showErrorMessage="1" xr:uid="{687DBD52-D9A6-43F4-B028-A7695608E520}">
          <x14:formula1>
            <xm:f>'Lookup Value (HIDE)'!$E$2:$E$30</xm:f>
          </x14:formula1>
          <xm:sqref>D2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5D8D-1678-472E-BFC2-683D36E7AE5F}">
  <dimension ref="A1:N25"/>
  <sheetViews>
    <sheetView showZeros="0" topLeftCell="A14" zoomScaleNormal="100" workbookViewId="0">
      <selection activeCell="B21" sqref="B21"/>
    </sheetView>
  </sheetViews>
  <sheetFormatPr defaultRowHeight="15" x14ac:dyDescent="0.25"/>
  <cols>
    <col min="1" max="1" width="16.7109375" bestFit="1" customWidth="1"/>
    <col min="2" max="2" width="8.140625" customWidth="1"/>
    <col min="3" max="3" width="6.5703125" bestFit="1" customWidth="1"/>
    <col min="4" max="4" width="7" bestFit="1" customWidth="1"/>
    <col min="5" max="5" width="6.7109375" bestFit="1" customWidth="1"/>
    <col min="6" max="6" width="5" bestFit="1" customWidth="1"/>
    <col min="7" max="7" width="4.28515625" bestFit="1" customWidth="1"/>
    <col min="8" max="8" width="8.140625" bestFit="1" customWidth="1"/>
    <col min="9" max="9" width="10" bestFit="1" customWidth="1"/>
    <col min="10" max="10" width="10.28515625" bestFit="1" customWidth="1"/>
    <col min="11" max="11" width="10.85546875" bestFit="1" customWidth="1"/>
    <col min="12" max="12" width="7.7109375" bestFit="1" customWidth="1"/>
    <col min="13" max="13" width="12.140625" bestFit="1" customWidth="1"/>
  </cols>
  <sheetData>
    <row r="1" spans="1:14" x14ac:dyDescent="0.25">
      <c r="A1" t="s">
        <v>109</v>
      </c>
      <c r="B1" t="s">
        <v>110</v>
      </c>
      <c r="C1" t="s">
        <v>111</v>
      </c>
      <c r="D1" t="s">
        <v>112</v>
      </c>
      <c r="E1" t="s">
        <v>79</v>
      </c>
      <c r="F1" t="s">
        <v>113</v>
      </c>
      <c r="G1" t="s">
        <v>75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4" ht="30" x14ac:dyDescent="0.25">
      <c r="A2" s="22" t="s">
        <v>120</v>
      </c>
      <c r="B2">
        <f>VLOOKUP(B1,'General information'!$A$46:$R$58,3,0)</f>
        <v>0</v>
      </c>
      <c r="C2">
        <f>VLOOKUP(C1,'General information'!$A$46:$R$58,3,0)</f>
        <v>0</v>
      </c>
      <c r="D2">
        <f>VLOOKUP(D1,'General information'!$A$46:$R$58,3,0)</f>
        <v>0</v>
      </c>
      <c r="E2">
        <f>VLOOKUP(E1,'General information'!$A$46:$R$58,3,0)</f>
        <v>0</v>
      </c>
      <c r="F2">
        <f>VLOOKUP(F1,'General information'!$A$46:$R$58,3,0)</f>
        <v>0</v>
      </c>
      <c r="G2">
        <f>VLOOKUP(G1,'General information'!$A$46:$R$58,3,0)</f>
        <v>0</v>
      </c>
      <c r="H2">
        <f>VLOOKUP(H1,'General information'!$A$46:$R$58,3,0)</f>
        <v>0</v>
      </c>
      <c r="I2">
        <f>VLOOKUP(I1,'General information'!$A$46:$R$58,3,0)</f>
        <v>0</v>
      </c>
      <c r="J2">
        <f>VLOOKUP(J1,'General information'!$A$46:$R$58,3,0)</f>
        <v>0</v>
      </c>
      <c r="K2">
        <f>VLOOKUP(K1,'General information'!$A$46:$R$58,3,0)</f>
        <v>0</v>
      </c>
      <c r="L2">
        <f>VLOOKUP(L1,'General information'!$A$46:$R$58,3,0)</f>
        <v>0</v>
      </c>
      <c r="M2">
        <f>VLOOKUP(M1,'General information'!$A$46:$R$58,3,0)</f>
        <v>0</v>
      </c>
    </row>
    <row r="3" spans="1:14" x14ac:dyDescent="0.25">
      <c r="A3" s="22" t="s">
        <v>132</v>
      </c>
      <c r="B3">
        <f>VLOOKUP(B1,'General information'!$A$46:$R$58,2,0)</f>
        <v>0</v>
      </c>
      <c r="C3">
        <f>VLOOKUP(C1,'General information'!$A$46:$R$58,2,0)</f>
        <v>0</v>
      </c>
      <c r="D3">
        <f>VLOOKUP(D1,'General information'!$A$46:$R$58,2,0)</f>
        <v>0</v>
      </c>
      <c r="E3">
        <f>VLOOKUP(E1,'General information'!$A$46:$R$58,2,0)</f>
        <v>0</v>
      </c>
      <c r="F3">
        <f>VLOOKUP(F1,'General information'!$A$46:$R$58,2,0)</f>
        <v>0</v>
      </c>
      <c r="G3">
        <f>VLOOKUP(G1,'General information'!$A$46:$R$58,2,0)</f>
        <v>0</v>
      </c>
      <c r="H3">
        <f>VLOOKUP(H1,'General information'!$A$46:$R$58,2,0)</f>
        <v>0</v>
      </c>
      <c r="I3">
        <f>VLOOKUP(I1,'General information'!$A$46:$R$58,2,0)</f>
        <v>0</v>
      </c>
      <c r="J3">
        <f>VLOOKUP(J1,'General information'!$A$46:$R$58,2,0)</f>
        <v>0</v>
      </c>
      <c r="K3">
        <f>VLOOKUP(K1,'General information'!$A$46:$R$58,2,0)</f>
        <v>0</v>
      </c>
      <c r="L3">
        <f>VLOOKUP(L1,'General information'!$A$46:$R$58,2,0)</f>
        <v>0</v>
      </c>
      <c r="M3">
        <f>VLOOKUP(M1,'General information'!$A$46:$R$58,2,0)</f>
        <v>0</v>
      </c>
    </row>
    <row r="4" spans="1:14" ht="60" x14ac:dyDescent="0.25">
      <c r="A4" s="22" t="s">
        <v>121</v>
      </c>
      <c r="B4">
        <f ca="1">IFERROR(SUMIF('Fertiliser Applied - Input'!$D$2:$D$131,"=Wheat",'Fertiliser Applied - Input'!J2:J100)/B$3,0)</f>
        <v>0</v>
      </c>
      <c r="C4">
        <f ca="1">IFERROR(SUMIF('Fertiliser Applied - Input'!$D$2:$D$131,"=Barley",'Fertiliser Applied - Input'!J2:J100)/C$3,0)</f>
        <v>0</v>
      </c>
      <c r="D4">
        <f ca="1">IFERROR(SUMIF('Fertiliser Applied - Input'!$D$2:$D$131,"=Canola",'Fertiliser Applied - Input'!J2:J100)/D$3,0)</f>
        <v>0</v>
      </c>
      <c r="E4">
        <f ca="1">IFERROR(SUMIF('Fertiliser Applied - Input'!$D$2:$D$131,"=Lupins",'Fertiliser Applied - Input'!J2:J100)/E$3,0)</f>
        <v>0</v>
      </c>
      <c r="F4">
        <f ca="1">IFERROR(SUMIF('Fertiliser Applied - Input'!$D$2:$D$131,"=Oats",'Fertiliser Applied - Input'!J2:J100)/F$3,0)</f>
        <v>0</v>
      </c>
      <c r="G4">
        <f ca="1">IFERROR(SUMIF('Fertiliser Applied - Input'!$D$2:$D$131,"=Hay",'Fertiliser Applied - Input'!J2:J100)/G$3,0)</f>
        <v>0</v>
      </c>
      <c r="H4">
        <f ca="1">IFERROR(SUMIF('Fertiliser Applied - Input'!$D$2:$D$131,"=Triticale",'Fertiliser Applied - Input'!J2:J100)/H$3,0)</f>
        <v>0</v>
      </c>
      <c r="I4">
        <f ca="1">IFERROR(SUMIF('Fertiliser Applied - Input'!$D$2:$D$131,"=Fields Peas",'Fertiliser Applied - Input'!J2:J100)/I$3,0)</f>
        <v>0</v>
      </c>
      <c r="J4">
        <f ca="1">IFERROR(SUMIF('Fertiliser Applied - Input'!$D$2:$D$131,"=Chick Peas",'Fertiliser Applied - Input'!J2:J100)/J$3,0)</f>
        <v>0</v>
      </c>
      <c r="K4">
        <f ca="1">IFERROR(SUMIF('Fertiliser Applied - Input'!$D$2:$D$131,"=Faba Beans",'Fertiliser Applied - Input'!J2:J100)/K$3,0)</f>
        <v>0</v>
      </c>
      <c r="L4">
        <f ca="1">IFERROR(SUMIF('Fertiliser Applied - Input'!$D$2:$D$131,"=Lentils",'Fertiliser Applied - Input'!J2:J100)/L$3,0)</f>
        <v>0</v>
      </c>
      <c r="M4">
        <f ca="1">IFERROR(SUMIF('Fertiliser Applied - Input'!$D$2:$D$131,"=Other Grains",'Fertiliser Applied - Input'!J2:J100)/M$3,0)</f>
        <v>0</v>
      </c>
    </row>
    <row r="5" spans="1:14" ht="45" x14ac:dyDescent="0.25">
      <c r="A5" s="22" t="s">
        <v>123</v>
      </c>
      <c r="B5">
        <f ca="1">IFERROR(SUMIF('Fertiliser Applied - Input'!$D$2:$D$131,"=Wheat",'Fertiliser Applied - Input'!M2:M100)/B$3,0)</f>
        <v>0</v>
      </c>
      <c r="C5">
        <f ca="1">IFERROR(SUMIF('Fertiliser Applied - Input'!$D$2:$D$131,"=Barley",'Fertiliser Applied - Input'!M2:M100)/C$3,0)</f>
        <v>0</v>
      </c>
      <c r="D5">
        <f ca="1">IFERROR(SUMIF('Fertiliser Applied - Input'!$D$2:$D$131,"=Canola",'Fertiliser Applied - Input'!M2:M100)/D$3,0)</f>
        <v>0</v>
      </c>
      <c r="E5">
        <f ca="1">IFERROR(SUMIF('Fertiliser Applied - Input'!$D$2:$D$131,"=Lupins",'Fertiliser Applied - Input'!M2:M100)/E$3,0)</f>
        <v>0</v>
      </c>
      <c r="F5">
        <f ca="1">IFERROR(SUMIF('Fertiliser Applied - Input'!$D$2:$D$131,"=Oats",'Fertiliser Applied - Input'!M2:M100)/F$3,0)</f>
        <v>0</v>
      </c>
      <c r="G5">
        <f ca="1">IFERROR(SUMIF('Fertiliser Applied - Input'!$D$2:$D$131,"=Hay",'Fertiliser Applied - Input'!M2:M100)/G$3,0)</f>
        <v>0</v>
      </c>
      <c r="H5">
        <f ca="1">IFERROR(SUMIF('Fertiliser Applied - Input'!$D$2:$D$131,"=Triticale",'Fertiliser Applied - Input'!M2:M100)/H$3,0)</f>
        <v>0</v>
      </c>
      <c r="I5">
        <f ca="1">IFERROR(SUMIF('Fertiliser Applied - Input'!$D$2:$D$131,"=Fields Peas",'Fertiliser Applied - Input'!M2:M100)/I$3,0)</f>
        <v>0</v>
      </c>
      <c r="J5">
        <f ca="1">IFERROR(SUMIF('Fertiliser Applied - Input'!$D$2:$D$131,"=Chick Peas",'Fertiliser Applied - Input'!M2:M100)/J$3,0)</f>
        <v>0</v>
      </c>
      <c r="K5">
        <f ca="1">IFERROR(SUMIF('Fertiliser Applied - Input'!$D$2:$D$131,"=Faba Beans",'Fertiliser Applied - Input'!M2:M100)/K$3,0)</f>
        <v>0</v>
      </c>
      <c r="L5">
        <f ca="1">IFERROR(SUMIF('Fertiliser Applied - Input'!$D$2:$D$131,"=Lentils",'Fertiliser Applied - Input'!M2:M100)/L$3,0)</f>
        <v>0</v>
      </c>
      <c r="M5">
        <f ca="1">IFERROR(SUMIF('Fertiliser Applied - Input'!$D$2:$D$131,"=Other Grains",'Fertiliser Applied - Input'!M2:M100)/M$3,0)</f>
        <v>0</v>
      </c>
    </row>
    <row r="6" spans="1:14" ht="45" x14ac:dyDescent="0.25">
      <c r="A6" s="22" t="s">
        <v>122</v>
      </c>
      <c r="B6">
        <f ca="1">IFERROR(SUMIF('Fertiliser Applied - Input'!$D$2:$D$131,"=Wheat",'Fertiliser Applied - Input'!N2:N100)/B$3,0)</f>
        <v>0</v>
      </c>
      <c r="C6">
        <f ca="1">IFERROR(SUMIF('Fertiliser Applied - Input'!$D$2:$D$131,"=Barley",'Fertiliser Applied - Input'!N2:N100)/C$3,0)</f>
        <v>0</v>
      </c>
      <c r="D6">
        <f ca="1">IFERROR(SUMIF('Fertiliser Applied - Input'!$D$2:$D$131,"=Canola",'Fertiliser Applied - Input'!N2:N100)/D$3,0)</f>
        <v>0</v>
      </c>
      <c r="E6">
        <f ca="1">IFERROR(SUMIF('Fertiliser Applied - Input'!$D$2:$D$131,"=Lupins",'Fertiliser Applied - Input'!N2:N100)/E$3,0)</f>
        <v>0</v>
      </c>
      <c r="F6">
        <f ca="1">IFERROR(SUMIF('Fertiliser Applied - Input'!$D$2:$D$131,"=Oats",'Fertiliser Applied - Input'!N2:N100)/F$3,0)</f>
        <v>0</v>
      </c>
      <c r="G6">
        <f ca="1">IFERROR(SUMIF('Fertiliser Applied - Input'!$D$2:$D$131,"=Hay",'Fertiliser Applied - Input'!N2:N100)/G$3,0)</f>
        <v>0</v>
      </c>
      <c r="H6">
        <f ca="1">IFERROR(SUMIF('Fertiliser Applied - Input'!$D$2:$D$131,"=Triticale",'Fertiliser Applied - Input'!N2:N100)/H$3,0)</f>
        <v>0</v>
      </c>
      <c r="I6">
        <f ca="1">IFERROR(SUMIF('Fertiliser Applied - Input'!$D$2:$D$131,"=Fields Peas",'Fertiliser Applied - Input'!N2:N100)/I$3,0)</f>
        <v>0</v>
      </c>
      <c r="J6">
        <f ca="1">IFERROR(SUMIF('Fertiliser Applied - Input'!$D$2:$D$131,"=Chick Peas",'Fertiliser Applied - Input'!N2:N100)/J$3,0)</f>
        <v>0</v>
      </c>
      <c r="K6">
        <f ca="1">IFERROR(SUMIF('Fertiliser Applied - Input'!$D$2:$D$131,"=Faba Beans",'Fertiliser Applied - Input'!N2:N100)/K$3,0)</f>
        <v>0</v>
      </c>
      <c r="L6">
        <f ca="1">IFERROR(SUMIF('Fertiliser Applied - Input'!$D$2:$D$131,"=Lentils",'Fertiliser Applied - Input'!N2:N100)/L$3,0)</f>
        <v>0</v>
      </c>
      <c r="M6">
        <f ca="1">IFERROR(SUMIF('Fertiliser Applied - Input'!$D$2:$D$131,"=Other Grains",'Fertiliser Applied - Input'!N2:N100)/M$3,0)</f>
        <v>0</v>
      </c>
    </row>
    <row r="7" spans="1:14" ht="30" x14ac:dyDescent="0.25">
      <c r="A7" s="22" t="s">
        <v>124</v>
      </c>
      <c r="B7">
        <f ca="1">IFERROR(SUMIF('Fertiliser Applied - Input'!$D$2:$D$131,"=Wheat",'Fertiliser Applied - Input'!$O$2:$O$95)/B$3,0)</f>
        <v>0</v>
      </c>
      <c r="C7">
        <f ca="1">IFERROR(SUMIF('Fertiliser Applied - Input'!$D$2:$D$131,"=Barley",'Fertiliser Applied - Input'!$J$2:$J$95)/C$3,0)</f>
        <v>0</v>
      </c>
      <c r="D7">
        <f ca="1">IFERROR(SUMIF('Fertiliser Applied - Input'!$D$2:$D$131,"=Canola",'Fertiliser Applied - Input'!$J$2:$J$95)/D$3,0)</f>
        <v>0</v>
      </c>
      <c r="E7">
        <f ca="1">IFERROR(SUMIF('Fertiliser Applied - Input'!$D$2:$D$131,"=Lupins",'Fertiliser Applied - Input'!$J$2:$J$95)/E$3,0)</f>
        <v>0</v>
      </c>
      <c r="F7">
        <f ca="1">IFERROR(SUMIF('Fertiliser Applied - Input'!$D$2:$D$131,"=Oats",'Fertiliser Applied - Input'!$J$2:$J$95)/F$3,0)</f>
        <v>0</v>
      </c>
      <c r="G7">
        <f ca="1">IFERROR(SUMIF('Fertiliser Applied - Input'!$D$2:$D$131,"=Hay",'Fertiliser Applied - Input'!$J$2:$J$95)/G$3,0)</f>
        <v>0</v>
      </c>
      <c r="H7">
        <f ca="1">IFERROR(SUMIF('Fertiliser Applied - Input'!$D$2:$D$131,"=Triticale",'Fertiliser Applied - Input'!$J$2:$J$95)/H$3,0)</f>
        <v>0</v>
      </c>
      <c r="I7">
        <f ca="1">IFERROR(SUMIF('Fertiliser Applied - Input'!$D$2:$D$131,"=Fields Peas",'Fertiliser Applied - Input'!$J$2:$J$95)/I$3,0)</f>
        <v>0</v>
      </c>
      <c r="J7">
        <f ca="1">IFERROR(SUMIF('Fertiliser Applied - Input'!$D$2:$D$131,"=Chick Peas",'Fertiliser Applied - Input'!$J$2:$J$95)/J$3,0)</f>
        <v>0</v>
      </c>
      <c r="K7">
        <f ca="1">IFERROR(SUMIF('Fertiliser Applied - Input'!$D$2:$D$131,"=Faba Beans",'Fertiliser Applied - Input'!$J$2:$J$95)/K$3,0)</f>
        <v>0</v>
      </c>
      <c r="L7">
        <f ca="1">IFERROR(SUMIF('Fertiliser Applied - Input'!$D$2:$D$131,"=Lentils",'Fertiliser Applied - Input'!$J$2:$J$95)/L$3,0)</f>
        <v>0</v>
      </c>
      <c r="M7">
        <f ca="1">IFERROR(SUMIF('Fertiliser Applied - Input'!$D$2:$D$131,"=Other Grains",'Fertiliser Applied - Input'!$J$2:$J$95)/M$3,0)</f>
        <v>0</v>
      </c>
    </row>
    <row r="8" spans="1:14" ht="30" x14ac:dyDescent="0.25">
      <c r="A8" s="22" t="s">
        <v>125</v>
      </c>
      <c r="B8">
        <f ca="1">IFERROR(SUMIF('Fertiliser Applied - Input'!$D$2:$D$131,"=Wheat",'Fertiliser Applied - Input'!$K$2:$K$95)/B$3,0)</f>
        <v>0</v>
      </c>
      <c r="C8">
        <f ca="1">IFERROR(SUMIF('Fertiliser Applied - Input'!$D$2:$D$131,"=Barley",'Fertiliser Applied - Input'!$J$2:$J$95)/C$3,0)</f>
        <v>0</v>
      </c>
      <c r="D8">
        <f ca="1">IFERROR(SUMIF('Fertiliser Applied - Input'!$D$2:$D$131,"=Canola",'Fertiliser Applied - Input'!$J$2:$J$95)/D$3,0)</f>
        <v>0</v>
      </c>
      <c r="E8">
        <f ca="1">IFERROR(SUMIF('Fertiliser Applied - Input'!$D$2:$D$131,"=Lupins",'Fertiliser Applied - Input'!$J$2:$J$95)/E$3,0)</f>
        <v>0</v>
      </c>
      <c r="F8">
        <f ca="1">IFERROR(SUMIF('Fertiliser Applied - Input'!$D$2:$D$131,"=Oats",'Fertiliser Applied - Input'!$J$2:$J$95)/F$3,0)</f>
        <v>0</v>
      </c>
      <c r="G8">
        <f ca="1">IFERROR(SUMIF('Fertiliser Applied - Input'!$D$2:$D$131,"=Hay",'Fertiliser Applied - Input'!$J$2:$J$95)/G$3,0)</f>
        <v>0</v>
      </c>
      <c r="H8">
        <f ca="1">IFERROR(SUMIF('Fertiliser Applied - Input'!$D$2:$D$131,"=Triticale",'Fertiliser Applied - Input'!$J$2:$J$95)/H$3,0)</f>
        <v>0</v>
      </c>
      <c r="I8">
        <f ca="1">IFERROR(SUMIF('Fertiliser Applied - Input'!$D$2:$D$131,"=Fields Peas",'Fertiliser Applied - Input'!$J$2:$J$95)/I$3,0)</f>
        <v>0</v>
      </c>
      <c r="J8">
        <f ca="1">IFERROR(SUMIF('Fertiliser Applied - Input'!$D$2:$D$131,"=Chick Peas",'Fertiliser Applied - Input'!$J$2:$J$95)/J$3,0)</f>
        <v>0</v>
      </c>
      <c r="K8">
        <f ca="1">IFERROR(SUMIF('Fertiliser Applied - Input'!$D$2:$D$131,"=Faba Beans",'Fertiliser Applied - Input'!$J$2:$J$95)/K$3,0)</f>
        <v>0</v>
      </c>
      <c r="L8">
        <f ca="1">IFERROR(SUMIF('Fertiliser Applied - Input'!$D$2:$D$131,"=Lentils",'Fertiliser Applied - Input'!$J$2:$J$95)/L$3,0)</f>
        <v>0</v>
      </c>
      <c r="M8">
        <f ca="1">IFERROR(SUMIF('Fertiliser Applied - Input'!$D$2:$D$131,"=Other Grains",'Fertiliser Applied - Input'!$J$2:$J$95)/M$3,0)</f>
        <v>0</v>
      </c>
    </row>
    <row r="9" spans="1:14" ht="60" x14ac:dyDescent="0.25">
      <c r="A9" s="22" t="s">
        <v>126</v>
      </c>
      <c r="B9">
        <f ca="1">IFERROR(SUMIF('Fertiliser Applied - Input'!$D$2:$D$131,"=Wheat",'Fertiliser Applied - Input'!$L$2:$L$95)/B$3,0)</f>
        <v>0</v>
      </c>
      <c r="C9">
        <f ca="1">IFERROR(SUMIF('Fertiliser Applied - Input'!$D$2:$D$131,"=Barley",'Fertiliser Applied - Input'!$J$2:$J$95)/C$3,0)</f>
        <v>0</v>
      </c>
      <c r="D9">
        <f ca="1">IFERROR(SUMIF('Fertiliser Applied - Input'!$D$2:$D$131,"=Canola",'Fertiliser Applied - Input'!$J$2:$J$95)/D$3,0)</f>
        <v>0</v>
      </c>
      <c r="E9">
        <f ca="1">IFERROR(SUMIF('Fertiliser Applied - Input'!$D$2:$D$131,"=Lupins",'Fertiliser Applied - Input'!$J$2:$J$95)/E$3,0)</f>
        <v>0</v>
      </c>
      <c r="F9">
        <f ca="1">IFERROR(SUMIF('Fertiliser Applied - Input'!$D$2:$D$131,"=Oats",'Fertiliser Applied - Input'!$J$2:$J$95)/F$3,0)</f>
        <v>0</v>
      </c>
      <c r="G9">
        <f ca="1">IFERROR(SUMIF('Fertiliser Applied - Input'!$D$2:$D$131,"=Hay",'Fertiliser Applied - Input'!$J$2:$J$95)/G$3,0)</f>
        <v>0</v>
      </c>
      <c r="H9">
        <f ca="1">IFERROR(SUMIF('Fertiliser Applied - Input'!$D$2:$D$131,"=Triticale",'Fertiliser Applied - Input'!$J$2:$J$95)/H$3,0)</f>
        <v>0</v>
      </c>
      <c r="I9">
        <f ca="1">IFERROR(SUMIF('Fertiliser Applied - Input'!$D$2:$D$131,"=Fields Peas",'Fertiliser Applied - Input'!$J$2:$J$95)/I$3,0)</f>
        <v>0</v>
      </c>
      <c r="J9">
        <f ca="1">IFERROR(SUMIF('Fertiliser Applied - Input'!$D$2:$D$131,"=Chick Peas",'Fertiliser Applied - Input'!$J$2:$J$95)/J$3,0)</f>
        <v>0</v>
      </c>
      <c r="K9">
        <f ca="1">IFERROR(SUMIF('Fertiliser Applied - Input'!$D$2:$D$131,"=Faba Beans",'Fertiliser Applied - Input'!$J$2:$J$95)/K$3,0)</f>
        <v>0</v>
      </c>
      <c r="L9">
        <f ca="1">IFERROR(SUMIF('Fertiliser Applied - Input'!$D$2:$D$131,"=Lentils",'Fertiliser Applied - Input'!$J$2:$J$95)/L$3,0)</f>
        <v>0</v>
      </c>
      <c r="M9">
        <f ca="1">IFERROR(SUMIF('Fertiliser Applied - Input'!$D$2:$D$131,"=Other Grains",'Fertiliser Applied - Input'!$J$2:$J$95)/M$3,0)</f>
        <v>0</v>
      </c>
    </row>
    <row r="10" spans="1:14" ht="45" x14ac:dyDescent="0.25">
      <c r="A10" s="22" t="s">
        <v>143</v>
      </c>
      <c r="B10">
        <f>SUM(SUMIFS('Lime Product - Input'!$G$2:$G$54,'Lime Product - Input'!$D$2:$D$54,"="&amp;B1),SUMIFS('Lime Product - Input'!$H$2:$H$54,'Lime Product - Input'!$D$2:$D$54,"="&amp;B1))</f>
        <v>0</v>
      </c>
      <c r="C10">
        <f>SUM(SUMIFS('Lime Product - Input'!$G$2:$G$54,'Lime Product - Input'!$D$2:$D$54,"="&amp;C1),SUMIFS('Lime Product - Input'!$H$2:$H$54,'Lime Product - Input'!$D$2:$D$54,"="&amp;C1))</f>
        <v>0</v>
      </c>
      <c r="D10">
        <f>SUM(SUMIFS('Lime Product - Input'!$G$2:$G$54,'Lime Product - Input'!$D$2:$D$54,"="&amp;D1),SUMIFS('Lime Product - Input'!$H$2:$H$54,'Lime Product - Input'!$D$2:$D$54,"="&amp;D1))</f>
        <v>0</v>
      </c>
      <c r="E10">
        <f>SUM(SUMIFS('Lime Product - Input'!$G$2:$G$54,'Lime Product - Input'!$D$2:$D$54,"="&amp;E1),SUMIFS('Lime Product - Input'!$H$2:$H$54,'Lime Product - Input'!$D$2:$D$54,"="&amp;E1))</f>
        <v>0</v>
      </c>
      <c r="F10">
        <f>SUM(SUMIFS('Lime Product - Input'!$G$2:$G$54,'Lime Product - Input'!$D$2:$D$54,"="&amp;F1),SUMIFS('Lime Product - Input'!$H$2:$H$54,'Lime Product - Input'!$D$2:$D$54,"="&amp;F1))</f>
        <v>0</v>
      </c>
      <c r="G10">
        <f>SUM(SUMIFS('Lime Product - Input'!$G$2:$G$54,'Lime Product - Input'!$D$2:$D$54,"="&amp;G1),SUMIFS('Lime Product - Input'!$H$2:$H$54,'Lime Product - Input'!$D$2:$D$54,"="&amp;G1))</f>
        <v>0</v>
      </c>
      <c r="H10">
        <f>SUM(SUMIFS('Lime Product - Input'!$G$2:$G$54,'Lime Product - Input'!$D$2:$D$54,"="&amp;H1),SUMIFS('Lime Product - Input'!$H$2:$H$54,'Lime Product - Input'!$D$2:$D$54,"="&amp;H1))</f>
        <v>0</v>
      </c>
      <c r="I10">
        <f>SUM(SUMIFS('Lime Product - Input'!$G$2:$G$54,'Lime Product - Input'!$D$2:$D$54,"="&amp;I1),SUMIFS('Lime Product - Input'!$H$2:$H$54,'Lime Product - Input'!$D$2:$D$54,"="&amp;I1))</f>
        <v>0</v>
      </c>
      <c r="J10">
        <f>SUM(SUMIFS('Lime Product - Input'!$G$2:$G$54,'Lime Product - Input'!$D$2:$D$54,"="&amp;J1),SUMIFS('Lime Product - Input'!$H$2:$H$54,'Lime Product - Input'!$D$2:$D$54,"="&amp;J1))</f>
        <v>0</v>
      </c>
      <c r="K10">
        <f>SUM(SUMIFS('Lime Product - Input'!$G$2:$G$54,'Lime Product - Input'!$D$2:$D$54,"="&amp;K1),SUMIFS('Lime Product - Input'!$H$2:$H$54,'Lime Product - Input'!$D$2:$D$54,"="&amp;K1))</f>
        <v>0</v>
      </c>
      <c r="L10">
        <f>SUM(SUMIFS('Lime Product - Input'!$G$2:$G$54,'Lime Product - Input'!$D$2:$D$54,"="&amp;L1),SUMIFS('Lime Product - Input'!$H$2:$H$54,'Lime Product - Input'!$D$2:$D$54,"="&amp;L1))</f>
        <v>0</v>
      </c>
      <c r="M10">
        <f>SUM(SUMIFS('Lime Product - Input'!$G$2:$G$54,'Lime Product - Input'!$D$2:$D$54,"="&amp;M1),SUMIFS('Lime Product - Input'!$H$2:$H$54,'Lime Product - Input'!$D$2:$D$54,"="&amp;M1))</f>
        <v>0</v>
      </c>
      <c r="N10">
        <f>SUM(SUMIFS('Lime Product - Input'!$G$2:$G$54,'Lime Product - Input'!$D$2:$D$54,"="&amp;N1),SUMIFS('Lime Product - Input'!$H$2:$H$54,'Lime Product - Input'!$D$2:$D$54,"="&amp;N1))</f>
        <v>0</v>
      </c>
    </row>
    <row r="11" spans="1:14" ht="30" x14ac:dyDescent="0.25">
      <c r="A11" s="22" t="s">
        <v>144</v>
      </c>
      <c r="B11">
        <f ca="1">IFERROR(IF(COUNTIF('Lime Product - Input'!$D$2:$D$54,"="&amp;B1)=1,OFFSET('Lime Product - Input'!$C$1,MATCH(B1,'Lime Product - Input'!$D$2:$D$54,0),0),SUMIFS('Lime Product - Input'!$G$2:$G$54,'Lime Product - Input'!$D$2:$D$54,"="&amp;B1)/B10),0)</f>
        <v>0</v>
      </c>
      <c r="C11">
        <f ca="1">IFERROR(IF(COUNTIF('Lime Product - Input'!$D$2:$D$54,"="&amp;C1)=1,OFFSET('Lime Product - Input'!$C$1,MATCH(C1,'Lime Product - Input'!$D$2:$D$54,0),0),SUMIFS('Lime Product - Input'!$G$2:$G$54,'Lime Product - Input'!$D$2:$D$54,"="&amp;C1)/C10),0)</f>
        <v>0</v>
      </c>
      <c r="D11">
        <f ca="1">IFERROR(IF(COUNTIF('Lime Product - Input'!$D$2:$D$54,"="&amp;D1)=1,OFFSET('Lime Product - Input'!$C$1,MATCH(D1,'Lime Product - Input'!$D$2:$D$54,0),0),SUMIFS('Lime Product - Input'!$G$2:$G$54,'Lime Product - Input'!$D$2:$D$54,"="&amp;D1)/D10),0)</f>
        <v>0</v>
      </c>
      <c r="E11">
        <f ca="1">IFERROR(IF(COUNTIF('Lime Product - Input'!$D$2:$D$54,"="&amp;E1)=1,OFFSET('Lime Product - Input'!$C$1,MATCH(E1,'Lime Product - Input'!$D$2:$D$54,0),0),SUMIFS('Lime Product - Input'!$G$2:$G$54,'Lime Product - Input'!$D$2:$D$54,"="&amp;E1)/E10),0)</f>
        <v>0</v>
      </c>
      <c r="F11">
        <f ca="1">IFERROR(IF(COUNTIF('Lime Product - Input'!$D$2:$D$54,"="&amp;F1)=1,OFFSET('Lime Product - Input'!$C$1,MATCH(F1,'Lime Product - Input'!$D$2:$D$54,0),0),SUMIFS('Lime Product - Input'!$G$2:$G$54,'Lime Product - Input'!$D$2:$D$54,"="&amp;F1)/F10),0)</f>
        <v>0</v>
      </c>
      <c r="G11">
        <f ca="1">IFERROR(IF(COUNTIF('Lime Product - Input'!$D$2:$D$54,"="&amp;G1)=1,OFFSET('Lime Product - Input'!$C$1,MATCH(G1,'Lime Product - Input'!$D$2:$D$54,0),0),SUMIFS('Lime Product - Input'!$G$2:$G$54,'Lime Product - Input'!$D$2:$D$54,"="&amp;G1)/G10),0)</f>
        <v>0</v>
      </c>
      <c r="H11">
        <f ca="1">IFERROR(IF(COUNTIF('Lime Product - Input'!$D$2:$D$54,"="&amp;H1)=1,OFFSET('Lime Product - Input'!$C$1,MATCH(H1,'Lime Product - Input'!$D$2:$D$54,0),0),SUMIFS('Lime Product - Input'!$G$2:$G$54,'Lime Product - Input'!$D$2:$D$54,"="&amp;H1)/H10),0)</f>
        <v>0</v>
      </c>
      <c r="I11">
        <f ca="1">IFERROR(IF(COUNTIF('Lime Product - Input'!$D$2:$D$54,"="&amp;I1)=1,OFFSET('Lime Product - Input'!$C$1,MATCH(I1,'Lime Product - Input'!$D$2:$D$54,0),0),SUMIFS('Lime Product - Input'!$G$2:$G$54,'Lime Product - Input'!$D$2:$D$54,"="&amp;I1)/I10),0)</f>
        <v>0</v>
      </c>
      <c r="J11">
        <f ca="1">IFERROR(IF(COUNTIF('Lime Product - Input'!$D$2:$D$54,"="&amp;J1)=1,OFFSET('Lime Product - Input'!$C$1,MATCH(J1,'Lime Product - Input'!$D$2:$D$54,0),0),SUMIFS('Lime Product - Input'!$G$2:$G$54,'Lime Product - Input'!$D$2:$D$54,"="&amp;J1)/J10),0)</f>
        <v>0</v>
      </c>
      <c r="K11">
        <f ca="1">IFERROR(IF(COUNTIF('Lime Product - Input'!$D$2:$D$54,"="&amp;K1)=1,OFFSET('Lime Product - Input'!$C$1,MATCH(K1,'Lime Product - Input'!$D$2:$D$54,0),0),SUMIFS('Lime Product - Input'!$G$2:$G$54,'Lime Product - Input'!$D$2:$D$54,"="&amp;K1)/K10),0)</f>
        <v>0</v>
      </c>
      <c r="L11">
        <f ca="1">IFERROR(IF(COUNTIF('Lime Product - Input'!$D$2:$D$54,"="&amp;L1)=1,OFFSET('Lime Product - Input'!$C$1,MATCH(L1,'Lime Product - Input'!$D$2:$D$54,0),0),SUMIFS('Lime Product - Input'!$G$2:$G$54,'Lime Product - Input'!$D$2:$D$54,"="&amp;L1)/L10),0)</f>
        <v>0</v>
      </c>
      <c r="M11">
        <f ca="1">IFERROR(IF(COUNTIF('Lime Product - Input'!$D$2:$D$54,"="&amp;M1)=1,OFFSET('Lime Product - Input'!$C$1,MATCH(M1,'Lime Product - Input'!$D$2:$D$54,0),0),SUMIFS('Lime Product - Input'!$G$2:$G$54,'Lime Product - Input'!$D$2:$D$54,"="&amp;M1)/M10),0)</f>
        <v>0</v>
      </c>
    </row>
    <row r="12" spans="1:14" ht="75" x14ac:dyDescent="0.25">
      <c r="A12" s="22" t="s">
        <v>293</v>
      </c>
      <c r="B12" s="30">
        <f>VLOOKUP(B1,'General information'!$A$46:$R$58,8,0)</f>
        <v>0</v>
      </c>
      <c r="C12" s="30">
        <f>VLOOKUP(C1,'General information'!$A$46:$R$58,8,0)</f>
        <v>0</v>
      </c>
      <c r="D12" s="30">
        <f>VLOOKUP(D1,'General information'!$A$46:$R$58,8,0)</f>
        <v>0</v>
      </c>
      <c r="E12" s="30">
        <f>VLOOKUP(E1,'General information'!$A$46:$R$58,8,0)</f>
        <v>0</v>
      </c>
      <c r="F12" s="30">
        <f>VLOOKUP(F1,'General information'!$A$46:$R$58,8,0)</f>
        <v>0</v>
      </c>
      <c r="G12" s="30">
        <f>VLOOKUP(G1,'General information'!$A$46:$R$58,8,0)</f>
        <v>0</v>
      </c>
      <c r="H12" s="30">
        <f>VLOOKUP(H1,'General information'!$A$46:$R$58,8,0)</f>
        <v>0</v>
      </c>
      <c r="I12" s="30">
        <f>VLOOKUP(I1,'General information'!$A$46:$R$58,8,0)</f>
        <v>0</v>
      </c>
      <c r="J12" s="30">
        <f>VLOOKUP(J1,'General information'!$A$46:$R$58,8,0)</f>
        <v>0</v>
      </c>
      <c r="K12" s="30">
        <f>VLOOKUP(K1,'General information'!$A$46:$R$58,8,0)</f>
        <v>0</v>
      </c>
      <c r="L12" s="30">
        <f>VLOOKUP(L1,'General information'!$A$46:$R$58,8,0)</f>
        <v>0</v>
      </c>
      <c r="M12" s="30">
        <f>VLOOKUP(M1,'General information'!$A$46:$R$58,8,0)</f>
        <v>0</v>
      </c>
    </row>
    <row r="13" spans="1:14" ht="45" x14ac:dyDescent="0.25">
      <c r="A13" s="22" t="s">
        <v>145</v>
      </c>
      <c r="B13" cm="1">
        <f t="array" aca="1" ref="B13" ca="1">SUMPRODUCT(--('Fuel Usage - Input'!$E$2:$E$54=B$1),--('Fuel Usage - Input'!$F$2:$F$54="Diesel"),'Fuel Usage - Input'!$P$2:$P$54)</f>
        <v>0</v>
      </c>
      <c r="C13" cm="1">
        <f t="array" aca="1" ref="C13" ca="1">SUMPRODUCT(--('Fuel Usage - Input'!$E$2:$E$54=C1),--('Fuel Usage - Input'!$F$2:$F$54="Diesel"),'Fuel Usage - Input'!$P$2:$P$54)</f>
        <v>0</v>
      </c>
      <c r="D13" cm="1">
        <f t="array" aca="1" ref="D13" ca="1">SUMPRODUCT(--('Fuel Usage - Input'!$E$2:$E$54=D1),--('Fuel Usage - Input'!$F$2:$F$54="Diesel"),'Fuel Usage - Input'!$P$2:$P$54)</f>
        <v>0</v>
      </c>
      <c r="E13" cm="1">
        <f t="array" aca="1" ref="E13" ca="1">SUMPRODUCT(--('Fuel Usage - Input'!$E$2:$E$54=E1),--('Fuel Usage - Input'!$F$2:$F$54="Diesel"),'Fuel Usage - Input'!$P$2:$P$54)</f>
        <v>0</v>
      </c>
      <c r="F13" cm="1">
        <f t="array" aca="1" ref="F13" ca="1">SUMPRODUCT(--('Fuel Usage - Input'!$E$2:$E$54=F1),--('Fuel Usage - Input'!$F$2:$F$54="Diesel"),'Fuel Usage - Input'!$P$2:$P$54)</f>
        <v>0</v>
      </c>
      <c r="G13" cm="1">
        <f t="array" aca="1" ref="G13" ca="1">SUMPRODUCT(--('Fuel Usage - Input'!$E$2:$E$54=G1),--('Fuel Usage - Input'!$F$2:$F$54="Diesel"),'Fuel Usage - Input'!$P$2:$P$54)</f>
        <v>0</v>
      </c>
      <c r="H13" cm="1">
        <f t="array" aca="1" ref="H13" ca="1">SUMPRODUCT(--('Fuel Usage - Input'!$E$2:$E$54=H1),--('Fuel Usage - Input'!$F$2:$F$54="Diesel"),'Fuel Usage - Input'!$P$2:$P$54)</f>
        <v>0</v>
      </c>
      <c r="I13" cm="1">
        <f t="array" aca="1" ref="I13" ca="1">SUMPRODUCT(--('Fuel Usage - Input'!$E$2:$E$54=I1),--('Fuel Usage - Input'!$F$2:$F$54="Diesel"),'Fuel Usage - Input'!$P$2:$P$54)</f>
        <v>0</v>
      </c>
      <c r="J13" cm="1">
        <f t="array" aca="1" ref="J13" ca="1">SUMPRODUCT(--('Fuel Usage - Input'!$E$2:$E$54=J1),--('Fuel Usage - Input'!$F$2:$F$54="Diesel"),'Fuel Usage - Input'!$P$2:$P$54)</f>
        <v>0</v>
      </c>
      <c r="K13" cm="1">
        <f t="array" aca="1" ref="K13" ca="1">SUMPRODUCT(--('Fuel Usage - Input'!$E$2:$E$54=K1),--('Fuel Usage - Input'!$F$2:$F$54="Diesel"),'Fuel Usage - Input'!$P$2:$P$54)</f>
        <v>0</v>
      </c>
      <c r="L13" cm="1">
        <f t="array" aca="1" ref="L13" ca="1">SUMPRODUCT(--('Fuel Usage - Input'!$E$2:$E$54=L1),--('Fuel Usage - Input'!$F$2:$F$54="Diesel"),'Fuel Usage - Input'!$P$2:$P$54)</f>
        <v>0</v>
      </c>
      <c r="M13" cm="1">
        <f t="array" aca="1" ref="M13" ca="1">SUMPRODUCT(--('Fuel Usage - Input'!$E$2:$E$54=M1),--('Fuel Usage - Input'!$F$2:$F$54="Diesel"),'Fuel Usage - Input'!$P$2:$P$54)</f>
        <v>0</v>
      </c>
    </row>
    <row r="14" spans="1:14" ht="30" x14ac:dyDescent="0.25">
      <c r="A14" s="22" t="s">
        <v>146</v>
      </c>
      <c r="B14" cm="1">
        <f t="array" aca="1" ref="B14" ca="1">SUMPRODUCT(--('Fuel Usage - Input'!$E$2:$E$54=B$1),--('Fuel Usage - Input'!$F$2:$F$54="Petrol"),'Fuel Usage - Input'!$P$2:$P$54)</f>
        <v>0</v>
      </c>
      <c r="C14" cm="1">
        <f t="array" aca="1" ref="C14" ca="1">SUMPRODUCT(--('Fuel Usage - Input'!$E$2:$E$54=C$1),--('Fuel Usage - Input'!$F$2:$F$54="Petrol"),'Fuel Usage - Input'!$P$2:$P$54)</f>
        <v>0</v>
      </c>
      <c r="D14" cm="1">
        <f t="array" aca="1" ref="D14" ca="1">SUMPRODUCT(--('Fuel Usage - Input'!$E$2:$E$54=D$1),--('Fuel Usage - Input'!$F$2:$F$54="Petrol"),'Fuel Usage - Input'!$P$2:$P$54)</f>
        <v>0</v>
      </c>
      <c r="E14" cm="1">
        <f t="array" aca="1" ref="E14" ca="1">SUMPRODUCT(--('Fuel Usage - Input'!$E$2:$E$54=E$1),--('Fuel Usage - Input'!$F$2:$F$54="Petrol"),'Fuel Usage - Input'!$P$2:$P$54)</f>
        <v>0</v>
      </c>
      <c r="F14" cm="1">
        <f t="array" aca="1" ref="F14" ca="1">SUMPRODUCT(--('Fuel Usage - Input'!$E$2:$E$54=F$1),--('Fuel Usage - Input'!$F$2:$F$54="Petrol"),'Fuel Usage - Input'!$P$2:$P$54)</f>
        <v>0</v>
      </c>
      <c r="G14" cm="1">
        <f t="array" aca="1" ref="G14" ca="1">SUMPRODUCT(--('Fuel Usage - Input'!$E$2:$E$54=G$1),--('Fuel Usage - Input'!$F$2:$F$54="Petrol"),'Fuel Usage - Input'!$P$2:$P$54)</f>
        <v>0</v>
      </c>
      <c r="H14" cm="1">
        <f t="array" aca="1" ref="H14" ca="1">SUMPRODUCT(--('Fuel Usage - Input'!$E$2:$E$54=H$1),--('Fuel Usage - Input'!$F$2:$F$54="Petrol"),'Fuel Usage - Input'!$P$2:$P$54)</f>
        <v>0</v>
      </c>
      <c r="I14" cm="1">
        <f t="array" aca="1" ref="I14" ca="1">SUMPRODUCT(--('Fuel Usage - Input'!$E$2:$E$54=I$1),--('Fuel Usage - Input'!$F$2:$F$54="Petrol"),'Fuel Usage - Input'!$P$2:$P$54)</f>
        <v>0</v>
      </c>
      <c r="J14" cm="1">
        <f t="array" aca="1" ref="J14" ca="1">SUMPRODUCT(--('Fuel Usage - Input'!$E$2:$E$54=J$1),--('Fuel Usage - Input'!$F$2:$F$54="Petrol"),'Fuel Usage - Input'!$P$2:$P$54)</f>
        <v>0</v>
      </c>
      <c r="K14" cm="1">
        <f t="array" aca="1" ref="K14" ca="1">SUMPRODUCT(--('Fuel Usage - Input'!$E$2:$E$54=K$1),--('Fuel Usage - Input'!$F$2:$F$54="Petrol"),'Fuel Usage - Input'!$P$2:$P$54)</f>
        <v>0</v>
      </c>
      <c r="L14" cm="1">
        <f t="array" aca="1" ref="L14" ca="1">SUMPRODUCT(--('Fuel Usage - Input'!$E$2:$E$54=L$1),--('Fuel Usage - Input'!$F$2:$F$54="Petrol"),'Fuel Usage - Input'!$P$2:$P$54)</f>
        <v>0</v>
      </c>
      <c r="M14" cm="1">
        <f t="array" aca="1" ref="M14" ca="1">SUMPRODUCT(--('Fuel Usage - Input'!$E$2:$E$54=M$1),--('Fuel Usage - Input'!$F$2:$F$54="Petrol"),'Fuel Usage - Input'!$P$2:$P$54)</f>
        <v>0</v>
      </c>
    </row>
    <row r="15" spans="1:14" ht="30" x14ac:dyDescent="0.25">
      <c r="A15" s="22" t="s">
        <v>496</v>
      </c>
      <c r="B15">
        <f>VLOOKUP(B1,'General information'!$A$46:$R$58,10,0)</f>
        <v>0</v>
      </c>
      <c r="C15">
        <f>VLOOKUP(C1,'General information'!$A$46:$R$58,10,0)</f>
        <v>0</v>
      </c>
      <c r="D15">
        <f>VLOOKUP(D1,'General information'!$A$46:$R$58,10,0)</f>
        <v>0</v>
      </c>
      <c r="E15">
        <f>VLOOKUP(E1,'General information'!$A$46:$R$58,10,0)</f>
        <v>0</v>
      </c>
      <c r="F15">
        <f>VLOOKUP(F1,'General information'!$A$46:$R$58,10,0)</f>
        <v>0</v>
      </c>
      <c r="G15">
        <f>VLOOKUP(G1,'General information'!$A$46:$R$58,10,0)</f>
        <v>0</v>
      </c>
      <c r="H15">
        <f>VLOOKUP(H1,'General information'!$A$46:$R$58,10,0)</f>
        <v>0</v>
      </c>
      <c r="I15">
        <f>VLOOKUP(I1,'General information'!$A$46:$R$58,10,0)</f>
        <v>0</v>
      </c>
      <c r="J15">
        <f>VLOOKUP(J1,'General information'!$A$46:$R$58,10,0)</f>
        <v>0</v>
      </c>
      <c r="K15">
        <f>VLOOKUP(K1,'General information'!$A$46:$R$58,10,0)</f>
        <v>0</v>
      </c>
      <c r="L15">
        <f>VLOOKUP(L1,'General information'!$A$46:$R$58,10,0)</f>
        <v>0</v>
      </c>
      <c r="M15">
        <f>VLOOKUP(M1,'General information'!$A$46:$R$58,10,0)</f>
        <v>0</v>
      </c>
    </row>
    <row r="16" spans="1:14" ht="45" x14ac:dyDescent="0.25">
      <c r="A16" s="22" t="s">
        <v>294</v>
      </c>
      <c r="B16">
        <f>'General information'!$B$28</f>
        <v>0</v>
      </c>
      <c r="C16">
        <f>'General information'!$B$28</f>
        <v>0</v>
      </c>
      <c r="D16">
        <f>'General information'!$B$28</f>
        <v>0</v>
      </c>
      <c r="E16">
        <f>'General information'!$B$28</f>
        <v>0</v>
      </c>
      <c r="F16">
        <f>'General information'!$B$28</f>
        <v>0</v>
      </c>
      <c r="G16">
        <f>'General information'!$B$28</f>
        <v>0</v>
      </c>
      <c r="H16">
        <f>'General information'!$B$28</f>
        <v>0</v>
      </c>
      <c r="I16">
        <f>'General information'!$B$28</f>
        <v>0</v>
      </c>
      <c r="J16">
        <f>'General information'!$B$28</f>
        <v>0</v>
      </c>
      <c r="K16">
        <f>'General information'!$B$28</f>
        <v>0</v>
      </c>
      <c r="L16">
        <f>'General information'!$B$28</f>
        <v>0</v>
      </c>
      <c r="M16">
        <f>'General information'!$B$28</f>
        <v>0</v>
      </c>
    </row>
    <row r="17" spans="1:13" ht="45" x14ac:dyDescent="0.25">
      <c r="A17" s="22" t="s">
        <v>147</v>
      </c>
      <c r="B17" s="30">
        <f>'General information'!$B$31</f>
        <v>0</v>
      </c>
      <c r="C17" s="30">
        <f>'General information'!$B$31</f>
        <v>0</v>
      </c>
      <c r="D17" s="30">
        <f>'General information'!$B$31</f>
        <v>0</v>
      </c>
      <c r="E17" s="30">
        <f>'General information'!$B$31</f>
        <v>0</v>
      </c>
      <c r="F17" s="30">
        <f>'General information'!$B$31</f>
        <v>0</v>
      </c>
      <c r="G17" s="30">
        <f>'General information'!$B$31</f>
        <v>0</v>
      </c>
      <c r="H17" s="30">
        <f>'General information'!$B$31</f>
        <v>0</v>
      </c>
      <c r="I17" s="30">
        <f>'General information'!$B$31</f>
        <v>0</v>
      </c>
      <c r="J17" s="30">
        <f>'General information'!$B$31</f>
        <v>0</v>
      </c>
      <c r="K17" s="30">
        <f>'General information'!$B$31</f>
        <v>0</v>
      </c>
      <c r="L17" s="30">
        <f>'General information'!$B$31</f>
        <v>0</v>
      </c>
      <c r="M17" s="30">
        <f>'General information'!$B$31</f>
        <v>0</v>
      </c>
    </row>
    <row r="18" spans="1:13" ht="60" x14ac:dyDescent="0.25">
      <c r="A18" s="22" t="s">
        <v>148</v>
      </c>
      <c r="B18" cm="1">
        <f t="array" ref="B18">SUM(SUMIFS('Chemical Applied - Input'!$T$2:$T$54,'Chemical Applied - Input'!$E$2:$E$54,"&lt;&gt;"&amp;{"Glyphosate","Paraquat","Diquat"},'Chemical Applied - Input'!$P$2:$P$54,B1),
SUMIFS('Chemical Applied - Input'!$U$2:$U$54,'Chemical Applied - Input'!$I$2:$I$54,"&lt;&gt;"&amp;{"Glyphosate","Paraquat","Diquat"},'Chemical Applied - Input'!$P$2:$P$54,B1),
SUMIFS('Chemical Applied - Input'!$V$2:$V$54,'Chemical Applied - Input'!$M$2:$M$54,"&lt;&gt;"&amp;{"Glyphosate","Paraquat","Diquat"},'Chemical Applied - Input'!$P$2:$P$54,B1))</f>
        <v>0</v>
      </c>
      <c r="C18" cm="1">
        <f t="array" ref="C18">SUM(SUMIFS('Chemical Applied - Input'!$T$2:$T$54,'Chemical Applied - Input'!$E$2:$E$54,"&lt;&gt;"&amp;{"Glyphosate","Paraquat","Diquat"},'Chemical Applied - Input'!$P$2:$P$54,C1),
SUMIFS('Chemical Applied - Input'!$U$2:$U$54,'Chemical Applied - Input'!$I$2:$I$54,"&lt;&gt;"&amp;{"Glyphosate","Paraquat","Diquat"},'Chemical Applied - Input'!$P$2:$P$54,C1),
SUMIFS('Chemical Applied - Input'!$V$2:$V$54,'Chemical Applied - Input'!$M$2:$M$54,"&lt;&gt;"&amp;{"Glyphosate","Paraquat","Diquat"},'Chemical Applied - Input'!$P$2:$P$54,C1))</f>
        <v>0</v>
      </c>
      <c r="D18" cm="1">
        <f t="array" ref="D18">SUM(SUMIFS('Chemical Applied - Input'!$T$2:$T$54,'Chemical Applied - Input'!$E$2:$E$54,"&lt;&gt;"&amp;{"Glyphosate","Paraquat","Diquat"},'Chemical Applied - Input'!$P$2:$P$54,D1),
SUMIFS('Chemical Applied - Input'!$U$2:$U$54,'Chemical Applied - Input'!$I$2:$I$54,"&lt;&gt;"&amp;{"Glyphosate","Paraquat","Diquat"},'Chemical Applied - Input'!$P$2:$P$54,D1),
SUMIFS('Chemical Applied - Input'!$V$2:$V$54,'Chemical Applied - Input'!$M$2:$M$54,"&lt;&gt;"&amp;{"Glyphosate","Paraquat","Diquat"},'Chemical Applied - Input'!$P$2:$P$54,D1))</f>
        <v>0</v>
      </c>
      <c r="E18" cm="1">
        <f t="array" ref="E18">SUM(SUMIFS('Chemical Applied - Input'!$T$2:$T$54,'Chemical Applied - Input'!$E$2:$E$54,"&lt;&gt;"&amp;{"Glyphosate","Paraquat","Diquat"},'Chemical Applied - Input'!$P$2:$P$54,E1),
SUMIFS('Chemical Applied - Input'!$U$2:$U$54,'Chemical Applied - Input'!$I$2:$I$54,"&lt;&gt;"&amp;{"Glyphosate","Paraquat","Diquat"},'Chemical Applied - Input'!$P$2:$P$54,E1),
SUMIFS('Chemical Applied - Input'!$V$2:$V$54,'Chemical Applied - Input'!$M$2:$M$54,"&lt;&gt;"&amp;{"Glyphosate","Paraquat","Diquat"},'Chemical Applied - Input'!$P$2:$P$54,E1))</f>
        <v>0</v>
      </c>
      <c r="F18" cm="1">
        <f t="array" ref="F18">SUM(SUMIFS('Chemical Applied - Input'!$T$2:$T$54,'Chemical Applied - Input'!$E$2:$E$54,"&lt;&gt;"&amp;{"Glyphosate","Paraquat","Diquat"},'Chemical Applied - Input'!$P$2:$P$54,F1),
SUMIFS('Chemical Applied - Input'!$U$2:$U$54,'Chemical Applied - Input'!$I$2:$I$54,"&lt;&gt;"&amp;{"Glyphosate","Paraquat","Diquat"},'Chemical Applied - Input'!$P$2:$P$54,F1),
SUMIFS('Chemical Applied - Input'!$V$2:$V$54,'Chemical Applied - Input'!$M$2:$M$54,"&lt;&gt;"&amp;{"Glyphosate","Paraquat","Diquat"},'Chemical Applied - Input'!$P$2:$P$54,F1))</f>
        <v>0</v>
      </c>
      <c r="G18" cm="1">
        <f t="array" ref="G18">SUM(SUMIFS('Chemical Applied - Input'!$T$2:$T$54,'Chemical Applied - Input'!$E$2:$E$54,"&lt;&gt;"&amp;{"Glyphosate","Paraquat","Diquat"},'Chemical Applied - Input'!$P$2:$P$54,G1),
SUMIFS('Chemical Applied - Input'!$U$2:$U$54,'Chemical Applied - Input'!$I$2:$I$54,"&lt;&gt;"&amp;{"Glyphosate","Paraquat","Diquat"},'Chemical Applied - Input'!$P$2:$P$54,G1),
SUMIFS('Chemical Applied - Input'!$V$2:$V$54,'Chemical Applied - Input'!$M$2:$M$54,"&lt;&gt;"&amp;{"Glyphosate","Paraquat","Diquat"},'Chemical Applied - Input'!$P$2:$P$54,G1))</f>
        <v>0</v>
      </c>
      <c r="H18" cm="1">
        <f t="array" ref="H18">SUM(SUMIFS('Chemical Applied - Input'!$T$2:$T$54,'Chemical Applied - Input'!$E$2:$E$54,"&lt;&gt;"&amp;{"Glyphosate","Paraquat","Diquat"},'Chemical Applied - Input'!$P$2:$P$54,H1),
SUMIFS('Chemical Applied - Input'!$U$2:$U$54,'Chemical Applied - Input'!$I$2:$I$54,"&lt;&gt;"&amp;{"Glyphosate","Paraquat","Diquat"},'Chemical Applied - Input'!$P$2:$P$54,H1),
SUMIFS('Chemical Applied - Input'!$V$2:$V$54,'Chemical Applied - Input'!$M$2:$M$54,"&lt;&gt;"&amp;{"Glyphosate","Paraquat","Diquat"},'Chemical Applied - Input'!$P$2:$P$54,H1))</f>
        <v>0</v>
      </c>
      <c r="I18" cm="1">
        <f t="array" ref="I18">SUM(SUMIFS('Chemical Applied - Input'!$T$2:$T$54,'Chemical Applied - Input'!$E$2:$E$54,"&lt;&gt;"&amp;{"Glyphosate","Paraquat","Diquat"},'Chemical Applied - Input'!$P$2:$P$54,I1),
SUMIFS('Chemical Applied - Input'!$U$2:$U$54,'Chemical Applied - Input'!$I$2:$I$54,"&lt;&gt;"&amp;{"Glyphosate","Paraquat","Diquat"},'Chemical Applied - Input'!$P$2:$P$54,I1),
SUMIFS('Chemical Applied - Input'!$V$2:$V$54,'Chemical Applied - Input'!$M$2:$M$54,"&lt;&gt;"&amp;{"Glyphosate","Paraquat","Diquat"},'Chemical Applied - Input'!$P$2:$P$54,I1))</f>
        <v>0</v>
      </c>
      <c r="J18" cm="1">
        <f t="array" ref="J18">SUM(SUMIFS('Chemical Applied - Input'!$T$2:$T$54,'Chemical Applied - Input'!$E$2:$E$54,"&lt;&gt;"&amp;{"Glyphosate","Paraquat","Diquat"},'Chemical Applied - Input'!$P$2:$P$54,J1),
SUMIFS('Chemical Applied - Input'!$U$2:$U$54,'Chemical Applied - Input'!$I$2:$I$54,"&lt;&gt;"&amp;{"Glyphosate","Paraquat","Diquat"},'Chemical Applied - Input'!$P$2:$P$54,J1),
SUMIFS('Chemical Applied - Input'!$V$2:$V$54,'Chemical Applied - Input'!$M$2:$M$54,"&lt;&gt;"&amp;{"Glyphosate","Paraquat","Diquat"},'Chemical Applied - Input'!$P$2:$P$54,J1))</f>
        <v>0</v>
      </c>
      <c r="K18" cm="1">
        <f t="array" ref="K18">SUM(SUMIFS('Chemical Applied - Input'!$T$2:$T$54,'Chemical Applied - Input'!$E$2:$E$54,"&lt;&gt;"&amp;{"Glyphosate","Paraquat","Diquat"},'Chemical Applied - Input'!$P$2:$P$54,K1),
SUMIFS('Chemical Applied - Input'!$U$2:$U$54,'Chemical Applied - Input'!$I$2:$I$54,"&lt;&gt;"&amp;{"Glyphosate","Paraquat","Diquat"},'Chemical Applied - Input'!$P$2:$P$54,K1),
SUMIFS('Chemical Applied - Input'!$V$2:$V$54,'Chemical Applied - Input'!$M$2:$M$54,"&lt;&gt;"&amp;{"Glyphosate","Paraquat","Diquat"},'Chemical Applied - Input'!$P$2:$P$54,K1))</f>
        <v>0</v>
      </c>
      <c r="L18" cm="1">
        <f t="array" ref="L18">SUM(SUMIFS('Chemical Applied - Input'!$T$2:$T$54,'Chemical Applied - Input'!$E$2:$E$54,"&lt;&gt;"&amp;{"Glyphosate","Paraquat","Diquat"},'Chemical Applied - Input'!$P$2:$P$54,L1),
SUMIFS('Chemical Applied - Input'!$U$2:$U$54,'Chemical Applied - Input'!$I$2:$I$54,"&lt;&gt;"&amp;{"Glyphosate","Paraquat","Diquat"},'Chemical Applied - Input'!$P$2:$P$54,L1),
SUMIFS('Chemical Applied - Input'!$V$2:$V$54,'Chemical Applied - Input'!$M$2:$M$54,"&lt;&gt;"&amp;{"Glyphosate","Paraquat","Diquat"},'Chemical Applied - Input'!$P$2:$P$54,L1))</f>
        <v>0</v>
      </c>
      <c r="M18" cm="1">
        <f t="array" ref="M18">SUM(SUMIFS('Chemical Applied - Input'!$T$2:$T$54,'Chemical Applied - Input'!$E$2:$E$54,"&lt;&gt;"&amp;{"Glyphosate","Paraquat","Diquat"},'Chemical Applied - Input'!$P$2:$P$54,M1),
SUMIFS('Chemical Applied - Input'!$U$2:$U$54,'Chemical Applied - Input'!$I$2:$I$54,"&lt;&gt;"&amp;{"Glyphosate","Paraquat","Diquat"},'Chemical Applied - Input'!$P$2:$P$54,M1),
SUMIFS('Chemical Applied - Input'!$V$2:$V$54,'Chemical Applied - Input'!$M$2:$M$54,"&lt;&gt;"&amp;{"Glyphosate","Paraquat","Diquat"},'Chemical Applied - Input'!$P$2:$P$54,M1))</f>
        <v>0</v>
      </c>
    </row>
    <row r="19" spans="1:13" ht="75" x14ac:dyDescent="0.25">
      <c r="A19" s="22" t="s">
        <v>149</v>
      </c>
      <c r="B19" cm="1">
        <f t="array" ref="B19">SUM(SUMIFS('Chemical Applied - Input'!$T$2:$T$54,'Chemical Applied - Input'!$E$2:$E$54,"="&amp;{"Glyphosate","Paraquat","Diquat"},'Chemical Applied - Input'!$P$2:$P$54,B1),
SUMIFS('Chemical Applied - Input'!$U$2:$U$54,'Chemical Applied - Input'!$I$2:$I$54,"="&amp;{"Glyphosate","Paraquat","Diquat"},'Chemical Applied - Input'!$P$2:$P$54,B1),
SUMIFS('Chemical Applied - Input'!$V$2:$V$54,'Chemical Applied - Input'!$M$2:$M$54,"="&amp;{"Glyphosate","Paraquat","Diquat"},'Chemical Applied - Input'!$P$2:$P$54,B1))</f>
        <v>0</v>
      </c>
      <c r="C19" cm="1">
        <f t="array" ref="C19">SUM(SUMIFS('Chemical Applied - Input'!$T$2:$T$54,'Chemical Applied - Input'!$E$2:$E$54,"="&amp;{"Glyphosate","Paraquat","Diquat"},'Chemical Applied - Input'!$P$2:$P$54,C1),
SUMIFS('Chemical Applied - Input'!$U$2:$U$54,'Chemical Applied - Input'!$I$2:$I$54,"="&amp;{"Glyphosate","Paraquat","Diquat"},'Chemical Applied - Input'!$P$2:$P$54,C1),
SUMIFS('Chemical Applied - Input'!$V$2:$V$54,'Chemical Applied - Input'!$M$2:$M$54,"="&amp;{"Glyphosate","Paraquat","Diquat"},'Chemical Applied - Input'!$P$2:$P$54,C1))</f>
        <v>0</v>
      </c>
      <c r="D19" cm="1">
        <f t="array" ref="D19">SUM(SUMIFS('Chemical Applied - Input'!$T$2:$T$54,'Chemical Applied - Input'!$E$2:$E$54,"="&amp;{"Glyphosate","Paraquat","Diquat"},'Chemical Applied - Input'!$P$2:$P$54,D1),
SUMIFS('Chemical Applied - Input'!$U$2:$U$54,'Chemical Applied - Input'!$I$2:$I$54,"="&amp;{"Glyphosate","Paraquat","Diquat"},'Chemical Applied - Input'!$P$2:$P$54,D1),
SUMIFS('Chemical Applied - Input'!$V$2:$V$54,'Chemical Applied - Input'!$M$2:$M$54,"="&amp;{"Glyphosate","Paraquat","Diquat"},'Chemical Applied - Input'!$P$2:$P$54,D1))</f>
        <v>0</v>
      </c>
      <c r="E19" cm="1">
        <f t="array" ref="E19">SUM(SUMIFS('Chemical Applied - Input'!$T$2:$T$54,'Chemical Applied - Input'!$E$2:$E$54,"="&amp;{"Glyphosate","Paraquat","Diquat"},'Chemical Applied - Input'!$P$2:$P$54,E1),
SUMIFS('Chemical Applied - Input'!$U$2:$U$54,'Chemical Applied - Input'!$I$2:$I$54,"="&amp;{"Glyphosate","Paraquat","Diquat"},'Chemical Applied - Input'!$P$2:$P$54,E1),
SUMIFS('Chemical Applied - Input'!$V$2:$V$54,'Chemical Applied - Input'!$M$2:$M$54,"="&amp;{"Glyphosate","Paraquat","Diquat"},'Chemical Applied - Input'!$P$2:$P$54,E1))</f>
        <v>0</v>
      </c>
      <c r="F19" cm="1">
        <f t="array" ref="F19">SUM(SUMIFS('Chemical Applied - Input'!$T$2:$T$54,'Chemical Applied - Input'!$E$2:$E$54,"="&amp;{"Glyphosate","Paraquat","Diquat"},'Chemical Applied - Input'!$P$2:$P$54,F1),
SUMIFS('Chemical Applied - Input'!$U$2:$U$54,'Chemical Applied - Input'!$I$2:$I$54,"="&amp;{"Glyphosate","Paraquat","Diquat"},'Chemical Applied - Input'!$P$2:$P$54,F1),
SUMIFS('Chemical Applied - Input'!$V$2:$V$54,'Chemical Applied - Input'!$M$2:$M$54,"="&amp;{"Glyphosate","Paraquat","Diquat"},'Chemical Applied - Input'!$P$2:$P$54,F1))</f>
        <v>0</v>
      </c>
      <c r="G19" cm="1">
        <f t="array" ref="G19">SUM(SUMIFS('Chemical Applied - Input'!$T$2:$T$54,'Chemical Applied - Input'!$E$2:$E$54,"="&amp;{"Glyphosate","Paraquat","Diquat"},'Chemical Applied - Input'!$P$2:$P$54,G1),
SUMIFS('Chemical Applied - Input'!$U$2:$U$54,'Chemical Applied - Input'!$I$2:$I$54,"="&amp;{"Glyphosate","Paraquat","Diquat"},'Chemical Applied - Input'!$P$2:$P$54,G1),
SUMIFS('Chemical Applied - Input'!$V$2:$V$54,'Chemical Applied - Input'!$M$2:$M$54,"="&amp;{"Glyphosate","Paraquat","Diquat"},'Chemical Applied - Input'!$P$2:$P$54,G1))</f>
        <v>0</v>
      </c>
      <c r="H19" cm="1">
        <f t="array" ref="H19">SUM(SUMIFS('Chemical Applied - Input'!$T$2:$T$54,'Chemical Applied - Input'!$E$2:$E$54,"="&amp;{"Glyphosate","Paraquat","Diquat"},'Chemical Applied - Input'!$P$2:$P$54,H1),
SUMIFS('Chemical Applied - Input'!$U$2:$U$54,'Chemical Applied - Input'!$I$2:$I$54,"="&amp;{"Glyphosate","Paraquat","Diquat"},'Chemical Applied - Input'!$P$2:$P$54,H1),
SUMIFS('Chemical Applied - Input'!$V$2:$V$54,'Chemical Applied - Input'!$M$2:$M$54,"="&amp;{"Glyphosate","Paraquat","Diquat"},'Chemical Applied - Input'!$P$2:$P$54,H1))</f>
        <v>0</v>
      </c>
      <c r="I19" cm="1">
        <f t="array" ref="I19">SUM(SUMIFS('Chemical Applied - Input'!$T$2:$T$54,'Chemical Applied - Input'!$E$2:$E$54,"="&amp;{"Glyphosate","Paraquat","Diquat"},'Chemical Applied - Input'!$P$2:$P$54,I1),
SUMIFS('Chemical Applied - Input'!$U$2:$U$54,'Chemical Applied - Input'!$I$2:$I$54,"="&amp;{"Glyphosate","Paraquat","Diquat"},'Chemical Applied - Input'!$P$2:$P$54,I1),
SUMIFS('Chemical Applied - Input'!$V$2:$V$54,'Chemical Applied - Input'!$M$2:$M$54,"="&amp;{"Glyphosate","Paraquat","Diquat"},'Chemical Applied - Input'!$P$2:$P$54,I1))</f>
        <v>0</v>
      </c>
      <c r="J19" cm="1">
        <f t="array" ref="J19">SUM(SUMIFS('Chemical Applied - Input'!$T$2:$T$54,'Chemical Applied - Input'!$E$2:$E$54,"="&amp;{"Glyphosate","Paraquat","Diquat"},'Chemical Applied - Input'!$P$2:$P$54,J1),
SUMIFS('Chemical Applied - Input'!$U$2:$U$54,'Chemical Applied - Input'!$I$2:$I$54,"="&amp;{"Glyphosate","Paraquat","Diquat"},'Chemical Applied - Input'!$P$2:$P$54,J1),
SUMIFS('Chemical Applied - Input'!$V$2:$V$54,'Chemical Applied - Input'!$M$2:$M$54,"="&amp;{"Glyphosate","Paraquat","Diquat"},'Chemical Applied - Input'!$P$2:$P$54,J1))</f>
        <v>0</v>
      </c>
      <c r="K19" cm="1">
        <f t="array" ref="K19">SUM(SUMIFS('Chemical Applied - Input'!$T$2:$T$54,'Chemical Applied - Input'!$E$2:$E$54,"="&amp;{"Glyphosate","Paraquat","Diquat"},'Chemical Applied - Input'!$P$2:$P$54,K1),
SUMIFS('Chemical Applied - Input'!$U$2:$U$54,'Chemical Applied - Input'!$I$2:$I$54,"="&amp;{"Glyphosate","Paraquat","Diquat"},'Chemical Applied - Input'!$P$2:$P$54,K1),
SUMIFS('Chemical Applied - Input'!$V$2:$V$54,'Chemical Applied - Input'!$M$2:$M$54,"="&amp;{"Glyphosate","Paraquat","Diquat"},'Chemical Applied - Input'!$P$2:$P$54,K1))</f>
        <v>0</v>
      </c>
      <c r="L19" cm="1">
        <f t="array" ref="L19">SUM(SUMIFS('Chemical Applied - Input'!$T$2:$T$54,'Chemical Applied - Input'!$E$2:$E$54,"="&amp;{"Glyphosate","Paraquat","Diquat"},'Chemical Applied - Input'!$P$2:$P$54,L1),
SUMIFS('Chemical Applied - Input'!$U$2:$U$54,'Chemical Applied - Input'!$I$2:$I$54,"="&amp;{"Glyphosate","Paraquat","Diquat"},'Chemical Applied - Input'!$P$2:$P$54,L1),
SUMIFS('Chemical Applied - Input'!$V$2:$V$54,'Chemical Applied - Input'!$M$2:$M$54,"="&amp;{"Glyphosate","Paraquat","Diquat"},'Chemical Applied - Input'!$P$2:$P$54,L1))</f>
        <v>0</v>
      </c>
      <c r="M19" cm="1">
        <f t="array" ref="M19">SUM(SUMIFS('Chemical Applied - Input'!$T$2:$T$54,'Chemical Applied - Input'!$E$2:$E$54,"="&amp;{"Glyphosate","Paraquat","Diquat"},'Chemical Applied - Input'!$P$2:$P$54,M1),
SUMIFS('Chemical Applied - Input'!$U$2:$U$54,'Chemical Applied - Input'!$I$2:$I$54,"="&amp;{"Glyphosate","Paraquat","Diquat"},'Chemical Applied - Input'!$P$2:$P$54,M1),
SUMIFS('Chemical Applied - Input'!$V$2:$V$54,'Chemical Applied - Input'!$M$2:$M$54,"="&amp;{"Glyphosate","Paraquat","Diquat"},'Chemical Applied - Input'!$P$2:$P$54,M1))</f>
        <v>0</v>
      </c>
    </row>
    <row r="20" spans="1:13" ht="60" x14ac:dyDescent="0.25">
      <c r="A20" t="s">
        <v>311</v>
      </c>
      <c r="B20" s="22" t="str">
        <f ca="1">IFERROR(OFFSET('Vegetation - Input'!$A$1,MATCH(B1,'Vegetation - Input'!$H$2:$H$4,0),0),"")</f>
        <v>Central West/Flinders</v>
      </c>
      <c r="C20" s="22" t="str">
        <f ca="1">IFERROR(OFFSET('Vegetation - Input'!$A$1,MATCH(C1,'Vegetation - Input'!$H$2:$H$4,0),0),"")</f>
        <v>Pastoral</v>
      </c>
      <c r="D20" s="22" t="str">
        <f ca="1">IFERROR(OFFSET('Vegetation - Input'!$A$1,MATCH(D1,'Vegetation - Input'!$H$2:$H$4,0),0),"")</f>
        <v>Mid-North/Flinders</v>
      </c>
      <c r="E20" s="22" t="str">
        <f ca="1">IFERROR(OFFSET('Vegetation - Input'!$A$1,MATCH(E1,'Vegetation - Input'!$H$2:$H$4,0),0),"")</f>
        <v/>
      </c>
      <c r="F20" s="22" t="str">
        <f ca="1">IFERROR(OFFSET('Vegetation - Input'!$A$1,MATCH(F1,'Vegetation - Input'!$H$2:$H$4,0),0),"")</f>
        <v/>
      </c>
      <c r="G20" s="22" t="str">
        <f ca="1">IFERROR(OFFSET('Vegetation - Input'!$A$1,MATCH(G1,'Vegetation - Input'!$H$2:$H$4,0),0),"")</f>
        <v/>
      </c>
      <c r="H20" s="22" t="str">
        <f ca="1">IFERROR(OFFSET('Vegetation - Input'!$A$1,MATCH(H1,'Vegetation - Input'!$H$2:$H$4,0),0),"")</f>
        <v/>
      </c>
      <c r="I20" s="22" t="str">
        <f ca="1">IFERROR(OFFSET('Vegetation - Input'!$A$1,MATCH(I1,'Vegetation - Input'!$H$2:$H$4,0),0),"")</f>
        <v/>
      </c>
      <c r="J20" s="22" t="str">
        <f ca="1">IFERROR(OFFSET('Vegetation - Input'!$A$1,MATCH(J1,'Vegetation - Input'!$H$2:$H$4,0),0),"")</f>
        <v/>
      </c>
      <c r="K20" s="22" t="str">
        <f ca="1">IFERROR(OFFSET('Vegetation - Input'!$A$1,MATCH(K1,'Vegetation - Input'!$H$2:$H$4,0),0),"")</f>
        <v/>
      </c>
      <c r="L20" s="22" t="str">
        <f ca="1">IFERROR(OFFSET('Vegetation - Input'!$A$1,MATCH(L1,'Vegetation - Input'!$H$2:$H$4,0),0),"")</f>
        <v/>
      </c>
      <c r="M20" s="22" t="str">
        <f ca="1">IFERROR(OFFSET('Vegetation - Input'!$A$1,MATCH(M1,'Vegetation - Input'!$H$2:$H$4,0),0),"")</f>
        <v/>
      </c>
    </row>
    <row r="21" spans="1:13" x14ac:dyDescent="0.25">
      <c r="A21" t="s">
        <v>312</v>
      </c>
      <c r="B21" t="str">
        <f ca="1">IFERROR(OFFSET('Vegetation - Input'!$B$1,MATCH(B1,'Vegetation - Input'!$H$2:$H$4,0),0),"")</f>
        <v>Pink Mallee</v>
      </c>
      <c r="C21" t="str">
        <f ca="1">IFERROR(OFFSET('Vegetation - Input'!$B$1,MATCH(C1,'Vegetation - Input'!$H$2:$H$4,0),0),"")</f>
        <v>Old man Saltbush</v>
      </c>
      <c r="D21" t="str">
        <f ca="1">IFERROR(OFFSET('Vegetation - Input'!$B$1,MATCH(D1,'Vegetation - Input'!$H$2:$H$4,0),0),"")</f>
        <v>Sugar Gum</v>
      </c>
      <c r="E21" t="str">
        <f ca="1">IFERROR(OFFSET('Vegetation - Input'!$B$1,MATCH(E1,'Vegetation - Input'!$H$2:$H$4,0),0),"")</f>
        <v/>
      </c>
      <c r="F21" t="str">
        <f ca="1">IFERROR(OFFSET('Vegetation - Input'!$B$1,MATCH(F1,'Vegetation - Input'!$H$2:$H$4,0),0),"")</f>
        <v/>
      </c>
      <c r="G21" t="str">
        <f ca="1">IFERROR(OFFSET('Vegetation - Input'!$B$1,MATCH(G1,'Vegetation - Input'!$H$2:$H$4,0),0),"")</f>
        <v/>
      </c>
      <c r="H21" t="str">
        <f ca="1">IFERROR(OFFSET('Vegetation - Input'!$B$1,MATCH(H1,'Vegetation - Input'!$H$2:$H$4,0),0),"")</f>
        <v/>
      </c>
      <c r="I21" t="str">
        <f ca="1">IFERROR(OFFSET('Vegetation - Input'!$B$1,MATCH(I1,'Vegetation - Input'!$H$2:$H$4,0),0),"")</f>
        <v/>
      </c>
      <c r="J21" t="str">
        <f ca="1">IFERROR(OFFSET('Vegetation - Input'!$B$1,MATCH(J1,'Vegetation - Input'!$H$2:$H$4,0),0),"")</f>
        <v/>
      </c>
      <c r="K21" t="str">
        <f ca="1">IFERROR(OFFSET('Vegetation - Input'!$B$1,MATCH(K1,'Vegetation - Input'!$H$2:$H$4,0),0),"")</f>
        <v/>
      </c>
      <c r="L21" t="str">
        <f ca="1">IFERROR(OFFSET('Vegetation - Input'!$B$1,MATCH(L1,'Vegetation - Input'!$H$2:$H$4,0),0),"")</f>
        <v/>
      </c>
      <c r="M21" t="str">
        <f ca="1">IFERROR(OFFSET('Vegetation - Input'!$B$1,MATCH(M1,'Vegetation - Input'!$H$2:$H$4,0),0),"")</f>
        <v/>
      </c>
    </row>
    <row r="22" spans="1:13" x14ac:dyDescent="0.25">
      <c r="A22" t="s">
        <v>313</v>
      </c>
      <c r="B22">
        <f ca="1">IFERROR(OFFSET('Vegetation - Input'!$D$1,MATCH(B1,'Vegetation - Input'!$H$2:$H$4,0),0),"")</f>
        <v>0</v>
      </c>
      <c r="C22">
        <f ca="1">IFERROR(OFFSET('Vegetation - Input'!$D$1,MATCH(C1,'Vegetation - Input'!$H$2:$H$4,0),0),"")</f>
        <v>0</v>
      </c>
      <c r="D22" t="str">
        <f ca="1">IFERROR(OFFSET('Vegetation - Input'!$D$1,MATCH(D1,'Vegetation - Input'!$H$2:$H$4,0),0),"")</f>
        <v>Coloured Sands</v>
      </c>
      <c r="E22" t="str">
        <f ca="1">IFERROR(OFFSET('Vegetation - Input'!$D$1,MATCH(E1,'Vegetation - Input'!$H$2:$H$4,0),0),"")</f>
        <v/>
      </c>
      <c r="F22" t="str">
        <f ca="1">IFERROR(OFFSET('Vegetation - Input'!$D$1,MATCH(F1,'Vegetation - Input'!$H$2:$H$4,0),0),"")</f>
        <v/>
      </c>
      <c r="G22" t="str">
        <f ca="1">IFERROR(OFFSET('Vegetation - Input'!$D$1,MATCH(G1,'Vegetation - Input'!$H$2:$H$4,0),0),"")</f>
        <v/>
      </c>
      <c r="H22" t="str">
        <f ca="1">IFERROR(OFFSET('Vegetation - Input'!$D$1,MATCH(H1,'Vegetation - Input'!$H$2:$H$4,0),0),"")</f>
        <v/>
      </c>
      <c r="I22" t="str">
        <f ca="1">IFERROR(OFFSET('Vegetation - Input'!$D$1,MATCH(I1,'Vegetation - Input'!$H$2:$H$4,0),0),"")</f>
        <v/>
      </c>
      <c r="J22" t="str">
        <f ca="1">IFERROR(OFFSET('Vegetation - Input'!$D$1,MATCH(J1,'Vegetation - Input'!$H$2:$H$4,0),0),"")</f>
        <v/>
      </c>
      <c r="K22" t="str">
        <f ca="1">IFERROR(OFFSET('Vegetation - Input'!$D$1,MATCH(K1,'Vegetation - Input'!$H$2:$H$4,0),0),"")</f>
        <v/>
      </c>
      <c r="L22" t="str">
        <f ca="1">IFERROR(OFFSET('Vegetation - Input'!$D$1,MATCH(L1,'Vegetation - Input'!$H$2:$H$4,0),0),"")</f>
        <v/>
      </c>
      <c r="M22" t="str">
        <f ca="1">IFERROR(OFFSET('Vegetation - Input'!$D$1,MATCH(M1,'Vegetation - Input'!$H$2:$H$4,0),0),"")</f>
        <v/>
      </c>
    </row>
    <row r="23" spans="1:13" x14ac:dyDescent="0.25">
      <c r="A23" t="s">
        <v>412</v>
      </c>
      <c r="B23">
        <f ca="1">IFERROR(OFFSET('Vegetation - Input'!$E$1,MATCH(B1,'Vegetation - Input'!$H$2:$H$4,0),0),"")</f>
        <v>30</v>
      </c>
      <c r="C23">
        <f ca="1">IFERROR(OFFSET('Vegetation - Input'!$E$1,MATCH(C1,'Vegetation - Input'!$H$2:$H$4,0),0),"")</f>
        <v>20</v>
      </c>
      <c r="D23">
        <f ca="1">IFERROR(OFFSET('Vegetation - Input'!$E$1,MATCH(D1,'Vegetation - Input'!$H$2:$H$4,0),0),"")</f>
        <v>30</v>
      </c>
      <c r="E23" t="str">
        <f ca="1">IFERROR(OFFSET('Vegetation - Input'!$E$1,MATCH(E1,'Vegetation - Input'!$H$2:$H$4,0),0),"")</f>
        <v/>
      </c>
      <c r="F23" t="str">
        <f ca="1">IFERROR(OFFSET('Vegetation - Input'!$E$1,MATCH(F1,'Vegetation - Input'!$H$2:$H$4,0),0),"")</f>
        <v/>
      </c>
      <c r="G23" t="str">
        <f ca="1">IFERROR(OFFSET('Vegetation - Input'!$E$1,MATCH(G1,'Vegetation - Input'!$H$2:$H$4,0),0),"")</f>
        <v/>
      </c>
      <c r="H23" t="str">
        <f ca="1">IFERROR(OFFSET('Vegetation - Input'!$E$1,MATCH(H1,'Vegetation - Input'!$H$2:$H$4,0),0),"")</f>
        <v/>
      </c>
      <c r="I23" t="str">
        <f ca="1">IFERROR(OFFSET('Vegetation - Input'!$E$1,MATCH(I1,'Vegetation - Input'!$H$2:$H$4,0),0),"")</f>
        <v/>
      </c>
      <c r="J23" t="str">
        <f ca="1">IFERROR(OFFSET('Vegetation - Input'!$E$1,MATCH(J1,'Vegetation - Input'!$H$2:$H$4,0),0),"")</f>
        <v/>
      </c>
      <c r="K23" t="str">
        <f ca="1">IFERROR(OFFSET('Vegetation - Input'!$E$1,MATCH(K1,'Vegetation - Input'!$H$2:$H$4,0),0),"")</f>
        <v/>
      </c>
      <c r="L23" t="str">
        <f ca="1">IFERROR(OFFSET('Vegetation - Input'!$E$1,MATCH(L1,'Vegetation - Input'!$H$2:$H$4,0),0),"")</f>
        <v/>
      </c>
      <c r="M23" t="str">
        <f ca="1">IFERROR(OFFSET('Vegetation - Input'!$E$1,MATCH(M1,'Vegetation - Input'!$H$2:$H$4,0),0),"")</f>
        <v/>
      </c>
    </row>
    <row r="24" spans="1:13" x14ac:dyDescent="0.25">
      <c r="A24" t="s">
        <v>413</v>
      </c>
      <c r="B24">
        <f ca="1">IFERROR(OFFSET('Vegetation - Input'!$G$1,MATCH(B1,'Vegetation - Input'!H2:H4,0),0),"")</f>
        <v>0</v>
      </c>
      <c r="C24" t="str">
        <f ca="1">IFERROR(OFFSET('Vegetation - Input'!$G$1,MATCH(C1,'Vegetation - Input'!I2:I4,0),0),"")</f>
        <v/>
      </c>
      <c r="D24" t="str">
        <f ca="1">IFERROR(OFFSET('Vegetation - Input'!$G$1,MATCH(D1,'Vegetation - Input'!J2:J4,0),0),"")</f>
        <v/>
      </c>
      <c r="E24" t="str">
        <f ca="1">IFERROR(OFFSET('Vegetation - Input'!$G$1,MATCH(E1,'Vegetation - Input'!K2:K4,0),0),"")</f>
        <v/>
      </c>
      <c r="F24" t="str">
        <f ca="1">IFERROR(OFFSET('Vegetation - Input'!$G$1,MATCH(F1,'Vegetation - Input'!L2:L4,0),0),"")</f>
        <v/>
      </c>
      <c r="G24" t="str">
        <f ca="1">IFERROR(OFFSET('Vegetation - Input'!$G$1,MATCH(G1,'Vegetation - Input'!M2:M4,0),0),"")</f>
        <v/>
      </c>
      <c r="H24" t="str">
        <f ca="1">IFERROR(OFFSET('Vegetation - Input'!$G$1,MATCH(H1,'Vegetation - Input'!N2:N4,0),0),"")</f>
        <v/>
      </c>
      <c r="I24" t="str">
        <f ca="1">IFERROR(OFFSET('Vegetation - Input'!$G$1,MATCH(I1,'Vegetation - Input'!O2:O4,0),0),"")</f>
        <v/>
      </c>
      <c r="J24" t="str">
        <f ca="1">IFERROR(OFFSET('Vegetation - Input'!$G$1,MATCH(J1,'Vegetation - Input'!P2:P4,0),0),"")</f>
        <v/>
      </c>
      <c r="K24" t="str">
        <f ca="1">IFERROR(OFFSET('Vegetation - Input'!$G$1,MATCH(K1,'Vegetation - Input'!Q2:Q4,0),0),"")</f>
        <v/>
      </c>
      <c r="L24" t="str">
        <f ca="1">IFERROR(OFFSET('Vegetation - Input'!$G$1,MATCH(L1,'Vegetation - Input'!R2:R4,0),0),"")</f>
        <v/>
      </c>
      <c r="M24" t="str">
        <f ca="1">IFERROR(OFFSET('Vegetation - Input'!$G$1,MATCH(M1,'Vegetation - Input'!S2:S4,0),0),"")</f>
        <v/>
      </c>
    </row>
    <row r="25" spans="1:13" x14ac:dyDescent="0.25">
      <c r="A25" t="s">
        <v>418</v>
      </c>
      <c r="B25" t="str">
        <f ca="1">IFERROR(OFFSET('Vegetation - Input'!$H$1,MATCH(B1,'Vegetation - Input'!$H$2:$H$4,0),0),"")</f>
        <v>Wheat</v>
      </c>
      <c r="C25" t="str">
        <f ca="1">IFERROR(OFFSET('Vegetation - Input'!$H$1,MATCH(C1,'Vegetation - Input'!$H$2:$H$4,0),0),"")</f>
        <v>Barley</v>
      </c>
      <c r="D25" t="str">
        <f ca="1">IFERROR(OFFSET('Vegetation - Input'!$H$1,MATCH(D1,'Vegetation - Input'!$H$2:$H$4,0),0),"")</f>
        <v>Canola</v>
      </c>
      <c r="E25" t="str">
        <f ca="1">IFERROR(OFFSET('Vegetation - Input'!$H$1,MATCH(E1,'Vegetation - Input'!$H$2:$H$4,0),0),"")</f>
        <v/>
      </c>
      <c r="F25" t="str">
        <f ca="1">IFERROR(OFFSET('Vegetation - Input'!$H$1,MATCH(F1,'Vegetation - Input'!$H$2:$H$4,0),0),"")</f>
        <v/>
      </c>
      <c r="G25" t="str">
        <f ca="1">IFERROR(OFFSET('Vegetation - Input'!$H$1,MATCH(G1,'Vegetation - Input'!$H$2:$H$4,0),0),"")</f>
        <v/>
      </c>
      <c r="H25" t="str">
        <f ca="1">IFERROR(OFFSET('Vegetation - Input'!$H$1,MATCH(H1,'Vegetation - Input'!$H$2:$H$4,0),0),"")</f>
        <v/>
      </c>
      <c r="I25" t="str">
        <f ca="1">IFERROR(OFFSET('Vegetation - Input'!$H$1,MATCH(I1,'Vegetation - Input'!$H$2:$H$4,0),0),"")</f>
        <v/>
      </c>
      <c r="J25" t="str">
        <f ca="1">IFERROR(OFFSET('Vegetation - Input'!$H$1,MATCH(J1,'Vegetation - Input'!$H$2:$H$4,0),0),"")</f>
        <v/>
      </c>
      <c r="K25" t="str">
        <f ca="1">IFERROR(OFFSET('Vegetation - Input'!$H$1,MATCH(K1,'Vegetation - Input'!$H$2:$H$4,0),0),"")</f>
        <v/>
      </c>
      <c r="L25" t="str">
        <f ca="1">IFERROR(OFFSET('Vegetation - Input'!$H$1,MATCH(L1,'Vegetation - Input'!$H$2:$H$4,0),0),"")</f>
        <v/>
      </c>
      <c r="M25" t="str">
        <f ca="1">IFERROR(OFFSET('Vegetation - Input'!$H$1,MATCH(M1,'Vegetation - Input'!$H$2:$H$4,0),0),"")</f>
        <v/>
      </c>
    </row>
  </sheetData>
  <dataValidations count="1">
    <dataValidation type="list" allowBlank="1" showInputMessage="1" showErrorMessage="1" sqref="T2" xr:uid="{11A62F08-B3CA-41DF-B7FB-01ADAF499C1C}">
      <formula1>"TW, GAFF"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C0C9-580D-4F48-829F-0D145272D6F6}">
  <dimension ref="A1:H66"/>
  <sheetViews>
    <sheetView topLeftCell="A13" workbookViewId="0">
      <selection activeCell="C28" sqref="C28"/>
    </sheetView>
  </sheetViews>
  <sheetFormatPr defaultRowHeight="15" x14ac:dyDescent="0.25"/>
  <cols>
    <col min="1" max="1" width="27.7109375" bestFit="1" customWidth="1"/>
    <col min="2" max="2" width="34.85546875" bestFit="1" customWidth="1"/>
    <col min="3" max="3" width="8.140625" bestFit="1" customWidth="1"/>
    <col min="4" max="4" width="10" bestFit="1" customWidth="1"/>
    <col min="5" max="5" width="8.140625" bestFit="1" customWidth="1"/>
    <col min="6" max="6" width="16.28515625" style="22" customWidth="1"/>
  </cols>
  <sheetData>
    <row r="1" spans="1:6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6" t="s">
        <v>2</v>
      </c>
    </row>
    <row r="2" spans="1:6" x14ac:dyDescent="0.25">
      <c r="A2" s="1" t="s">
        <v>6</v>
      </c>
      <c r="B2" s="2"/>
      <c r="C2" s="1"/>
      <c r="D2" s="1"/>
      <c r="E2" s="1"/>
      <c r="F2" s="17"/>
    </row>
    <row r="3" spans="1:6" x14ac:dyDescent="0.25">
      <c r="A3" s="2" t="s">
        <v>7</v>
      </c>
      <c r="B3" s="2" t="s">
        <v>8</v>
      </c>
      <c r="C3" s="9">
        <v>0</v>
      </c>
      <c r="D3" s="9">
        <v>2E-3</v>
      </c>
      <c r="E3" s="9">
        <v>0</v>
      </c>
      <c r="F3" s="17" t="s">
        <v>9</v>
      </c>
    </row>
    <row r="4" spans="1:6" x14ac:dyDescent="0.25">
      <c r="A4" s="2" t="s">
        <v>10</v>
      </c>
      <c r="B4" s="2"/>
      <c r="C4" s="9">
        <v>0</v>
      </c>
      <c r="D4" s="9">
        <v>2E-3</v>
      </c>
      <c r="E4" s="9">
        <v>0</v>
      </c>
      <c r="F4" s="17" t="s">
        <v>9</v>
      </c>
    </row>
    <row r="5" spans="1:6" x14ac:dyDescent="0.25">
      <c r="A5" s="1" t="s">
        <v>11</v>
      </c>
      <c r="B5" s="2"/>
      <c r="C5" s="9"/>
      <c r="D5" s="9"/>
      <c r="E5" s="9"/>
      <c r="F5" s="17"/>
    </row>
    <row r="6" spans="1:6" x14ac:dyDescent="0.25">
      <c r="A6" s="2" t="s">
        <v>12</v>
      </c>
      <c r="B6" s="2" t="s">
        <v>13</v>
      </c>
      <c r="C6" s="9">
        <v>0</v>
      </c>
      <c r="D6" s="9">
        <v>0</v>
      </c>
      <c r="E6" s="9">
        <v>0</v>
      </c>
      <c r="F6" s="17" t="s">
        <v>9</v>
      </c>
    </row>
    <row r="7" spans="1:6" x14ac:dyDescent="0.25">
      <c r="A7" s="1" t="s">
        <v>14</v>
      </c>
      <c r="B7" s="1"/>
      <c r="C7" s="10"/>
      <c r="D7" s="10"/>
      <c r="E7" s="10"/>
      <c r="F7" s="17"/>
    </row>
    <row r="8" spans="1:6" x14ac:dyDescent="0.25">
      <c r="A8" s="2" t="s">
        <v>15</v>
      </c>
      <c r="B8" s="2" t="s">
        <v>16</v>
      </c>
      <c r="C8" s="9">
        <v>0</v>
      </c>
      <c r="D8" s="9">
        <v>4.0000000000000001E-3</v>
      </c>
      <c r="E8" s="9">
        <v>0</v>
      </c>
      <c r="F8" s="17" t="s">
        <v>9</v>
      </c>
    </row>
    <row r="9" spans="1:6" x14ac:dyDescent="0.25">
      <c r="A9" s="2" t="s">
        <v>17</v>
      </c>
      <c r="B9" s="2" t="s">
        <v>18</v>
      </c>
      <c r="C9" s="9">
        <v>0</v>
      </c>
      <c r="D9" s="9">
        <v>4.0000000000000001E-3</v>
      </c>
      <c r="E9" s="9">
        <v>0</v>
      </c>
      <c r="F9" s="17" t="s">
        <v>9</v>
      </c>
    </row>
    <row r="10" spans="1:6" x14ac:dyDescent="0.25">
      <c r="A10" s="1" t="s">
        <v>19</v>
      </c>
      <c r="B10" s="2" t="s">
        <v>20</v>
      </c>
      <c r="C10" s="9">
        <v>0</v>
      </c>
      <c r="D10" s="9">
        <v>7.4999999999999997E-3</v>
      </c>
      <c r="E10" s="9">
        <v>0</v>
      </c>
      <c r="F10" s="17" t="s">
        <v>9</v>
      </c>
    </row>
    <row r="11" spans="1:6" x14ac:dyDescent="0.25">
      <c r="A11" s="1" t="s">
        <v>21</v>
      </c>
      <c r="B11" s="2"/>
      <c r="C11" s="9"/>
      <c r="D11" s="9"/>
      <c r="E11" s="9"/>
      <c r="F11" s="17"/>
    </row>
    <row r="12" spans="1:6" ht="39" x14ac:dyDescent="0.25">
      <c r="A12" s="2" t="s">
        <v>22</v>
      </c>
      <c r="B12" s="2" t="s">
        <v>23</v>
      </c>
      <c r="C12" s="9">
        <v>0</v>
      </c>
      <c r="D12" s="9">
        <v>2E-3</v>
      </c>
      <c r="E12" s="9">
        <v>0</v>
      </c>
      <c r="F12" s="17" t="s">
        <v>24</v>
      </c>
    </row>
    <row r="13" spans="1:6" ht="39" x14ac:dyDescent="0.25">
      <c r="A13" s="2" t="s">
        <v>25</v>
      </c>
      <c r="B13" s="2" t="s">
        <v>23</v>
      </c>
      <c r="C13" s="9">
        <v>0</v>
      </c>
      <c r="D13" s="9">
        <v>4.0000000000000001E-3</v>
      </c>
      <c r="E13" s="9">
        <v>0</v>
      </c>
      <c r="F13" s="17" t="s">
        <v>24</v>
      </c>
    </row>
    <row r="14" spans="1:6" x14ac:dyDescent="0.25">
      <c r="A14" s="1" t="s">
        <v>26</v>
      </c>
      <c r="B14" s="2" t="s">
        <v>27</v>
      </c>
      <c r="C14" s="9">
        <v>0</v>
      </c>
      <c r="D14" s="9">
        <v>1.2500000000000001E-2</v>
      </c>
      <c r="E14" s="9">
        <v>0</v>
      </c>
      <c r="F14" s="17" t="s">
        <v>9</v>
      </c>
    </row>
    <row r="15" spans="1:6" x14ac:dyDescent="0.25">
      <c r="A15" s="1" t="s">
        <v>28</v>
      </c>
      <c r="B15" s="2" t="s">
        <v>29</v>
      </c>
      <c r="C15" s="9">
        <v>0</v>
      </c>
      <c r="D15" s="9">
        <v>1.2500000000000001E-2</v>
      </c>
      <c r="E15" s="9">
        <v>0</v>
      </c>
      <c r="F15" s="17" t="s">
        <v>9</v>
      </c>
    </row>
    <row r="16" spans="1:6" x14ac:dyDescent="0.25">
      <c r="A16" s="1" t="s">
        <v>30</v>
      </c>
      <c r="B16" s="2" t="s">
        <v>31</v>
      </c>
      <c r="C16" s="9">
        <v>0.2</v>
      </c>
      <c r="D16" s="9">
        <v>0</v>
      </c>
      <c r="E16" s="9">
        <v>0</v>
      </c>
      <c r="F16" s="17" t="s">
        <v>32</v>
      </c>
    </row>
    <row r="17" spans="1:8" x14ac:dyDescent="0.25">
      <c r="A17" s="1" t="s">
        <v>33</v>
      </c>
      <c r="B17" s="2"/>
      <c r="C17" s="4"/>
      <c r="D17" s="4"/>
      <c r="E17" s="4"/>
      <c r="F17" s="17"/>
      <c r="G17" s="2"/>
      <c r="H17" s="2"/>
    </row>
    <row r="18" spans="1:8" x14ac:dyDescent="0.25">
      <c r="A18" s="9" t="s">
        <v>34</v>
      </c>
      <c r="B18" s="9" t="s">
        <v>35</v>
      </c>
      <c r="C18" s="9">
        <v>15.6</v>
      </c>
      <c r="D18" s="9">
        <v>8.6100000000000006E-5</v>
      </c>
      <c r="E18" s="9">
        <v>9.9600000000000001E-3</v>
      </c>
      <c r="F18" s="18" t="s">
        <v>36</v>
      </c>
      <c r="G18" s="9"/>
      <c r="H18" s="9"/>
    </row>
    <row r="19" spans="1:8" x14ac:dyDescent="0.25">
      <c r="A19" s="9" t="s">
        <v>37</v>
      </c>
      <c r="B19" s="9" t="s">
        <v>35</v>
      </c>
      <c r="C19" s="9">
        <v>9.18</v>
      </c>
      <c r="D19" s="9">
        <v>0</v>
      </c>
      <c r="E19" s="9">
        <v>0</v>
      </c>
      <c r="F19" s="18" t="s">
        <v>38</v>
      </c>
      <c r="G19" s="9"/>
      <c r="H19" s="9"/>
    </row>
    <row r="20" spans="1:8" x14ac:dyDescent="0.25">
      <c r="A20" s="9" t="s">
        <v>39</v>
      </c>
      <c r="B20" s="9" t="s">
        <v>35</v>
      </c>
      <c r="C20" s="9">
        <v>23.9</v>
      </c>
      <c r="D20" s="9">
        <v>0</v>
      </c>
      <c r="E20" s="9">
        <v>0</v>
      </c>
      <c r="F20" s="18" t="s">
        <v>38</v>
      </c>
      <c r="G20" s="9" t="s">
        <v>40</v>
      </c>
      <c r="H20" s="9"/>
    </row>
    <row r="21" spans="1:8" x14ac:dyDescent="0.25">
      <c r="A21" s="9" t="s">
        <v>41</v>
      </c>
      <c r="B21" s="9" t="s">
        <v>35</v>
      </c>
      <c r="C21" s="9">
        <v>23.9</v>
      </c>
      <c r="D21" s="9">
        <v>0</v>
      </c>
      <c r="E21" s="9">
        <v>0</v>
      </c>
      <c r="F21" s="18" t="s">
        <v>38</v>
      </c>
      <c r="G21" s="9" t="s">
        <v>40</v>
      </c>
      <c r="H21" s="9"/>
    </row>
    <row r="22" spans="1:8" x14ac:dyDescent="0.25">
      <c r="A22" s="9" t="s">
        <v>42</v>
      </c>
      <c r="B22" s="9" t="s">
        <v>43</v>
      </c>
      <c r="C22" s="9">
        <v>0.999</v>
      </c>
      <c r="D22" s="9">
        <v>0</v>
      </c>
      <c r="E22" s="9">
        <v>0</v>
      </c>
      <c r="F22" s="18" t="s">
        <v>38</v>
      </c>
      <c r="G22" s="9"/>
      <c r="H22" s="9"/>
    </row>
    <row r="23" spans="1:8" x14ac:dyDescent="0.25">
      <c r="A23" s="9" t="s">
        <v>44</v>
      </c>
      <c r="B23" s="9" t="s">
        <v>43</v>
      </c>
      <c r="C23" s="9">
        <v>0.66600000000000004</v>
      </c>
      <c r="D23" s="9">
        <v>0</v>
      </c>
      <c r="E23" s="9">
        <v>0</v>
      </c>
      <c r="F23" s="18" t="s">
        <v>38</v>
      </c>
      <c r="G23" s="9" t="s">
        <v>45</v>
      </c>
      <c r="H23" s="9"/>
    </row>
    <row r="24" spans="1:8" x14ac:dyDescent="0.25">
      <c r="A24" s="9"/>
      <c r="B24" s="9" t="s">
        <v>43</v>
      </c>
      <c r="C24" s="9">
        <v>1.3</v>
      </c>
      <c r="D24" s="9">
        <v>0</v>
      </c>
      <c r="E24" s="9">
        <v>0</v>
      </c>
      <c r="F24" s="18" t="s">
        <v>38</v>
      </c>
      <c r="G24" s="11" t="s">
        <v>46</v>
      </c>
      <c r="H24" s="9"/>
    </row>
    <row r="25" spans="1:8" x14ac:dyDescent="0.25">
      <c r="A25" s="9"/>
      <c r="B25" s="9" t="s">
        <v>43</v>
      </c>
      <c r="C25" s="9">
        <v>0.57799999999999996</v>
      </c>
      <c r="D25" s="9">
        <v>0</v>
      </c>
      <c r="E25" s="9">
        <v>0</v>
      </c>
      <c r="F25" s="18" t="s">
        <v>38</v>
      </c>
      <c r="G25" s="11" t="s">
        <v>47</v>
      </c>
      <c r="H25" s="9"/>
    </row>
    <row r="26" spans="1:8" x14ac:dyDescent="0.25">
      <c r="A26" s="9"/>
      <c r="B26" s="9" t="s">
        <v>43</v>
      </c>
      <c r="C26" s="9">
        <v>2.96E-3</v>
      </c>
      <c r="D26" s="9">
        <v>0</v>
      </c>
      <c r="E26" s="9">
        <v>0</v>
      </c>
      <c r="F26" s="18" t="s">
        <v>38</v>
      </c>
      <c r="G26" s="11" t="s">
        <v>48</v>
      </c>
      <c r="H26" s="9"/>
    </row>
    <row r="27" spans="1:8" x14ac:dyDescent="0.25">
      <c r="A27" s="9"/>
      <c r="B27" s="9" t="s">
        <v>43</v>
      </c>
      <c r="C27" s="9">
        <v>2.88</v>
      </c>
      <c r="D27" s="9">
        <v>0</v>
      </c>
      <c r="E27" s="9">
        <v>0</v>
      </c>
      <c r="F27" s="18" t="s">
        <v>38</v>
      </c>
      <c r="G27" s="11" t="s">
        <v>49</v>
      </c>
      <c r="H27" s="9"/>
    </row>
    <row r="28" spans="1:8" x14ac:dyDescent="0.25">
      <c r="A28" s="9"/>
      <c r="B28" s="9" t="s">
        <v>43</v>
      </c>
      <c r="C28" s="9">
        <v>2.4300000000000002</v>
      </c>
      <c r="D28" s="9">
        <v>0</v>
      </c>
      <c r="E28" s="9">
        <v>0</v>
      </c>
      <c r="F28" s="18" t="s">
        <v>38</v>
      </c>
      <c r="G28" s="11" t="s">
        <v>50</v>
      </c>
      <c r="H28" s="9"/>
    </row>
    <row r="29" spans="1:8" x14ac:dyDescent="0.25">
      <c r="A29" s="9"/>
      <c r="B29" s="9" t="s">
        <v>43</v>
      </c>
      <c r="C29" s="9">
        <v>0.30199999999999999</v>
      </c>
      <c r="D29" s="9">
        <v>0</v>
      </c>
      <c r="E29" s="9">
        <v>0</v>
      </c>
      <c r="F29" s="18" t="s">
        <v>38</v>
      </c>
      <c r="G29" s="11" t="s">
        <v>51</v>
      </c>
      <c r="H29" s="9"/>
    </row>
    <row r="30" spans="1:8" x14ac:dyDescent="0.25">
      <c r="A30" s="9" t="s">
        <v>52</v>
      </c>
      <c r="B30" s="9" t="s">
        <v>43</v>
      </c>
      <c r="C30" s="9">
        <v>1.42</v>
      </c>
      <c r="D30" s="9">
        <v>0</v>
      </c>
      <c r="E30" s="9">
        <v>0</v>
      </c>
      <c r="F30" s="18" t="s">
        <v>38</v>
      </c>
      <c r="G30" s="11" t="s">
        <v>52</v>
      </c>
      <c r="H30" s="9"/>
    </row>
    <row r="31" spans="1:8" x14ac:dyDescent="0.25">
      <c r="A31" s="9"/>
      <c r="B31" s="9" t="s">
        <v>43</v>
      </c>
      <c r="C31" s="9">
        <v>0.57799999999999996</v>
      </c>
      <c r="D31" s="9">
        <v>0</v>
      </c>
      <c r="E31" s="9">
        <v>0</v>
      </c>
      <c r="F31" s="18" t="s">
        <v>38</v>
      </c>
      <c r="G31" s="11" t="s">
        <v>47</v>
      </c>
      <c r="H31" s="9"/>
    </row>
    <row r="32" spans="1:8" x14ac:dyDescent="0.25">
      <c r="A32" s="9"/>
      <c r="B32" s="9" t="s">
        <v>43</v>
      </c>
      <c r="C32" s="9">
        <v>43.8</v>
      </c>
      <c r="D32" s="9">
        <v>0</v>
      </c>
      <c r="E32" s="9">
        <v>0</v>
      </c>
      <c r="F32" s="18" t="s">
        <v>38</v>
      </c>
      <c r="G32" s="11" t="s">
        <v>53</v>
      </c>
      <c r="H32" s="9"/>
    </row>
    <row r="33" spans="1:8" x14ac:dyDescent="0.25">
      <c r="A33" s="9" t="s">
        <v>54</v>
      </c>
      <c r="B33" s="9" t="s">
        <v>43</v>
      </c>
      <c r="C33" s="9">
        <v>3.13</v>
      </c>
      <c r="D33" s="9">
        <v>0</v>
      </c>
      <c r="E33" s="9">
        <v>0</v>
      </c>
      <c r="F33" s="18" t="s">
        <v>38</v>
      </c>
      <c r="G33" s="11" t="s">
        <v>55</v>
      </c>
      <c r="H33" s="9"/>
    </row>
    <row r="34" spans="1:8" x14ac:dyDescent="0.25">
      <c r="A34" s="9"/>
      <c r="B34" s="9" t="s">
        <v>43</v>
      </c>
      <c r="C34" s="9">
        <v>1.56</v>
      </c>
      <c r="D34" s="9">
        <v>0</v>
      </c>
      <c r="E34" s="9">
        <v>0</v>
      </c>
      <c r="F34" s="18" t="s">
        <v>38</v>
      </c>
      <c r="G34" s="11" t="s">
        <v>56</v>
      </c>
      <c r="H34" s="9"/>
    </row>
    <row r="35" spans="1:8" x14ac:dyDescent="0.25">
      <c r="A35" s="9" t="s">
        <v>57</v>
      </c>
      <c r="B35" s="9" t="s">
        <v>43</v>
      </c>
      <c r="C35" s="9">
        <v>4.41E-2</v>
      </c>
      <c r="D35" s="9">
        <v>0</v>
      </c>
      <c r="E35" s="9">
        <v>0</v>
      </c>
      <c r="F35" s="19" t="s">
        <v>38</v>
      </c>
      <c r="G35" s="9"/>
      <c r="H35" s="9"/>
    </row>
    <row r="36" spans="1:8" x14ac:dyDescent="0.25">
      <c r="A36" s="10" t="s">
        <v>58</v>
      </c>
      <c r="B36" s="9"/>
      <c r="C36" s="9"/>
      <c r="D36" s="9"/>
      <c r="E36" s="9"/>
      <c r="F36" s="18"/>
      <c r="G36" s="9"/>
      <c r="H36" s="9"/>
    </row>
    <row r="37" spans="1:8" x14ac:dyDescent="0.25">
      <c r="A37" s="9" t="s">
        <v>59</v>
      </c>
      <c r="B37" s="9" t="s">
        <v>43</v>
      </c>
      <c r="C37" s="9">
        <v>2.09</v>
      </c>
      <c r="D37" s="9">
        <v>0</v>
      </c>
      <c r="E37" s="9">
        <v>0</v>
      </c>
      <c r="F37" s="18" t="s">
        <v>38</v>
      </c>
      <c r="G37" s="9" t="s">
        <v>60</v>
      </c>
      <c r="H37" s="9"/>
    </row>
    <row r="38" spans="1:8" x14ac:dyDescent="0.25">
      <c r="A38" s="9" t="s">
        <v>61</v>
      </c>
      <c r="B38" s="9" t="s">
        <v>43</v>
      </c>
      <c r="C38" s="9">
        <v>2.09</v>
      </c>
      <c r="D38" s="9">
        <v>0</v>
      </c>
      <c r="E38" s="9">
        <v>0</v>
      </c>
      <c r="F38" s="18" t="s">
        <v>38</v>
      </c>
      <c r="G38" s="9" t="s">
        <v>60</v>
      </c>
      <c r="H38" s="9"/>
    </row>
    <row r="39" spans="1:8" x14ac:dyDescent="0.25">
      <c r="A39" s="9" t="s">
        <v>62</v>
      </c>
      <c r="B39" s="9" t="s">
        <v>35</v>
      </c>
      <c r="C39" s="9">
        <v>3.84</v>
      </c>
      <c r="D39" s="9">
        <v>0</v>
      </c>
      <c r="E39" s="9">
        <v>0</v>
      </c>
      <c r="F39" s="18" t="s">
        <v>38</v>
      </c>
      <c r="G39" s="9" t="s">
        <v>63</v>
      </c>
      <c r="H39" s="9"/>
    </row>
    <row r="40" spans="1:8" x14ac:dyDescent="0.25">
      <c r="A40" s="9"/>
      <c r="B40" s="9" t="s">
        <v>35</v>
      </c>
      <c r="C40" s="9">
        <v>2.09</v>
      </c>
      <c r="D40" s="9">
        <v>0</v>
      </c>
      <c r="E40" s="9">
        <v>0</v>
      </c>
      <c r="F40" s="18" t="s">
        <v>38</v>
      </c>
      <c r="G40" s="9" t="s">
        <v>64</v>
      </c>
      <c r="H40" s="9"/>
    </row>
    <row r="41" spans="1:8" x14ac:dyDescent="0.25">
      <c r="A41" s="9" t="s">
        <v>65</v>
      </c>
      <c r="B41" s="9" t="s">
        <v>35</v>
      </c>
      <c r="C41" s="9">
        <v>2.33</v>
      </c>
      <c r="D41" s="9">
        <v>0</v>
      </c>
      <c r="E41" s="9">
        <v>0</v>
      </c>
      <c r="F41" s="18" t="s">
        <v>38</v>
      </c>
      <c r="G41" s="9" t="s">
        <v>66</v>
      </c>
      <c r="H41" s="9"/>
    </row>
    <row r="42" spans="1:8" x14ac:dyDescent="0.25">
      <c r="A42" s="9"/>
      <c r="B42" s="9"/>
      <c r="C42" s="9"/>
      <c r="D42" s="9"/>
      <c r="E42" s="9"/>
      <c r="F42" s="18"/>
      <c r="G42" s="9"/>
      <c r="H42" s="9"/>
    </row>
    <row r="43" spans="1:8" x14ac:dyDescent="0.25">
      <c r="A43" s="9" t="s">
        <v>67</v>
      </c>
      <c r="B43" s="9" t="s">
        <v>43</v>
      </c>
      <c r="C43" s="9">
        <v>0.59</v>
      </c>
      <c r="D43" s="9">
        <v>0</v>
      </c>
      <c r="E43" s="9">
        <v>0</v>
      </c>
      <c r="F43" s="18" t="s">
        <v>38</v>
      </c>
      <c r="G43" s="9"/>
      <c r="H43" s="9"/>
    </row>
    <row r="44" spans="1:8" ht="26.25" x14ac:dyDescent="0.25">
      <c r="A44" s="10" t="s">
        <v>68</v>
      </c>
      <c r="B44" s="9" t="s">
        <v>69</v>
      </c>
      <c r="C44" s="9">
        <v>0.84699999999999998</v>
      </c>
      <c r="D44" s="9">
        <v>2.8900000000000001E-5</v>
      </c>
      <c r="E44" s="9">
        <v>2.7399999999999998E-3</v>
      </c>
      <c r="F44" s="18" t="s">
        <v>70</v>
      </c>
      <c r="G44" s="9"/>
      <c r="H44" s="9"/>
    </row>
    <row r="45" spans="1:8" x14ac:dyDescent="0.25">
      <c r="A45" s="10" t="s">
        <v>71</v>
      </c>
      <c r="B45" s="9" t="s">
        <v>72</v>
      </c>
      <c r="C45" s="9">
        <v>69</v>
      </c>
      <c r="D45" s="9">
        <v>0.2</v>
      </c>
      <c r="E45" s="9">
        <v>0.1</v>
      </c>
      <c r="F45" s="19" t="s">
        <v>73</v>
      </c>
      <c r="G45" s="9"/>
      <c r="H45" s="9"/>
    </row>
    <row r="46" spans="1:8" x14ac:dyDescent="0.25">
      <c r="A46" s="10" t="s">
        <v>74</v>
      </c>
      <c r="B46" s="9"/>
      <c r="C46" s="9"/>
      <c r="D46" s="9"/>
      <c r="E46" s="9"/>
      <c r="F46" s="18"/>
      <c r="G46" s="9"/>
      <c r="H46" s="9"/>
    </row>
    <row r="47" spans="1:8" x14ac:dyDescent="0.25">
      <c r="A47" s="9" t="s">
        <v>75</v>
      </c>
      <c r="B47" s="9" t="s">
        <v>43</v>
      </c>
      <c r="C47" s="9">
        <v>8.8700000000000001E-2</v>
      </c>
      <c r="D47" s="9">
        <v>0</v>
      </c>
      <c r="E47" s="9">
        <v>0</v>
      </c>
      <c r="F47" s="18" t="s">
        <v>38</v>
      </c>
      <c r="G47" s="9"/>
      <c r="H47" s="9"/>
    </row>
    <row r="48" spans="1:8" x14ac:dyDescent="0.25">
      <c r="A48" s="9" t="s">
        <v>76</v>
      </c>
      <c r="B48" s="9" t="s">
        <v>77</v>
      </c>
      <c r="C48" s="9">
        <v>0.29299999999999998</v>
      </c>
      <c r="D48" s="9">
        <v>0</v>
      </c>
      <c r="E48" s="9">
        <v>0</v>
      </c>
      <c r="F48" s="18" t="s">
        <v>38</v>
      </c>
      <c r="G48" s="9" t="s">
        <v>78</v>
      </c>
      <c r="H48" s="9"/>
    </row>
    <row r="49" spans="1:8" x14ac:dyDescent="0.25">
      <c r="A49" s="9" t="s">
        <v>79</v>
      </c>
      <c r="B49" s="9" t="s">
        <v>77</v>
      </c>
      <c r="C49" s="9">
        <v>0.16500000000000001</v>
      </c>
      <c r="D49" s="9">
        <v>0</v>
      </c>
      <c r="E49" s="9">
        <v>0</v>
      </c>
      <c r="F49" s="18" t="s">
        <v>38</v>
      </c>
      <c r="G49" s="9"/>
      <c r="H49" s="9"/>
    </row>
    <row r="50" spans="1:8" x14ac:dyDescent="0.25">
      <c r="A50" s="9" t="s">
        <v>80</v>
      </c>
      <c r="B50" s="9" t="s">
        <v>77</v>
      </c>
      <c r="C50" s="9">
        <v>6.06</v>
      </c>
      <c r="D50" s="9">
        <v>0</v>
      </c>
      <c r="E50" s="9">
        <v>0</v>
      </c>
      <c r="F50" s="18" t="s">
        <v>38</v>
      </c>
      <c r="G50" s="9" t="s">
        <v>81</v>
      </c>
      <c r="H50" s="9"/>
    </row>
    <row r="51" spans="1:8" x14ac:dyDescent="0.25">
      <c r="A51" s="9" t="s">
        <v>82</v>
      </c>
      <c r="B51" s="9" t="s">
        <v>77</v>
      </c>
      <c r="C51" s="9">
        <v>6.06</v>
      </c>
      <c r="D51" s="9">
        <v>0</v>
      </c>
      <c r="E51" s="9">
        <v>0</v>
      </c>
      <c r="F51" s="18" t="s">
        <v>38</v>
      </c>
      <c r="G51" s="9" t="s">
        <v>81</v>
      </c>
      <c r="H51" s="9"/>
    </row>
    <row r="52" spans="1:8" x14ac:dyDescent="0.25">
      <c r="A52" s="13" t="s">
        <v>83</v>
      </c>
      <c r="B52" s="9" t="s">
        <v>77</v>
      </c>
      <c r="C52" s="9">
        <v>1.56</v>
      </c>
      <c r="D52" s="9">
        <v>0</v>
      </c>
      <c r="E52" s="9">
        <v>0</v>
      </c>
      <c r="F52" s="18" t="s">
        <v>38</v>
      </c>
      <c r="G52" s="9"/>
      <c r="H52" s="9"/>
    </row>
    <row r="53" spans="1:8" x14ac:dyDescent="0.25">
      <c r="A53" s="13" t="s">
        <v>84</v>
      </c>
      <c r="B53" s="9" t="s">
        <v>77</v>
      </c>
      <c r="C53" s="9">
        <v>5.3600000000000002E-2</v>
      </c>
      <c r="D53" s="9">
        <v>0</v>
      </c>
      <c r="E53" s="9">
        <v>0</v>
      </c>
      <c r="F53" s="18" t="s">
        <v>38</v>
      </c>
      <c r="G53" s="9"/>
      <c r="H53" s="9"/>
    </row>
    <row r="54" spans="1:8" x14ac:dyDescent="0.25">
      <c r="A54" s="13" t="s">
        <v>85</v>
      </c>
      <c r="B54" s="9" t="s">
        <v>77</v>
      </c>
      <c r="C54" s="9">
        <v>0.28999999999999998</v>
      </c>
      <c r="D54" s="9">
        <v>0</v>
      </c>
      <c r="E54" s="9">
        <v>0</v>
      </c>
      <c r="F54" s="18" t="s">
        <v>38</v>
      </c>
      <c r="G54" s="9"/>
      <c r="H54" s="9"/>
    </row>
    <row r="55" spans="1:8" x14ac:dyDescent="0.25">
      <c r="A55" s="13" t="s">
        <v>86</v>
      </c>
      <c r="B55" s="9" t="s">
        <v>77</v>
      </c>
      <c r="C55" s="9">
        <v>4.41E-2</v>
      </c>
      <c r="D55" s="9">
        <v>0</v>
      </c>
      <c r="E55" s="9">
        <v>0</v>
      </c>
      <c r="F55" s="18" t="s">
        <v>38</v>
      </c>
      <c r="G55" s="9"/>
      <c r="H55" s="9"/>
    </row>
    <row r="56" spans="1:8" x14ac:dyDescent="0.25">
      <c r="A56" s="10" t="s">
        <v>87</v>
      </c>
      <c r="B56" s="9"/>
      <c r="C56" s="9"/>
      <c r="D56" s="9"/>
      <c r="E56" s="9"/>
      <c r="F56" s="20"/>
      <c r="G56" s="9"/>
      <c r="H56" s="9"/>
    </row>
    <row r="57" spans="1:8" x14ac:dyDescent="0.25">
      <c r="A57" s="9" t="s">
        <v>88</v>
      </c>
      <c r="B57" s="9" t="s">
        <v>77</v>
      </c>
      <c r="C57" s="9">
        <v>2.4900000000000002</v>
      </c>
      <c r="D57" s="9">
        <v>0</v>
      </c>
      <c r="E57" s="9">
        <v>0</v>
      </c>
      <c r="F57" s="18" t="s">
        <v>38</v>
      </c>
      <c r="G57" s="9" t="s">
        <v>89</v>
      </c>
      <c r="H57" s="9"/>
    </row>
    <row r="58" spans="1:8" x14ac:dyDescent="0.25">
      <c r="A58" s="9" t="s">
        <v>90</v>
      </c>
      <c r="B58" s="9" t="s">
        <v>77</v>
      </c>
      <c r="C58" s="9">
        <v>2.4900000000000002</v>
      </c>
      <c r="D58" s="9">
        <v>0</v>
      </c>
      <c r="E58" s="9">
        <v>0</v>
      </c>
      <c r="F58" s="18" t="s">
        <v>38</v>
      </c>
      <c r="G58" s="9" t="s">
        <v>91</v>
      </c>
      <c r="H58" s="9"/>
    </row>
    <row r="59" spans="1:8" x14ac:dyDescent="0.25">
      <c r="A59" s="9" t="s">
        <v>92</v>
      </c>
      <c r="B59" s="9" t="s">
        <v>77</v>
      </c>
      <c r="C59" s="9">
        <v>2.4900000000000002</v>
      </c>
      <c r="D59" s="9">
        <v>0</v>
      </c>
      <c r="E59" s="9">
        <v>0</v>
      </c>
      <c r="F59" s="18" t="s">
        <v>38</v>
      </c>
      <c r="G59" s="9" t="s">
        <v>89</v>
      </c>
      <c r="H59" s="9"/>
    </row>
    <row r="60" spans="1:8" x14ac:dyDescent="0.25">
      <c r="A60" s="9" t="s">
        <v>93</v>
      </c>
      <c r="B60" s="9" t="s">
        <v>77</v>
      </c>
      <c r="C60" s="9">
        <v>3.97</v>
      </c>
      <c r="D60" s="9">
        <v>0</v>
      </c>
      <c r="E60" s="9">
        <v>0</v>
      </c>
      <c r="F60" s="18" t="s">
        <v>38</v>
      </c>
      <c r="G60" s="9" t="s">
        <v>94</v>
      </c>
      <c r="H60" s="9"/>
    </row>
    <row r="61" spans="1:8" x14ac:dyDescent="0.25">
      <c r="A61" s="7" t="s">
        <v>95</v>
      </c>
      <c r="B61" s="7"/>
      <c r="C61" s="9"/>
      <c r="D61" s="9"/>
      <c r="E61" s="9"/>
      <c r="F61" s="20"/>
      <c r="G61" s="9"/>
      <c r="H61" s="9"/>
    </row>
    <row r="62" spans="1:8" x14ac:dyDescent="0.25">
      <c r="A62" s="14" t="s">
        <v>96</v>
      </c>
      <c r="B62" s="12" t="s">
        <v>97</v>
      </c>
      <c r="C62" s="9">
        <v>1.23E-2</v>
      </c>
      <c r="D62" s="9">
        <v>0</v>
      </c>
      <c r="E62" s="9">
        <v>0</v>
      </c>
      <c r="F62" s="18" t="s">
        <v>38</v>
      </c>
      <c r="G62" s="10"/>
      <c r="H62" s="10"/>
    </row>
    <row r="63" spans="1:8" x14ac:dyDescent="0.25">
      <c r="A63" s="14" t="s">
        <v>98</v>
      </c>
      <c r="B63" s="12" t="s">
        <v>97</v>
      </c>
      <c r="C63" s="9">
        <v>0.107</v>
      </c>
      <c r="D63" s="9">
        <v>0</v>
      </c>
      <c r="E63" s="9">
        <v>0</v>
      </c>
      <c r="F63" s="18" t="s">
        <v>38</v>
      </c>
      <c r="G63" s="9"/>
      <c r="H63" s="9" t="s">
        <v>99</v>
      </c>
    </row>
    <row r="64" spans="1:8" x14ac:dyDescent="0.25">
      <c r="A64" s="15" t="s">
        <v>100</v>
      </c>
      <c r="B64" s="12" t="s">
        <v>97</v>
      </c>
      <c r="C64" s="9">
        <v>0.183</v>
      </c>
      <c r="D64" s="9">
        <v>0</v>
      </c>
      <c r="E64" s="9">
        <v>0</v>
      </c>
      <c r="F64" s="18" t="s">
        <v>38</v>
      </c>
      <c r="G64" s="9"/>
      <c r="H64" s="9" t="s">
        <v>101</v>
      </c>
    </row>
    <row r="65" spans="1:8" x14ac:dyDescent="0.25">
      <c r="A65" s="15" t="s">
        <v>102</v>
      </c>
      <c r="B65" s="12" t="s">
        <v>97</v>
      </c>
      <c r="C65" s="9">
        <v>2.44</v>
      </c>
      <c r="D65" s="9">
        <v>0</v>
      </c>
      <c r="E65" s="9">
        <v>0</v>
      </c>
      <c r="F65" s="18" t="s">
        <v>38</v>
      </c>
      <c r="G65" s="9"/>
      <c r="H65" s="9"/>
    </row>
    <row r="66" spans="1:8" x14ac:dyDescent="0.25">
      <c r="A66" s="8"/>
      <c r="B66" s="6"/>
      <c r="C66" s="3"/>
      <c r="D66" s="3"/>
      <c r="E66" s="3"/>
      <c r="F66" s="21"/>
      <c r="G66" s="5"/>
      <c r="H6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EC77-B402-48B7-8DD7-F4CAD2D0731E}">
  <dimension ref="A1:N319"/>
  <sheetViews>
    <sheetView showZeros="0" topLeftCell="A97" workbookViewId="0">
      <selection activeCell="A201" sqref="A201:F201"/>
    </sheetView>
  </sheetViews>
  <sheetFormatPr defaultRowHeight="15" x14ac:dyDescent="0.25"/>
  <cols>
    <col min="1" max="1" width="25.7109375" bestFit="1" customWidth="1"/>
    <col min="2" max="2" width="9.5703125" bestFit="1" customWidth="1"/>
    <col min="3" max="3" width="9.42578125" bestFit="1" customWidth="1"/>
    <col min="4" max="4" width="5.5703125" customWidth="1"/>
    <col min="5" max="5" width="9.140625" style="25"/>
  </cols>
  <sheetData>
    <row r="1" spans="1:6" x14ac:dyDescent="0.25">
      <c r="A1" s="33" t="s">
        <v>104</v>
      </c>
      <c r="B1" s="34" t="s">
        <v>105</v>
      </c>
      <c r="C1" s="34" t="s">
        <v>106</v>
      </c>
      <c r="D1" s="34" t="s">
        <v>107</v>
      </c>
      <c r="E1" s="35" t="s">
        <v>137</v>
      </c>
      <c r="F1" s="24" t="s">
        <v>2</v>
      </c>
    </row>
    <row r="2" spans="1:6" x14ac:dyDescent="0.25">
      <c r="A2" s="36" t="s">
        <v>757</v>
      </c>
      <c r="B2" s="37">
        <v>11.6</v>
      </c>
      <c r="C2" s="37">
        <v>21.9</v>
      </c>
      <c r="D2" s="37"/>
      <c r="E2" s="38">
        <v>2</v>
      </c>
      <c r="F2" s="39" t="s">
        <v>139</v>
      </c>
    </row>
    <row r="3" spans="1:6" x14ac:dyDescent="0.25">
      <c r="A3" s="40" t="s">
        <v>498</v>
      </c>
      <c r="B3" s="41">
        <v>12.9</v>
      </c>
      <c r="C3" s="41">
        <v>17.7</v>
      </c>
      <c r="D3" s="41"/>
      <c r="E3" s="42">
        <v>6</v>
      </c>
      <c r="F3" s="25" t="s">
        <v>140</v>
      </c>
    </row>
    <row r="4" spans="1:6" x14ac:dyDescent="0.25">
      <c r="A4" s="40" t="s">
        <v>499</v>
      </c>
      <c r="B4" s="41">
        <v>12.1</v>
      </c>
      <c r="C4" s="41">
        <v>19.8</v>
      </c>
      <c r="D4" s="41"/>
      <c r="E4" s="42">
        <v>4.0999999999999996</v>
      </c>
      <c r="F4" s="25" t="s">
        <v>140</v>
      </c>
    </row>
    <row r="5" spans="1:6" x14ac:dyDescent="0.25">
      <c r="A5" s="36" t="s">
        <v>758</v>
      </c>
      <c r="B5" s="37">
        <v>12</v>
      </c>
      <c r="C5" s="37">
        <v>19.7</v>
      </c>
      <c r="D5" s="37"/>
      <c r="E5" s="38">
        <v>4</v>
      </c>
      <c r="F5" s="39" t="s">
        <v>140</v>
      </c>
    </row>
    <row r="6" spans="1:6" x14ac:dyDescent="0.25">
      <c r="A6" s="40" t="s">
        <v>500</v>
      </c>
      <c r="B6" s="41">
        <v>12.6</v>
      </c>
      <c r="C6" s="41">
        <v>18</v>
      </c>
      <c r="D6" s="41"/>
      <c r="E6" s="42">
        <v>5.6</v>
      </c>
      <c r="F6" s="25" t="s">
        <v>140</v>
      </c>
    </row>
    <row r="7" spans="1:6" x14ac:dyDescent="0.25">
      <c r="A7" s="40" t="s">
        <v>501</v>
      </c>
      <c r="B7" s="41">
        <v>12.6</v>
      </c>
      <c r="C7" s="41">
        <v>18</v>
      </c>
      <c r="D7" s="41"/>
      <c r="E7" s="42">
        <v>5.6</v>
      </c>
      <c r="F7" s="25" t="s">
        <v>140</v>
      </c>
    </row>
    <row r="8" spans="1:6" x14ac:dyDescent="0.25">
      <c r="A8" s="40" t="s">
        <v>502</v>
      </c>
      <c r="B8" s="41">
        <v>12.6</v>
      </c>
      <c r="C8" s="41">
        <v>18</v>
      </c>
      <c r="D8" s="41"/>
      <c r="E8" s="42">
        <v>5.6</v>
      </c>
      <c r="F8" s="25" t="s">
        <v>140</v>
      </c>
    </row>
    <row r="9" spans="1:6" x14ac:dyDescent="0.25">
      <c r="A9" s="40" t="s">
        <v>503</v>
      </c>
      <c r="B9" s="41">
        <v>12.7</v>
      </c>
      <c r="C9" s="41">
        <v>18</v>
      </c>
      <c r="D9" s="41"/>
      <c r="E9" s="42">
        <v>5.7</v>
      </c>
      <c r="F9" s="25" t="s">
        <v>140</v>
      </c>
    </row>
    <row r="10" spans="1:6" x14ac:dyDescent="0.25">
      <c r="A10" s="40" t="s">
        <v>504</v>
      </c>
      <c r="B10" s="41">
        <v>9</v>
      </c>
      <c r="C10" s="41">
        <v>18.3</v>
      </c>
      <c r="D10" s="41"/>
      <c r="E10" s="42">
        <v>4.3</v>
      </c>
      <c r="F10" s="25" t="s">
        <v>140</v>
      </c>
    </row>
    <row r="11" spans="1:6" x14ac:dyDescent="0.25">
      <c r="A11" s="40" t="s">
        <v>505</v>
      </c>
      <c r="B11" s="41">
        <v>12.7</v>
      </c>
      <c r="C11" s="41">
        <v>18.100000000000001</v>
      </c>
      <c r="D11" s="41"/>
      <c r="E11" s="42">
        <v>5.6</v>
      </c>
      <c r="F11" s="25" t="s">
        <v>140</v>
      </c>
    </row>
    <row r="12" spans="1:6" x14ac:dyDescent="0.25">
      <c r="A12" s="40" t="s">
        <v>506</v>
      </c>
      <c r="B12" s="41">
        <v>12.6</v>
      </c>
      <c r="C12" s="41">
        <v>18</v>
      </c>
      <c r="D12" s="41"/>
      <c r="E12" s="42">
        <v>5.6</v>
      </c>
      <c r="F12" s="25" t="s">
        <v>140</v>
      </c>
    </row>
    <row r="13" spans="1:6" x14ac:dyDescent="0.25">
      <c r="A13" s="40" t="s">
        <v>507</v>
      </c>
      <c r="B13" s="41">
        <v>10.9</v>
      </c>
      <c r="C13" s="41">
        <v>22.7</v>
      </c>
      <c r="D13" s="41"/>
      <c r="E13" s="42">
        <v>1.2</v>
      </c>
      <c r="F13" s="25" t="s">
        <v>140</v>
      </c>
    </row>
    <row r="14" spans="1:6" x14ac:dyDescent="0.25">
      <c r="A14" s="40" t="s">
        <v>508</v>
      </c>
      <c r="B14" s="41">
        <v>16.100000000000001</v>
      </c>
      <c r="C14" s="41">
        <v>9.1</v>
      </c>
      <c r="D14" s="41"/>
      <c r="E14" s="42">
        <v>14.3</v>
      </c>
      <c r="F14" s="25" t="s">
        <v>140</v>
      </c>
    </row>
    <row r="15" spans="1:6" x14ac:dyDescent="0.25">
      <c r="A15" s="40" t="s">
        <v>509</v>
      </c>
      <c r="B15" s="41">
        <v>15.7</v>
      </c>
      <c r="C15" s="41">
        <v>9.1</v>
      </c>
      <c r="D15" s="41"/>
      <c r="E15" s="42">
        <v>13.9</v>
      </c>
      <c r="F15" s="25" t="s">
        <v>140</v>
      </c>
    </row>
    <row r="16" spans="1:6" x14ac:dyDescent="0.25">
      <c r="A16" s="40" t="s">
        <v>510</v>
      </c>
      <c r="B16" s="41">
        <v>15.7</v>
      </c>
      <c r="C16" s="41">
        <v>9.1</v>
      </c>
      <c r="D16" s="41"/>
      <c r="E16" s="42">
        <v>13.9</v>
      </c>
      <c r="F16" s="25" t="s">
        <v>140</v>
      </c>
    </row>
    <row r="17" spans="1:6" x14ac:dyDescent="0.25">
      <c r="A17" s="40" t="s">
        <v>511</v>
      </c>
      <c r="B17" s="41">
        <v>15.7</v>
      </c>
      <c r="C17" s="41">
        <v>9.1</v>
      </c>
      <c r="D17" s="41"/>
      <c r="E17" s="42">
        <v>13.8</v>
      </c>
      <c r="F17" s="25" t="s">
        <v>140</v>
      </c>
    </row>
    <row r="18" spans="1:6" x14ac:dyDescent="0.25">
      <c r="A18" s="40" t="s">
        <v>512</v>
      </c>
      <c r="B18" s="41">
        <v>16</v>
      </c>
      <c r="C18" s="41">
        <v>9.1</v>
      </c>
      <c r="D18" s="41"/>
      <c r="E18" s="42">
        <v>14.1</v>
      </c>
      <c r="F18" s="25" t="s">
        <v>140</v>
      </c>
    </row>
    <row r="19" spans="1:6" x14ac:dyDescent="0.25">
      <c r="A19" s="40" t="s">
        <v>513</v>
      </c>
      <c r="B19" s="41">
        <v>15.7</v>
      </c>
      <c r="C19" s="41">
        <v>9.1</v>
      </c>
      <c r="D19" s="41"/>
      <c r="E19" s="42">
        <v>13.8</v>
      </c>
      <c r="F19" s="25" t="s">
        <v>140</v>
      </c>
    </row>
    <row r="20" spans="1:6" x14ac:dyDescent="0.25">
      <c r="A20" s="40" t="s">
        <v>514</v>
      </c>
      <c r="B20" s="41">
        <v>14.3</v>
      </c>
      <c r="C20" s="41">
        <v>14</v>
      </c>
      <c r="D20" s="41"/>
      <c r="E20" s="42">
        <v>9.6</v>
      </c>
      <c r="F20" s="25" t="s">
        <v>140</v>
      </c>
    </row>
    <row r="21" spans="1:6" x14ac:dyDescent="0.25">
      <c r="A21" s="40" t="s">
        <v>515</v>
      </c>
      <c r="B21" s="41">
        <v>13.4</v>
      </c>
      <c r="C21" s="41">
        <v>16.2</v>
      </c>
      <c r="D21" s="41"/>
      <c r="E21" s="42">
        <v>7.5</v>
      </c>
      <c r="F21" s="25" t="s">
        <v>140</v>
      </c>
    </row>
    <row r="22" spans="1:6" x14ac:dyDescent="0.25">
      <c r="A22" s="40" t="s">
        <v>516</v>
      </c>
      <c r="B22" s="41">
        <v>13.9</v>
      </c>
      <c r="C22" s="41">
        <v>14.2</v>
      </c>
      <c r="D22" s="41"/>
      <c r="E22" s="42">
        <v>9.1</v>
      </c>
      <c r="F22" s="25" t="s">
        <v>140</v>
      </c>
    </row>
    <row r="23" spans="1:6" x14ac:dyDescent="0.25">
      <c r="A23" s="40" t="s">
        <v>517</v>
      </c>
      <c r="B23" s="41">
        <v>13.9</v>
      </c>
      <c r="C23" s="41">
        <v>14.2</v>
      </c>
      <c r="D23" s="41"/>
      <c r="E23" s="42">
        <v>9</v>
      </c>
      <c r="F23" s="25" t="s">
        <v>140</v>
      </c>
    </row>
    <row r="24" spans="1:6" x14ac:dyDescent="0.25">
      <c r="A24" s="40" t="s">
        <v>518</v>
      </c>
      <c r="B24" s="41">
        <v>13.9</v>
      </c>
      <c r="C24" s="41">
        <v>14.2</v>
      </c>
      <c r="D24" s="41"/>
      <c r="E24" s="42">
        <v>9</v>
      </c>
      <c r="F24" s="25" t="s">
        <v>140</v>
      </c>
    </row>
    <row r="25" spans="1:6" x14ac:dyDescent="0.25">
      <c r="A25" s="40" t="s">
        <v>519</v>
      </c>
      <c r="B25" s="41">
        <v>14.1</v>
      </c>
      <c r="C25" s="41">
        <v>14.2</v>
      </c>
      <c r="D25" s="41"/>
      <c r="E25" s="42">
        <v>9.1999999999999993</v>
      </c>
      <c r="F25" s="25" t="s">
        <v>140</v>
      </c>
    </row>
    <row r="26" spans="1:6" x14ac:dyDescent="0.25">
      <c r="A26" s="40" t="s">
        <v>520</v>
      </c>
      <c r="B26" s="41">
        <v>10.5</v>
      </c>
      <c r="C26" s="41">
        <v>14.3</v>
      </c>
      <c r="D26" s="41"/>
      <c r="E26" s="42">
        <v>8.1999999999999993</v>
      </c>
      <c r="F26" s="25" t="s">
        <v>140</v>
      </c>
    </row>
    <row r="27" spans="1:6" x14ac:dyDescent="0.25">
      <c r="A27" s="40" t="s">
        <v>521</v>
      </c>
      <c r="B27" s="41">
        <v>14.2</v>
      </c>
      <c r="C27" s="41">
        <v>14</v>
      </c>
      <c r="D27" s="41"/>
      <c r="E27" s="42">
        <v>9.5</v>
      </c>
      <c r="F27" s="25" t="s">
        <v>140</v>
      </c>
    </row>
    <row r="28" spans="1:6" x14ac:dyDescent="0.25">
      <c r="A28" s="40" t="s">
        <v>522</v>
      </c>
      <c r="B28" s="41">
        <v>13.9</v>
      </c>
      <c r="C28" s="41">
        <v>14.2</v>
      </c>
      <c r="D28" s="41"/>
      <c r="E28" s="42">
        <v>9</v>
      </c>
      <c r="F28" s="25" t="s">
        <v>140</v>
      </c>
    </row>
    <row r="29" spans="1:6" x14ac:dyDescent="0.25">
      <c r="A29" s="40" t="s">
        <v>523</v>
      </c>
      <c r="B29" s="41">
        <v>14.1</v>
      </c>
      <c r="C29" s="41">
        <v>14.2</v>
      </c>
      <c r="D29" s="41"/>
      <c r="E29" s="42">
        <v>8.4</v>
      </c>
      <c r="F29" s="25" t="s">
        <v>140</v>
      </c>
    </row>
    <row r="30" spans="1:6" x14ac:dyDescent="0.25">
      <c r="A30" s="40" t="s">
        <v>524</v>
      </c>
      <c r="B30" s="41">
        <v>14.1</v>
      </c>
      <c r="C30" s="41">
        <v>14.1</v>
      </c>
      <c r="D30" s="41"/>
      <c r="E30" s="42">
        <v>8.3000000000000007</v>
      </c>
      <c r="F30" s="25" t="s">
        <v>139</v>
      </c>
    </row>
    <row r="31" spans="1:6" x14ac:dyDescent="0.25">
      <c r="A31" s="40" t="s">
        <v>525</v>
      </c>
      <c r="B31" s="41">
        <v>16</v>
      </c>
      <c r="C31" s="41">
        <v>8.6999999999999993</v>
      </c>
      <c r="D31" s="41"/>
      <c r="E31" s="42">
        <v>12.5</v>
      </c>
      <c r="F31" s="25" t="s">
        <v>139</v>
      </c>
    </row>
    <row r="32" spans="1:6" x14ac:dyDescent="0.25">
      <c r="A32" s="40" t="s">
        <v>526</v>
      </c>
      <c r="B32" s="41">
        <v>15.9</v>
      </c>
      <c r="C32" s="41">
        <v>8.6</v>
      </c>
      <c r="D32" s="41"/>
      <c r="E32" s="42">
        <v>12.4</v>
      </c>
      <c r="F32" s="25" t="s">
        <v>139</v>
      </c>
    </row>
    <row r="33" spans="1:6" x14ac:dyDescent="0.25">
      <c r="A33" s="40" t="s">
        <v>527</v>
      </c>
      <c r="B33" s="41">
        <v>14.2</v>
      </c>
      <c r="C33" s="41">
        <v>14.1</v>
      </c>
      <c r="D33" s="41"/>
      <c r="E33" s="42">
        <v>8.8000000000000007</v>
      </c>
      <c r="F33" s="25" t="s">
        <v>139</v>
      </c>
    </row>
    <row r="34" spans="1:6" x14ac:dyDescent="0.25">
      <c r="A34" s="40" t="s">
        <v>528</v>
      </c>
      <c r="B34" s="41">
        <v>24</v>
      </c>
      <c r="C34" s="41"/>
      <c r="D34" s="41"/>
      <c r="E34" s="42">
        <v>21</v>
      </c>
      <c r="F34" s="25" t="s">
        <v>139</v>
      </c>
    </row>
    <row r="35" spans="1:6" x14ac:dyDescent="0.25">
      <c r="A35" s="40" t="s">
        <v>529</v>
      </c>
      <c r="B35" s="41">
        <v>9</v>
      </c>
      <c r="C35" s="41">
        <v>7</v>
      </c>
      <c r="D35" s="41">
        <v>12</v>
      </c>
      <c r="E35" s="42">
        <v>9.6</v>
      </c>
      <c r="F35" s="25" t="s">
        <v>141</v>
      </c>
    </row>
    <row r="36" spans="1:6" x14ac:dyDescent="0.25">
      <c r="A36" s="40" t="s">
        <v>530</v>
      </c>
      <c r="B36" s="41">
        <v>9.1999999999999993</v>
      </c>
      <c r="C36" s="41">
        <v>7</v>
      </c>
      <c r="D36" s="41">
        <v>12.5</v>
      </c>
      <c r="E36" s="42">
        <v>5.6</v>
      </c>
      <c r="F36" s="25" t="s">
        <v>141</v>
      </c>
    </row>
    <row r="37" spans="1:6" x14ac:dyDescent="0.25">
      <c r="A37" s="40" t="s">
        <v>531</v>
      </c>
      <c r="B37" s="41">
        <v>12.1</v>
      </c>
      <c r="C37" s="41">
        <v>6.8</v>
      </c>
      <c r="D37" s="41">
        <v>12.4</v>
      </c>
      <c r="E37" s="42">
        <v>10.7</v>
      </c>
      <c r="F37" s="25" t="s">
        <v>140</v>
      </c>
    </row>
    <row r="38" spans="1:6" x14ac:dyDescent="0.25">
      <c r="A38" s="40" t="s">
        <v>532</v>
      </c>
      <c r="B38" s="41">
        <v>13.7</v>
      </c>
      <c r="C38" s="41">
        <v>7.7</v>
      </c>
      <c r="D38" s="41">
        <v>7.4</v>
      </c>
      <c r="E38" s="42">
        <v>12.2</v>
      </c>
      <c r="F38" s="25" t="s">
        <v>140</v>
      </c>
    </row>
    <row r="39" spans="1:6" x14ac:dyDescent="0.25">
      <c r="A39" s="40" t="s">
        <v>533</v>
      </c>
      <c r="B39" s="41">
        <v>3.5</v>
      </c>
      <c r="C39" s="41">
        <v>13.5</v>
      </c>
      <c r="D39" s="41"/>
      <c r="E39" s="42">
        <v>7.5</v>
      </c>
      <c r="F39" s="25" t="s">
        <v>140</v>
      </c>
    </row>
    <row r="40" spans="1:6" x14ac:dyDescent="0.25">
      <c r="A40" s="40" t="s">
        <v>44</v>
      </c>
      <c r="B40" s="41">
        <v>5.7</v>
      </c>
      <c r="C40" s="41">
        <v>13.8</v>
      </c>
      <c r="D40" s="41"/>
      <c r="E40" s="42">
        <v>7.5</v>
      </c>
      <c r="F40" s="25" t="s">
        <v>140</v>
      </c>
    </row>
    <row r="41" spans="1:6" x14ac:dyDescent="0.25">
      <c r="A41" s="40" t="s">
        <v>534</v>
      </c>
      <c r="B41" s="41">
        <v>32</v>
      </c>
      <c r="C41" s="41"/>
      <c r="D41" s="41"/>
      <c r="E41" s="42"/>
      <c r="F41" s="25" t="s">
        <v>139</v>
      </c>
    </row>
    <row r="42" spans="1:6" x14ac:dyDescent="0.25">
      <c r="A42" s="40" t="s">
        <v>535</v>
      </c>
      <c r="B42" s="41">
        <v>14</v>
      </c>
      <c r="C42" s="41">
        <v>14.3</v>
      </c>
      <c r="D42" s="41"/>
      <c r="E42" s="42">
        <v>8.1999999999999993</v>
      </c>
      <c r="F42" s="25" t="s">
        <v>759</v>
      </c>
    </row>
    <row r="43" spans="1:6" x14ac:dyDescent="0.25">
      <c r="A43" s="40" t="s">
        <v>536</v>
      </c>
      <c r="B43" s="41">
        <v>13.9</v>
      </c>
      <c r="C43" s="41">
        <v>14.3</v>
      </c>
      <c r="D43" s="41"/>
      <c r="E43" s="42">
        <v>8.1999999999999993</v>
      </c>
      <c r="F43" s="25" t="s">
        <v>759</v>
      </c>
    </row>
    <row r="44" spans="1:6" x14ac:dyDescent="0.25">
      <c r="A44" s="40" t="s">
        <v>537</v>
      </c>
      <c r="B44" s="41">
        <v>13.9</v>
      </c>
      <c r="C44" s="41">
        <v>14.2</v>
      </c>
      <c r="D44" s="41"/>
      <c r="E44" s="42">
        <v>8.1</v>
      </c>
      <c r="F44" s="25" t="s">
        <v>759</v>
      </c>
    </row>
    <row r="45" spans="1:6" x14ac:dyDescent="0.25">
      <c r="A45" s="40" t="s">
        <v>760</v>
      </c>
      <c r="B45" s="41">
        <v>11.3</v>
      </c>
      <c r="C45" s="41">
        <v>11.2</v>
      </c>
      <c r="D45" s="41">
        <v>10.199999999999999</v>
      </c>
      <c r="E45" s="42">
        <v>6.8</v>
      </c>
      <c r="F45" s="25" t="s">
        <v>759</v>
      </c>
    </row>
    <row r="46" spans="1:6" x14ac:dyDescent="0.25">
      <c r="A46" s="40" t="s">
        <v>761</v>
      </c>
      <c r="B46" s="41">
        <v>11.2</v>
      </c>
      <c r="C46" s="41">
        <v>11.1</v>
      </c>
      <c r="D46" s="41">
        <v>10.1</v>
      </c>
      <c r="E46" s="42">
        <v>6.8</v>
      </c>
      <c r="F46" s="25" t="s">
        <v>759</v>
      </c>
    </row>
    <row r="47" spans="1:6" x14ac:dyDescent="0.25">
      <c r="A47" s="40" t="s">
        <v>762</v>
      </c>
      <c r="B47" s="41">
        <v>10.5</v>
      </c>
      <c r="C47" s="41">
        <v>10.4</v>
      </c>
      <c r="D47" s="41">
        <v>12.7</v>
      </c>
      <c r="E47" s="42">
        <v>6.4</v>
      </c>
      <c r="F47" s="25" t="s">
        <v>759</v>
      </c>
    </row>
    <row r="48" spans="1:6" x14ac:dyDescent="0.25">
      <c r="A48" s="40" t="s">
        <v>763</v>
      </c>
      <c r="B48" s="41">
        <v>10.3</v>
      </c>
      <c r="C48" s="41">
        <v>10.199999999999999</v>
      </c>
      <c r="D48" s="41">
        <v>9.4</v>
      </c>
      <c r="E48" s="42">
        <v>7.7</v>
      </c>
      <c r="F48" s="25" t="s">
        <v>759</v>
      </c>
    </row>
    <row r="49" spans="1:6" x14ac:dyDescent="0.25">
      <c r="A49" s="40" t="s">
        <v>764</v>
      </c>
      <c r="B49" s="41">
        <v>10.6</v>
      </c>
      <c r="C49" s="41">
        <v>10.5</v>
      </c>
      <c r="D49" s="41">
        <v>12.8</v>
      </c>
      <c r="E49" s="42">
        <v>6.4</v>
      </c>
      <c r="F49" s="25" t="s">
        <v>759</v>
      </c>
    </row>
    <row r="50" spans="1:6" x14ac:dyDescent="0.25">
      <c r="A50" s="40" t="s">
        <v>765</v>
      </c>
      <c r="B50" s="41">
        <v>31.7</v>
      </c>
      <c r="C50" s="41"/>
      <c r="D50" s="41">
        <v>15.8</v>
      </c>
      <c r="E50" s="42"/>
      <c r="F50" s="25" t="s">
        <v>759</v>
      </c>
    </row>
    <row r="51" spans="1:6" x14ac:dyDescent="0.25">
      <c r="A51" s="40" t="s">
        <v>766</v>
      </c>
      <c r="B51" s="41">
        <v>36.799999999999997</v>
      </c>
      <c r="C51" s="41"/>
      <c r="D51" s="41">
        <v>10.199999999999999</v>
      </c>
      <c r="E51" s="42"/>
      <c r="F51" s="25" t="s">
        <v>759</v>
      </c>
    </row>
    <row r="52" spans="1:6" x14ac:dyDescent="0.25">
      <c r="A52" s="40" t="s">
        <v>767</v>
      </c>
      <c r="B52" s="41">
        <v>28.8</v>
      </c>
      <c r="C52" s="41"/>
      <c r="D52" s="41">
        <v>12.8</v>
      </c>
      <c r="E52" s="42">
        <v>5.5</v>
      </c>
      <c r="F52" s="25" t="s">
        <v>759</v>
      </c>
    </row>
    <row r="53" spans="1:6" x14ac:dyDescent="0.25">
      <c r="A53" s="40" t="s">
        <v>768</v>
      </c>
      <c r="B53" s="41">
        <v>25.3</v>
      </c>
      <c r="C53" s="41"/>
      <c r="D53" s="41">
        <v>16.8</v>
      </c>
      <c r="E53" s="42">
        <v>5.3</v>
      </c>
      <c r="F53" s="25" t="s">
        <v>759</v>
      </c>
    </row>
    <row r="54" spans="1:6" x14ac:dyDescent="0.25">
      <c r="A54" s="40" t="s">
        <v>769</v>
      </c>
      <c r="B54" s="41">
        <v>32.6</v>
      </c>
      <c r="C54" s="41"/>
      <c r="D54" s="41"/>
      <c r="E54" s="42">
        <v>12.9</v>
      </c>
      <c r="F54" s="25" t="s">
        <v>759</v>
      </c>
    </row>
    <row r="55" spans="1:6" x14ac:dyDescent="0.25">
      <c r="A55" s="40" t="s">
        <v>770</v>
      </c>
      <c r="B55" s="41">
        <v>36.9</v>
      </c>
      <c r="C55" s="41"/>
      <c r="D55" s="41"/>
      <c r="E55" s="42">
        <v>8.6999999999999993</v>
      </c>
      <c r="F55" s="25" t="s">
        <v>759</v>
      </c>
    </row>
    <row r="56" spans="1:6" x14ac:dyDescent="0.25">
      <c r="A56" s="40" t="s">
        <v>538</v>
      </c>
      <c r="B56" s="41">
        <v>13</v>
      </c>
      <c r="C56" s="41">
        <v>17.2</v>
      </c>
      <c r="D56" s="41"/>
      <c r="E56" s="42">
        <v>5.8</v>
      </c>
      <c r="F56" s="25" t="s">
        <v>759</v>
      </c>
    </row>
    <row r="57" spans="1:6" x14ac:dyDescent="0.25">
      <c r="A57" s="40" t="s">
        <v>539</v>
      </c>
      <c r="B57" s="41">
        <v>12.9</v>
      </c>
      <c r="C57" s="41">
        <v>17.100000000000001</v>
      </c>
      <c r="D57" s="41"/>
      <c r="E57" s="42">
        <v>5.8</v>
      </c>
      <c r="F57" s="25" t="s">
        <v>759</v>
      </c>
    </row>
    <row r="58" spans="1:6" x14ac:dyDescent="0.25">
      <c r="A58" s="40" t="s">
        <v>540</v>
      </c>
      <c r="B58" s="41">
        <v>12.9</v>
      </c>
      <c r="C58" s="41">
        <v>17</v>
      </c>
      <c r="D58" s="41"/>
      <c r="E58" s="42">
        <v>5.7</v>
      </c>
      <c r="F58" s="25" t="s">
        <v>759</v>
      </c>
    </row>
    <row r="59" spans="1:6" x14ac:dyDescent="0.25">
      <c r="A59" s="40" t="s">
        <v>541</v>
      </c>
      <c r="B59" s="41">
        <v>12.9</v>
      </c>
      <c r="C59" s="41">
        <v>18.100000000000001</v>
      </c>
      <c r="D59" s="41"/>
      <c r="E59" s="42">
        <v>5.8</v>
      </c>
      <c r="F59" s="25" t="s">
        <v>139</v>
      </c>
    </row>
    <row r="60" spans="1:6" x14ac:dyDescent="0.25">
      <c r="A60" s="40" t="s">
        <v>542</v>
      </c>
      <c r="B60" s="41">
        <v>14.9</v>
      </c>
      <c r="C60" s="41">
        <v>12</v>
      </c>
      <c r="D60" s="41"/>
      <c r="E60" s="42">
        <v>10.3</v>
      </c>
      <c r="F60" s="25" t="s">
        <v>138</v>
      </c>
    </row>
    <row r="61" spans="1:6" x14ac:dyDescent="0.25">
      <c r="A61" s="40" t="s">
        <v>543</v>
      </c>
      <c r="B61" s="41">
        <v>14.8</v>
      </c>
      <c r="C61" s="41">
        <v>11.9</v>
      </c>
      <c r="D61" s="41"/>
      <c r="E61" s="42">
        <v>10.3</v>
      </c>
      <c r="F61" s="25" t="s">
        <v>138</v>
      </c>
    </row>
    <row r="62" spans="1:6" x14ac:dyDescent="0.25">
      <c r="A62" s="40" t="s">
        <v>544</v>
      </c>
      <c r="B62" s="41">
        <v>14.2</v>
      </c>
      <c r="C62" s="41">
        <v>14</v>
      </c>
      <c r="D62" s="41"/>
      <c r="E62" s="42">
        <v>8.6</v>
      </c>
      <c r="F62" s="25" t="s">
        <v>138</v>
      </c>
    </row>
    <row r="63" spans="1:6" x14ac:dyDescent="0.25">
      <c r="A63" s="40" t="s">
        <v>545</v>
      </c>
      <c r="B63" s="41">
        <v>14.1</v>
      </c>
      <c r="C63" s="41">
        <v>13.9</v>
      </c>
      <c r="D63" s="41"/>
      <c r="E63" s="42">
        <v>8.6</v>
      </c>
      <c r="F63" s="25" t="s">
        <v>138</v>
      </c>
    </row>
    <row r="64" spans="1:6" x14ac:dyDescent="0.25">
      <c r="A64" s="40" t="s">
        <v>546</v>
      </c>
      <c r="B64" s="41">
        <v>13.4</v>
      </c>
      <c r="C64" s="41">
        <v>16</v>
      </c>
      <c r="D64" s="41"/>
      <c r="E64" s="42">
        <v>6.9</v>
      </c>
      <c r="F64" s="25" t="s">
        <v>138</v>
      </c>
    </row>
    <row r="65" spans="1:6" x14ac:dyDescent="0.25">
      <c r="A65" s="40" t="s">
        <v>547</v>
      </c>
      <c r="B65" s="41">
        <v>13.3</v>
      </c>
      <c r="C65" s="41">
        <v>15.9</v>
      </c>
      <c r="D65" s="41"/>
      <c r="E65" s="42">
        <v>6.8</v>
      </c>
      <c r="F65" s="25" t="s">
        <v>138</v>
      </c>
    </row>
    <row r="66" spans="1:6" x14ac:dyDescent="0.25">
      <c r="A66" s="40" t="s">
        <v>548</v>
      </c>
      <c r="B66" s="41">
        <v>12.7</v>
      </c>
      <c r="C66" s="41">
        <v>18</v>
      </c>
      <c r="D66" s="41"/>
      <c r="E66" s="42">
        <v>5.2</v>
      </c>
      <c r="F66" s="25" t="s">
        <v>138</v>
      </c>
    </row>
    <row r="67" spans="1:6" x14ac:dyDescent="0.25">
      <c r="A67" s="40" t="s">
        <v>549</v>
      </c>
      <c r="B67" s="41">
        <v>12.6</v>
      </c>
      <c r="C67" s="41">
        <v>17.899999999999999</v>
      </c>
      <c r="D67" s="41"/>
      <c r="E67" s="42">
        <v>5.0999999999999996</v>
      </c>
      <c r="F67" s="25" t="s">
        <v>138</v>
      </c>
    </row>
    <row r="68" spans="1:6" x14ac:dyDescent="0.25">
      <c r="A68" s="36" t="s">
        <v>771</v>
      </c>
      <c r="B68" s="37">
        <v>12</v>
      </c>
      <c r="C68" s="37">
        <v>20</v>
      </c>
      <c r="D68" s="37"/>
      <c r="E68" s="38">
        <v>3.6</v>
      </c>
      <c r="F68" s="39" t="s">
        <v>138</v>
      </c>
    </row>
    <row r="69" spans="1:6" x14ac:dyDescent="0.25">
      <c r="A69" s="36" t="s">
        <v>772</v>
      </c>
      <c r="B69" s="37">
        <v>11.9</v>
      </c>
      <c r="C69" s="37">
        <v>19.899999999999999</v>
      </c>
      <c r="D69" s="37"/>
      <c r="E69" s="38">
        <v>3.5</v>
      </c>
      <c r="F69" s="39" t="s">
        <v>138</v>
      </c>
    </row>
    <row r="70" spans="1:6" x14ac:dyDescent="0.25">
      <c r="A70" s="40" t="s">
        <v>550</v>
      </c>
      <c r="B70" s="41">
        <v>16</v>
      </c>
      <c r="C70" s="41">
        <v>8.6999999999999993</v>
      </c>
      <c r="D70" s="41"/>
      <c r="E70" s="42">
        <v>13</v>
      </c>
      <c r="F70" s="25" t="s">
        <v>138</v>
      </c>
    </row>
    <row r="71" spans="1:6" x14ac:dyDescent="0.25">
      <c r="A71" s="40" t="s">
        <v>551</v>
      </c>
      <c r="B71" s="41">
        <v>16</v>
      </c>
      <c r="C71" s="41">
        <v>8.6999999999999993</v>
      </c>
      <c r="D71" s="41"/>
      <c r="E71" s="42">
        <v>13</v>
      </c>
      <c r="F71" s="25" t="s">
        <v>138</v>
      </c>
    </row>
    <row r="72" spans="1:6" x14ac:dyDescent="0.25">
      <c r="A72" s="40" t="s">
        <v>552</v>
      </c>
      <c r="B72" s="41">
        <v>16</v>
      </c>
      <c r="C72" s="41">
        <v>11.6</v>
      </c>
      <c r="D72" s="41"/>
      <c r="E72" s="42">
        <v>12.7</v>
      </c>
      <c r="F72" s="25" t="s">
        <v>139</v>
      </c>
    </row>
    <row r="73" spans="1:6" x14ac:dyDescent="0.25">
      <c r="A73" s="40" t="s">
        <v>553</v>
      </c>
      <c r="B73" s="41">
        <v>17</v>
      </c>
      <c r="C73" s="41">
        <v>9</v>
      </c>
      <c r="D73" s="41"/>
      <c r="E73" s="42">
        <v>14.9</v>
      </c>
      <c r="F73" s="25" t="s">
        <v>139</v>
      </c>
    </row>
    <row r="74" spans="1:6" x14ac:dyDescent="0.25">
      <c r="A74" s="40" t="s">
        <v>554</v>
      </c>
      <c r="B74" s="41">
        <v>13.2</v>
      </c>
      <c r="C74" s="41">
        <v>17.7</v>
      </c>
      <c r="D74" s="41"/>
      <c r="E74" s="42">
        <v>6.5</v>
      </c>
      <c r="F74" s="25" t="s">
        <v>139</v>
      </c>
    </row>
    <row r="75" spans="1:6" x14ac:dyDescent="0.25">
      <c r="A75" s="40" t="s">
        <v>555</v>
      </c>
      <c r="B75" s="41">
        <v>15</v>
      </c>
      <c r="C75" s="41">
        <v>14</v>
      </c>
      <c r="D75" s="41"/>
      <c r="E75" s="42">
        <v>10.4</v>
      </c>
      <c r="F75" s="25" t="s">
        <v>139</v>
      </c>
    </row>
    <row r="76" spans="1:6" x14ac:dyDescent="0.25">
      <c r="A76" s="40" t="s">
        <v>556</v>
      </c>
      <c r="B76" s="41">
        <v>17</v>
      </c>
      <c r="C76" s="41">
        <v>19.399999999999999</v>
      </c>
      <c r="D76" s="41"/>
      <c r="E76" s="42">
        <v>4.9000000000000004</v>
      </c>
      <c r="F76" s="25" t="s">
        <v>139</v>
      </c>
    </row>
    <row r="77" spans="1:6" x14ac:dyDescent="0.25">
      <c r="A77" s="36" t="s">
        <v>773</v>
      </c>
      <c r="B77" s="37">
        <v>5.44</v>
      </c>
      <c r="C77" s="37">
        <v>7.47</v>
      </c>
      <c r="D77" s="37">
        <v>8.08</v>
      </c>
      <c r="E77" s="38">
        <v>2</v>
      </c>
      <c r="F77" s="39" t="s">
        <v>774</v>
      </c>
    </row>
    <row r="78" spans="1:6" x14ac:dyDescent="0.25">
      <c r="A78" s="36" t="s">
        <v>775</v>
      </c>
      <c r="B78" s="37">
        <v>5.2999999999999999E-2</v>
      </c>
      <c r="C78" s="37">
        <v>0</v>
      </c>
      <c r="D78" s="37">
        <v>0</v>
      </c>
      <c r="E78" s="38"/>
      <c r="F78" s="39" t="s">
        <v>774</v>
      </c>
    </row>
    <row r="79" spans="1:6" x14ac:dyDescent="0.25">
      <c r="A79" s="36" t="s">
        <v>776</v>
      </c>
      <c r="B79" s="37">
        <v>1.76</v>
      </c>
      <c r="C79" s="37">
        <v>0</v>
      </c>
      <c r="D79" s="37">
        <v>0</v>
      </c>
      <c r="E79" s="38"/>
      <c r="F79" s="39" t="s">
        <v>774</v>
      </c>
    </row>
    <row r="80" spans="1:6" x14ac:dyDescent="0.25">
      <c r="A80" s="36" t="s">
        <v>777</v>
      </c>
      <c r="B80" s="37">
        <v>14.6</v>
      </c>
      <c r="C80" s="37">
        <v>8</v>
      </c>
      <c r="D80" s="37">
        <v>12.5</v>
      </c>
      <c r="E80" s="38">
        <v>9.1999999999999993</v>
      </c>
      <c r="F80" s="39" t="s">
        <v>139</v>
      </c>
    </row>
    <row r="81" spans="1:6" x14ac:dyDescent="0.25">
      <c r="A81" s="36" t="s">
        <v>778</v>
      </c>
      <c r="B81" s="37">
        <v>22.2</v>
      </c>
      <c r="C81" s="37">
        <v>6</v>
      </c>
      <c r="D81" s="37">
        <v>10</v>
      </c>
      <c r="E81" s="38">
        <v>6.6</v>
      </c>
      <c r="F81" s="39" t="s">
        <v>139</v>
      </c>
    </row>
    <row r="82" spans="1:6" x14ac:dyDescent="0.25">
      <c r="A82" s="36" t="s">
        <v>779</v>
      </c>
      <c r="B82" s="37">
        <v>15.9</v>
      </c>
      <c r="C82" s="37">
        <v>6</v>
      </c>
      <c r="D82" s="37">
        <v>10</v>
      </c>
      <c r="E82" s="38">
        <v>12.6</v>
      </c>
      <c r="F82" s="39" t="s">
        <v>139</v>
      </c>
    </row>
    <row r="83" spans="1:6" x14ac:dyDescent="0.25">
      <c r="A83" s="36" t="s">
        <v>780</v>
      </c>
      <c r="B83" s="37">
        <v>12.3</v>
      </c>
      <c r="C83" s="37">
        <v>7.9</v>
      </c>
      <c r="D83" s="37">
        <v>12.5</v>
      </c>
      <c r="E83" s="38">
        <v>9.9</v>
      </c>
      <c r="F83" s="39" t="s">
        <v>139</v>
      </c>
    </row>
    <row r="84" spans="1:6" x14ac:dyDescent="0.25">
      <c r="A84" s="40" t="s">
        <v>52</v>
      </c>
      <c r="B84" s="41">
        <v>18</v>
      </c>
      <c r="C84" s="41">
        <v>20</v>
      </c>
      <c r="D84" s="41"/>
      <c r="E84" s="42">
        <v>1.7</v>
      </c>
      <c r="F84" s="25" t="s">
        <v>138</v>
      </c>
    </row>
    <row r="85" spans="1:6" x14ac:dyDescent="0.25">
      <c r="A85" s="40" t="s">
        <v>557</v>
      </c>
      <c r="B85" s="41">
        <v>17.8</v>
      </c>
      <c r="C85" s="41">
        <v>19.7</v>
      </c>
      <c r="D85" s="41"/>
      <c r="E85" s="42">
        <v>1.7</v>
      </c>
      <c r="F85" s="25" t="s">
        <v>139</v>
      </c>
    </row>
    <row r="86" spans="1:6" x14ac:dyDescent="0.25">
      <c r="A86" s="40" t="s">
        <v>558</v>
      </c>
      <c r="B86" s="41">
        <v>17.899999999999999</v>
      </c>
      <c r="C86" s="41">
        <v>19.899999999999999</v>
      </c>
      <c r="D86" s="41"/>
      <c r="E86" s="42">
        <v>1.5</v>
      </c>
      <c r="F86" s="25" t="s">
        <v>759</v>
      </c>
    </row>
    <row r="87" spans="1:6" x14ac:dyDescent="0.25">
      <c r="A87" s="40" t="s">
        <v>781</v>
      </c>
      <c r="B87" s="41">
        <v>17.8</v>
      </c>
      <c r="C87" s="41">
        <v>19.8</v>
      </c>
      <c r="D87" s="41"/>
      <c r="E87" s="42">
        <v>1.5</v>
      </c>
      <c r="F87" s="25" t="s">
        <v>759</v>
      </c>
    </row>
    <row r="88" spans="1:6" x14ac:dyDescent="0.25">
      <c r="A88" s="25" t="s">
        <v>782</v>
      </c>
      <c r="B88" s="25">
        <v>18.2</v>
      </c>
      <c r="C88" s="25">
        <v>18.100000000000001</v>
      </c>
      <c r="D88" s="41"/>
      <c r="E88" s="42">
        <v>3.7</v>
      </c>
      <c r="F88" s="25" t="s">
        <v>141</v>
      </c>
    </row>
    <row r="89" spans="1:6" x14ac:dyDescent="0.25">
      <c r="A89" s="40" t="s">
        <v>559</v>
      </c>
      <c r="B89" s="41">
        <v>17.899999999999999</v>
      </c>
      <c r="C89" s="41">
        <v>19.899999999999999</v>
      </c>
      <c r="D89" s="41"/>
      <c r="E89" s="42">
        <v>1.7</v>
      </c>
      <c r="F89" s="25" t="s">
        <v>141</v>
      </c>
    </row>
    <row r="90" spans="1:6" x14ac:dyDescent="0.25">
      <c r="A90" s="40" t="s">
        <v>560</v>
      </c>
      <c r="B90" s="41">
        <v>16</v>
      </c>
      <c r="C90" s="41">
        <v>16.3</v>
      </c>
      <c r="D90" s="41"/>
      <c r="E90" s="42">
        <v>9.1</v>
      </c>
      <c r="F90" s="25" t="s">
        <v>139</v>
      </c>
    </row>
    <row r="91" spans="1:6" x14ac:dyDescent="0.25">
      <c r="A91" s="40" t="s">
        <v>561</v>
      </c>
      <c r="B91" s="41">
        <v>17.8</v>
      </c>
      <c r="C91" s="41">
        <v>19.7</v>
      </c>
      <c r="D91" s="41"/>
      <c r="E91" s="42">
        <v>1.7</v>
      </c>
      <c r="F91" s="25" t="s">
        <v>139</v>
      </c>
    </row>
    <row r="92" spans="1:6" x14ac:dyDescent="0.25">
      <c r="A92" s="40" t="s">
        <v>562</v>
      </c>
      <c r="B92" s="41">
        <v>17.8</v>
      </c>
      <c r="C92" s="41">
        <v>19.7</v>
      </c>
      <c r="D92" s="41"/>
      <c r="E92" s="42">
        <v>1.5</v>
      </c>
      <c r="F92" s="25" t="s">
        <v>141</v>
      </c>
    </row>
    <row r="93" spans="1:6" x14ac:dyDescent="0.25">
      <c r="A93" s="40" t="s">
        <v>563</v>
      </c>
      <c r="B93" s="41">
        <v>19.100000000000001</v>
      </c>
      <c r="C93" s="41">
        <v>13</v>
      </c>
      <c r="D93" s="41"/>
      <c r="E93" s="42">
        <v>9.5</v>
      </c>
      <c r="F93" s="25" t="s">
        <v>138</v>
      </c>
    </row>
    <row r="94" spans="1:6" x14ac:dyDescent="0.25">
      <c r="A94" s="40" t="s">
        <v>564</v>
      </c>
      <c r="B94" s="41">
        <v>19</v>
      </c>
      <c r="C94" s="41">
        <v>12.9</v>
      </c>
      <c r="D94" s="41"/>
      <c r="E94" s="42">
        <v>9.5</v>
      </c>
      <c r="F94" s="25" t="s">
        <v>141</v>
      </c>
    </row>
    <row r="95" spans="1:6" x14ac:dyDescent="0.25">
      <c r="A95" s="40" t="s">
        <v>565</v>
      </c>
      <c r="B95" s="41">
        <v>19</v>
      </c>
      <c r="C95" s="41">
        <v>12.9</v>
      </c>
      <c r="D95" s="41"/>
      <c r="E95" s="42">
        <v>9.5</v>
      </c>
      <c r="F95" s="25" t="s">
        <v>139</v>
      </c>
    </row>
    <row r="96" spans="1:6" x14ac:dyDescent="0.25">
      <c r="A96" s="40" t="s">
        <v>566</v>
      </c>
      <c r="B96" s="41">
        <v>16</v>
      </c>
      <c r="C96" s="41">
        <v>18.8</v>
      </c>
      <c r="D96" s="41"/>
      <c r="E96" s="42">
        <v>8</v>
      </c>
      <c r="F96" s="25" t="s">
        <v>141</v>
      </c>
    </row>
    <row r="97" spans="1:6" x14ac:dyDescent="0.25">
      <c r="A97" s="40" t="s">
        <v>567</v>
      </c>
      <c r="B97" s="41">
        <v>7</v>
      </c>
      <c r="C97" s="41">
        <v>17.899999999999999</v>
      </c>
      <c r="D97" s="41"/>
      <c r="E97" s="42">
        <v>4.5</v>
      </c>
      <c r="F97" s="25" t="s">
        <v>139</v>
      </c>
    </row>
    <row r="98" spans="1:6" x14ac:dyDescent="0.25">
      <c r="A98" s="40" t="s">
        <v>568</v>
      </c>
      <c r="B98" s="41">
        <v>6.6</v>
      </c>
      <c r="C98" s="41">
        <v>17.2</v>
      </c>
      <c r="D98" s="41"/>
      <c r="E98" s="42">
        <v>5.4</v>
      </c>
      <c r="F98" s="25" t="s">
        <v>139</v>
      </c>
    </row>
    <row r="99" spans="1:6" x14ac:dyDescent="0.25">
      <c r="A99" s="40" t="s">
        <v>569</v>
      </c>
      <c r="B99" s="41">
        <v>6</v>
      </c>
      <c r="C99" s="41">
        <v>16.5</v>
      </c>
      <c r="D99" s="41"/>
      <c r="E99" s="42">
        <v>5.9</v>
      </c>
      <c r="F99" s="25" t="s">
        <v>139</v>
      </c>
    </row>
    <row r="100" spans="1:6" x14ac:dyDescent="0.25">
      <c r="A100" s="40" t="s">
        <v>570</v>
      </c>
      <c r="B100" s="41">
        <v>30.7</v>
      </c>
      <c r="C100" s="41"/>
      <c r="E100" s="42">
        <v>7.2</v>
      </c>
      <c r="F100" s="25" t="s">
        <v>139</v>
      </c>
    </row>
    <row r="101" spans="1:6" x14ac:dyDescent="0.25">
      <c r="A101" s="40" t="s">
        <v>571</v>
      </c>
      <c r="B101" s="41">
        <v>44</v>
      </c>
      <c r="C101" s="41"/>
      <c r="D101" s="41">
        <v>8.4</v>
      </c>
      <c r="E101" s="42"/>
      <c r="F101" s="25" t="s">
        <v>141</v>
      </c>
    </row>
    <row r="102" spans="1:6" x14ac:dyDescent="0.25">
      <c r="A102" s="40" t="s">
        <v>572</v>
      </c>
      <c r="B102" s="41">
        <v>4.5</v>
      </c>
      <c r="C102" s="41"/>
      <c r="D102" s="41"/>
      <c r="E102" s="42"/>
      <c r="F102" s="25" t="s">
        <v>140</v>
      </c>
    </row>
    <row r="103" spans="1:6" x14ac:dyDescent="0.25">
      <c r="A103" s="25" t="s">
        <v>783</v>
      </c>
      <c r="B103" s="25">
        <v>32</v>
      </c>
      <c r="C103" s="41"/>
      <c r="D103" s="41"/>
      <c r="E103" s="42"/>
      <c r="F103" s="25" t="s">
        <v>140</v>
      </c>
    </row>
    <row r="104" spans="1:6" x14ac:dyDescent="0.25">
      <c r="A104" s="40" t="s">
        <v>784</v>
      </c>
      <c r="B104" s="41">
        <v>25</v>
      </c>
      <c r="C104" s="41"/>
      <c r="D104" s="41"/>
      <c r="E104" s="42">
        <v>9.1</v>
      </c>
      <c r="F104" s="25" t="s">
        <v>140</v>
      </c>
    </row>
    <row r="105" spans="1:6" x14ac:dyDescent="0.25">
      <c r="A105" s="25" t="s">
        <v>785</v>
      </c>
      <c r="B105" s="25">
        <v>30.4</v>
      </c>
      <c r="C105" s="25"/>
      <c r="D105" s="25">
        <v>7.5</v>
      </c>
      <c r="E105" s="25">
        <v>8.5</v>
      </c>
      <c r="F105" t="s">
        <v>139</v>
      </c>
    </row>
    <row r="106" spans="1:6" x14ac:dyDescent="0.25">
      <c r="A106" s="25" t="s">
        <v>786</v>
      </c>
      <c r="B106" s="25">
        <v>21</v>
      </c>
      <c r="C106" s="25"/>
      <c r="E106" s="25">
        <v>24</v>
      </c>
      <c r="F106" t="s">
        <v>787</v>
      </c>
    </row>
    <row r="107" spans="1:6" x14ac:dyDescent="0.25">
      <c r="A107" s="25" t="s">
        <v>788</v>
      </c>
      <c r="B107" s="25">
        <v>21</v>
      </c>
      <c r="C107" s="25"/>
      <c r="D107" s="25"/>
      <c r="E107" s="25">
        <v>24</v>
      </c>
      <c r="F107" s="25" t="s">
        <v>140</v>
      </c>
    </row>
    <row r="108" spans="1:6" x14ac:dyDescent="0.25">
      <c r="A108" s="40" t="s">
        <v>573</v>
      </c>
      <c r="B108" s="41">
        <v>21</v>
      </c>
      <c r="C108" s="41"/>
      <c r="D108" s="41"/>
      <c r="E108" s="42">
        <v>24</v>
      </c>
      <c r="F108" s="25" t="s">
        <v>140</v>
      </c>
    </row>
    <row r="109" spans="1:6" x14ac:dyDescent="0.25">
      <c r="A109" s="40" t="s">
        <v>574</v>
      </c>
      <c r="B109" s="41">
        <v>21</v>
      </c>
      <c r="C109" s="41"/>
      <c r="D109" s="41"/>
      <c r="E109" s="42">
        <v>24</v>
      </c>
      <c r="F109" s="25" t="s">
        <v>139</v>
      </c>
    </row>
    <row r="110" spans="1:6" x14ac:dyDescent="0.25">
      <c r="A110" s="40" t="s">
        <v>576</v>
      </c>
      <c r="B110" s="41">
        <v>10</v>
      </c>
      <c r="C110" s="41">
        <v>17.5</v>
      </c>
      <c r="D110" s="41"/>
      <c r="E110" s="42">
        <v>4</v>
      </c>
      <c r="F110" s="25" t="s">
        <v>138</v>
      </c>
    </row>
    <row r="111" spans="1:6" x14ac:dyDescent="0.25">
      <c r="A111" s="40" t="s">
        <v>575</v>
      </c>
      <c r="B111" s="41">
        <v>11</v>
      </c>
      <c r="C111" s="41">
        <v>21.8</v>
      </c>
      <c r="D111" s="41"/>
      <c r="E111" s="42">
        <v>12</v>
      </c>
      <c r="F111" s="25" t="s">
        <v>138</v>
      </c>
    </row>
    <row r="112" spans="1:6" x14ac:dyDescent="0.25">
      <c r="A112" s="25" t="s">
        <v>789</v>
      </c>
      <c r="B112" s="25">
        <v>13.8</v>
      </c>
      <c r="C112" s="25"/>
      <c r="D112" s="25">
        <v>17</v>
      </c>
      <c r="E112" s="25">
        <v>16</v>
      </c>
      <c r="F112" s="25" t="s">
        <v>139</v>
      </c>
    </row>
    <row r="113" spans="1:14" x14ac:dyDescent="0.25">
      <c r="A113" s="25" t="s">
        <v>790</v>
      </c>
      <c r="B113" s="25">
        <v>26.3</v>
      </c>
      <c r="C113" s="25">
        <v>3.9</v>
      </c>
      <c r="D113" s="25">
        <v>17</v>
      </c>
      <c r="E113" s="25">
        <v>6.2</v>
      </c>
      <c r="F113" s="25" t="s">
        <v>139</v>
      </c>
    </row>
    <row r="114" spans="1:14" x14ac:dyDescent="0.25">
      <c r="A114" s="40" t="s">
        <v>577</v>
      </c>
      <c r="B114" s="41">
        <v>25.3</v>
      </c>
      <c r="C114" s="41">
        <v>3.9</v>
      </c>
      <c r="D114" s="41">
        <v>8.4</v>
      </c>
      <c r="E114" s="42">
        <v>6.1</v>
      </c>
      <c r="F114" s="25" t="s">
        <v>140</v>
      </c>
      <c r="H114" s="25"/>
      <c r="I114" s="25"/>
      <c r="J114" s="25"/>
    </row>
    <row r="115" spans="1:14" x14ac:dyDescent="0.25">
      <c r="A115" s="25" t="s">
        <v>791</v>
      </c>
      <c r="B115" s="25">
        <v>0.25</v>
      </c>
      <c r="C115" s="25">
        <v>13.8</v>
      </c>
      <c r="D115" s="25">
        <v>0.26900000000000002</v>
      </c>
      <c r="E115" s="25">
        <v>0.251</v>
      </c>
      <c r="F115" s="25" t="s">
        <v>792</v>
      </c>
      <c r="H115" s="25"/>
      <c r="I115" s="25"/>
    </row>
    <row r="116" spans="1:14" x14ac:dyDescent="0.25">
      <c r="A116" s="40" t="s">
        <v>793</v>
      </c>
      <c r="B116" s="41">
        <v>10</v>
      </c>
      <c r="C116" s="41">
        <v>12</v>
      </c>
      <c r="D116" s="41">
        <v>12</v>
      </c>
      <c r="E116" s="42">
        <v>6.5</v>
      </c>
      <c r="F116" s="25" t="s">
        <v>139</v>
      </c>
      <c r="H116" s="25"/>
      <c r="I116" s="25"/>
      <c r="J116" s="25"/>
      <c r="K116" s="25"/>
      <c r="L116" s="25"/>
      <c r="M116" s="25"/>
      <c r="N116" s="25"/>
    </row>
    <row r="117" spans="1:14" x14ac:dyDescent="0.25">
      <c r="A117" s="40" t="s">
        <v>578</v>
      </c>
      <c r="B117" s="41">
        <v>10.199999999999999</v>
      </c>
      <c r="C117" s="41">
        <v>13.1</v>
      </c>
      <c r="D117" s="41">
        <v>10.6</v>
      </c>
      <c r="E117" s="42">
        <v>6.2</v>
      </c>
      <c r="F117" s="25" t="s">
        <v>139</v>
      </c>
    </row>
    <row r="118" spans="1:14" x14ac:dyDescent="0.25">
      <c r="A118" s="40" t="s">
        <v>579</v>
      </c>
      <c r="B118" s="41">
        <v>11.2</v>
      </c>
      <c r="C118" s="41">
        <v>11.3</v>
      </c>
      <c r="D118" s="41">
        <v>9.6</v>
      </c>
      <c r="E118" s="42">
        <v>7.7</v>
      </c>
      <c r="F118" s="25" t="s">
        <v>139</v>
      </c>
    </row>
    <row r="119" spans="1:14" x14ac:dyDescent="0.25">
      <c r="A119" s="40" t="s">
        <v>580</v>
      </c>
      <c r="B119" s="41">
        <v>10.7</v>
      </c>
      <c r="C119" s="41">
        <v>15.9</v>
      </c>
      <c r="D119" s="41">
        <v>7.2</v>
      </c>
      <c r="E119" s="42">
        <v>5.0999999999999996</v>
      </c>
      <c r="F119" s="25" t="s">
        <v>139</v>
      </c>
    </row>
    <row r="120" spans="1:14" x14ac:dyDescent="0.25">
      <c r="A120" s="40" t="s">
        <v>581</v>
      </c>
      <c r="B120" s="41">
        <v>10.5</v>
      </c>
      <c r="C120" s="41">
        <v>14.6</v>
      </c>
      <c r="D120" s="41">
        <v>8.8000000000000007</v>
      </c>
      <c r="E120" s="42">
        <v>5.7</v>
      </c>
      <c r="F120" s="25" t="s">
        <v>139</v>
      </c>
    </row>
    <row r="121" spans="1:14" x14ac:dyDescent="0.25">
      <c r="A121" s="25" t="s">
        <v>75</v>
      </c>
      <c r="B121" s="25">
        <v>13.3</v>
      </c>
      <c r="C121" s="25">
        <v>3</v>
      </c>
      <c r="D121" s="25">
        <v>16.5</v>
      </c>
      <c r="E121" s="25">
        <v>12.7</v>
      </c>
      <c r="F121" s="25" t="s">
        <v>139</v>
      </c>
    </row>
    <row r="122" spans="1:14" x14ac:dyDescent="0.25">
      <c r="A122" s="40" t="s">
        <v>582</v>
      </c>
      <c r="B122" s="41">
        <v>12.1</v>
      </c>
      <c r="C122" s="41">
        <v>3.7</v>
      </c>
      <c r="D122" s="41">
        <v>14.3</v>
      </c>
      <c r="E122" s="42">
        <v>12.8</v>
      </c>
      <c r="F122" s="25" t="s">
        <v>141</v>
      </c>
    </row>
    <row r="123" spans="1:14" x14ac:dyDescent="0.25">
      <c r="A123" s="25" t="s">
        <v>794</v>
      </c>
      <c r="B123" s="25">
        <v>18.399999999999999</v>
      </c>
      <c r="C123" s="25">
        <v>2.6</v>
      </c>
      <c r="D123" s="25">
        <v>16.5</v>
      </c>
      <c r="E123" s="25">
        <v>12.7</v>
      </c>
      <c r="F123" s="25" t="s">
        <v>139</v>
      </c>
    </row>
    <row r="124" spans="1:14" x14ac:dyDescent="0.25">
      <c r="A124" s="40" t="s">
        <v>583</v>
      </c>
      <c r="B124" s="41">
        <v>18.399999999999999</v>
      </c>
      <c r="C124" s="41">
        <v>2.5</v>
      </c>
      <c r="D124" s="41">
        <v>14.9</v>
      </c>
      <c r="E124" s="42">
        <v>9.4</v>
      </c>
      <c r="F124" s="25" t="s">
        <v>140</v>
      </c>
    </row>
    <row r="125" spans="1:14" x14ac:dyDescent="0.25">
      <c r="A125" s="40" t="s">
        <v>584</v>
      </c>
      <c r="B125" s="41">
        <v>3.5</v>
      </c>
      <c r="C125" s="41">
        <v>13.4</v>
      </c>
      <c r="D125" s="41"/>
      <c r="E125" s="42">
        <v>7.5</v>
      </c>
      <c r="F125" s="25" t="s">
        <v>140</v>
      </c>
    </row>
    <row r="126" spans="1:14" x14ac:dyDescent="0.25">
      <c r="A126" s="40" t="s">
        <v>585</v>
      </c>
      <c r="B126" s="41">
        <v>12.6</v>
      </c>
      <c r="C126" s="41">
        <v>3.6</v>
      </c>
      <c r="D126" s="41">
        <v>10.3</v>
      </c>
      <c r="E126" s="42">
        <v>12.7</v>
      </c>
      <c r="F126" s="25" t="s">
        <v>140</v>
      </c>
    </row>
    <row r="127" spans="1:14" x14ac:dyDescent="0.25">
      <c r="A127" s="40" t="s">
        <v>586</v>
      </c>
      <c r="B127" s="41">
        <v>29.7</v>
      </c>
      <c r="C127" s="41">
        <v>4</v>
      </c>
      <c r="D127" s="41">
        <v>5</v>
      </c>
      <c r="E127" s="42">
        <v>6.3</v>
      </c>
      <c r="F127" s="25" t="s">
        <v>139</v>
      </c>
    </row>
    <row r="128" spans="1:14" x14ac:dyDescent="0.25">
      <c r="A128" s="40" t="s">
        <v>587</v>
      </c>
      <c r="B128" s="41">
        <v>10.8</v>
      </c>
      <c r="C128" s="41">
        <v>14</v>
      </c>
      <c r="D128" s="41">
        <v>9.9</v>
      </c>
      <c r="E128" s="42">
        <v>3.5</v>
      </c>
      <c r="F128" s="25" t="s">
        <v>138</v>
      </c>
    </row>
    <row r="129" spans="1:6" x14ac:dyDescent="0.25">
      <c r="A129" s="40" t="s">
        <v>795</v>
      </c>
      <c r="B129" s="41">
        <v>10.7</v>
      </c>
      <c r="C129" s="41">
        <v>13.9</v>
      </c>
      <c r="D129" s="41">
        <v>9.8000000000000007</v>
      </c>
      <c r="E129" s="42">
        <v>3.4</v>
      </c>
      <c r="F129" s="25" t="s">
        <v>138</v>
      </c>
    </row>
    <row r="130" spans="1:6" x14ac:dyDescent="0.25">
      <c r="A130" s="40" t="s">
        <v>588</v>
      </c>
      <c r="B130" s="41">
        <v>10.8</v>
      </c>
      <c r="C130" s="41">
        <v>12.1</v>
      </c>
      <c r="D130" s="41">
        <v>12</v>
      </c>
      <c r="E130" s="42">
        <v>4</v>
      </c>
      <c r="F130" s="25" t="s">
        <v>138</v>
      </c>
    </row>
    <row r="131" spans="1:6" x14ac:dyDescent="0.25">
      <c r="A131" s="40" t="s">
        <v>796</v>
      </c>
      <c r="B131" s="41">
        <v>10.7</v>
      </c>
      <c r="C131" s="41">
        <v>12</v>
      </c>
      <c r="D131" s="41">
        <v>11.9</v>
      </c>
      <c r="E131" s="42">
        <v>3.9</v>
      </c>
      <c r="F131" s="25" t="s">
        <v>138</v>
      </c>
    </row>
    <row r="132" spans="1:6" x14ac:dyDescent="0.25">
      <c r="A132" s="40" t="s">
        <v>589</v>
      </c>
      <c r="B132" s="41">
        <v>10.8</v>
      </c>
      <c r="C132" s="41">
        <v>10.4</v>
      </c>
      <c r="D132" s="41">
        <v>14</v>
      </c>
      <c r="E132" s="42">
        <v>4.4000000000000004</v>
      </c>
      <c r="F132" s="25" t="s">
        <v>138</v>
      </c>
    </row>
    <row r="133" spans="1:6" x14ac:dyDescent="0.25">
      <c r="A133" s="40" t="s">
        <v>797</v>
      </c>
      <c r="B133" s="41">
        <v>10.7</v>
      </c>
      <c r="C133" s="41">
        <v>10.3</v>
      </c>
      <c r="D133" s="41">
        <v>13.9</v>
      </c>
      <c r="E133" s="42">
        <v>4.3</v>
      </c>
      <c r="F133" s="25" t="s">
        <v>138</v>
      </c>
    </row>
    <row r="134" spans="1:6" x14ac:dyDescent="0.25">
      <c r="A134" s="40" t="s">
        <v>590</v>
      </c>
      <c r="B134" s="41">
        <v>10.7</v>
      </c>
      <c r="C134" s="41">
        <v>8.1999999999999993</v>
      </c>
      <c r="D134" s="41">
        <v>16.5</v>
      </c>
      <c r="E134" s="42">
        <v>5</v>
      </c>
      <c r="F134" s="25" t="s">
        <v>138</v>
      </c>
    </row>
    <row r="135" spans="1:6" x14ac:dyDescent="0.25">
      <c r="A135" s="40" t="s">
        <v>798</v>
      </c>
      <c r="B135" s="41">
        <v>10.6</v>
      </c>
      <c r="C135" s="41">
        <v>8.1</v>
      </c>
      <c r="D135" s="41">
        <v>16.399999999999999</v>
      </c>
      <c r="E135" s="42">
        <v>4.9000000000000004</v>
      </c>
      <c r="F135" s="25" t="s">
        <v>138</v>
      </c>
    </row>
    <row r="136" spans="1:6" x14ac:dyDescent="0.25">
      <c r="A136" s="40" t="s">
        <v>591</v>
      </c>
      <c r="B136" s="41">
        <v>10.5</v>
      </c>
      <c r="C136" s="41">
        <v>16.3</v>
      </c>
      <c r="D136" s="41">
        <v>6.6</v>
      </c>
      <c r="E136" s="42">
        <v>4</v>
      </c>
      <c r="F136" s="25" t="s">
        <v>140</v>
      </c>
    </row>
    <row r="137" spans="1:6" x14ac:dyDescent="0.25">
      <c r="A137" s="40" t="s">
        <v>592</v>
      </c>
      <c r="B137" s="41">
        <v>11.6</v>
      </c>
      <c r="C137" s="41">
        <v>11.3</v>
      </c>
      <c r="D137" s="41">
        <v>8.3000000000000007</v>
      </c>
      <c r="E137" s="42">
        <v>7.8</v>
      </c>
      <c r="F137" s="25" t="s">
        <v>140</v>
      </c>
    </row>
    <row r="138" spans="1:6" x14ac:dyDescent="0.25">
      <c r="A138" s="40" t="s">
        <v>593</v>
      </c>
      <c r="B138" s="41">
        <v>10.199999999999999</v>
      </c>
      <c r="C138" s="41">
        <v>12</v>
      </c>
      <c r="D138" s="41">
        <v>11</v>
      </c>
      <c r="E138" s="42">
        <v>5.8</v>
      </c>
      <c r="F138" s="25" t="s">
        <v>140</v>
      </c>
    </row>
    <row r="139" spans="1:6" x14ac:dyDescent="0.25">
      <c r="A139" s="40" t="s">
        <v>594</v>
      </c>
      <c r="B139" s="41">
        <v>9.5</v>
      </c>
      <c r="C139" s="41">
        <v>10.7</v>
      </c>
      <c r="D139" s="41">
        <v>12.8</v>
      </c>
      <c r="E139" s="42"/>
      <c r="F139" s="25" t="s">
        <v>140</v>
      </c>
    </row>
    <row r="140" spans="1:6" x14ac:dyDescent="0.25">
      <c r="A140" s="40" t="s">
        <v>595</v>
      </c>
      <c r="B140" s="41">
        <v>9.1999999999999993</v>
      </c>
      <c r="C140" s="41">
        <v>12.6</v>
      </c>
      <c r="D140" s="41">
        <v>7.5</v>
      </c>
      <c r="E140" s="42">
        <v>6.3</v>
      </c>
      <c r="F140" s="25" t="s">
        <v>140</v>
      </c>
    </row>
    <row r="141" spans="1:6" x14ac:dyDescent="0.25">
      <c r="A141" s="40" t="s">
        <v>596</v>
      </c>
      <c r="B141" s="41">
        <v>10.4</v>
      </c>
      <c r="C141" s="41">
        <v>14.1</v>
      </c>
      <c r="D141" s="41">
        <v>8.9</v>
      </c>
      <c r="E141" s="42">
        <v>4.9000000000000004</v>
      </c>
      <c r="F141" s="25" t="s">
        <v>140</v>
      </c>
    </row>
    <row r="142" spans="1:6" x14ac:dyDescent="0.25">
      <c r="A142" s="40" t="s">
        <v>597</v>
      </c>
      <c r="B142" s="41">
        <v>10.4</v>
      </c>
      <c r="C142" s="41">
        <v>14.8</v>
      </c>
      <c r="D142" s="41">
        <v>8.1</v>
      </c>
      <c r="E142" s="42">
        <v>4.5999999999999996</v>
      </c>
      <c r="F142" s="25" t="s">
        <v>140</v>
      </c>
    </row>
    <row r="143" spans="1:6" x14ac:dyDescent="0.25">
      <c r="A143" s="40" t="s">
        <v>598</v>
      </c>
      <c r="B143" s="41">
        <v>9.8000000000000007</v>
      </c>
      <c r="C143" s="41">
        <v>20.2</v>
      </c>
      <c r="D143" s="41"/>
      <c r="E143" s="42">
        <v>6.1</v>
      </c>
      <c r="F143" s="25" t="s">
        <v>139</v>
      </c>
    </row>
    <row r="144" spans="1:6" x14ac:dyDescent="0.25">
      <c r="A144" s="40" t="s">
        <v>599</v>
      </c>
      <c r="B144" s="41">
        <v>6.8</v>
      </c>
      <c r="C144" s="41">
        <v>14.1</v>
      </c>
      <c r="D144" s="41">
        <v>12.5</v>
      </c>
      <c r="E144" s="42">
        <v>8.4</v>
      </c>
      <c r="F144" s="25" t="s">
        <v>139</v>
      </c>
    </row>
    <row r="145" spans="1:6" x14ac:dyDescent="0.25">
      <c r="A145" s="40" t="s">
        <v>600</v>
      </c>
      <c r="B145" s="41">
        <v>8.3000000000000007</v>
      </c>
      <c r="C145" s="41">
        <v>17.100000000000001</v>
      </c>
      <c r="D145" s="41"/>
      <c r="E145" s="42">
        <v>8.4</v>
      </c>
      <c r="F145" s="25" t="s">
        <v>139</v>
      </c>
    </row>
    <row r="146" spans="1:6" x14ac:dyDescent="0.25">
      <c r="A146" s="40" t="s">
        <v>602</v>
      </c>
      <c r="B146" s="41">
        <v>9.9</v>
      </c>
      <c r="C146" s="41">
        <v>16.100000000000001</v>
      </c>
      <c r="D146" s="41">
        <v>7.3</v>
      </c>
      <c r="E146" s="42">
        <v>6.5</v>
      </c>
      <c r="F146" s="25" t="s">
        <v>140</v>
      </c>
    </row>
    <row r="147" spans="1:6" x14ac:dyDescent="0.25">
      <c r="A147" s="40" t="s">
        <v>603</v>
      </c>
      <c r="B147" s="41">
        <v>11.1</v>
      </c>
      <c r="C147" s="41">
        <v>12.1</v>
      </c>
      <c r="D147" s="41">
        <v>7.7</v>
      </c>
      <c r="E147" s="42">
        <v>10.1</v>
      </c>
      <c r="F147" s="25" t="s">
        <v>140</v>
      </c>
    </row>
    <row r="148" spans="1:6" x14ac:dyDescent="0.25">
      <c r="A148" s="40" t="s">
        <v>604</v>
      </c>
      <c r="B148" s="41">
        <v>9.6999999999999993</v>
      </c>
      <c r="C148" s="41">
        <v>11.2</v>
      </c>
      <c r="D148" s="41">
        <v>11.2</v>
      </c>
      <c r="E148" s="42">
        <v>9.4</v>
      </c>
      <c r="F148" s="25" t="s">
        <v>140</v>
      </c>
    </row>
    <row r="149" spans="1:6" x14ac:dyDescent="0.25">
      <c r="A149" s="40" t="s">
        <v>605</v>
      </c>
      <c r="B149" s="41">
        <v>8.1</v>
      </c>
      <c r="C149" s="41">
        <v>11.2</v>
      </c>
      <c r="D149" s="41">
        <v>9.6999999999999993</v>
      </c>
      <c r="E149" s="42">
        <v>10.1</v>
      </c>
      <c r="F149" s="25" t="s">
        <v>140</v>
      </c>
    </row>
    <row r="150" spans="1:6" x14ac:dyDescent="0.25">
      <c r="A150" s="40" t="s">
        <v>606</v>
      </c>
      <c r="B150" s="41">
        <v>8.8000000000000007</v>
      </c>
      <c r="C150" s="41">
        <v>9.4</v>
      </c>
      <c r="D150" s="41">
        <v>14.5</v>
      </c>
      <c r="E150" s="42">
        <v>11.8</v>
      </c>
      <c r="F150" s="25" t="s">
        <v>140</v>
      </c>
    </row>
    <row r="151" spans="1:6" x14ac:dyDescent="0.25">
      <c r="A151" s="40" t="s">
        <v>607</v>
      </c>
      <c r="B151" s="41">
        <v>9.6</v>
      </c>
      <c r="C151" s="41">
        <v>14.1</v>
      </c>
      <c r="D151" s="41">
        <v>9.4</v>
      </c>
      <c r="E151" s="42">
        <v>8.1</v>
      </c>
      <c r="F151" s="25" t="s">
        <v>140</v>
      </c>
    </row>
    <row r="152" spans="1:6" x14ac:dyDescent="0.25">
      <c r="A152" s="40" t="s">
        <v>341</v>
      </c>
      <c r="B152" s="41">
        <v>15</v>
      </c>
      <c r="C152" s="41">
        <v>12</v>
      </c>
      <c r="D152" s="41"/>
      <c r="E152" s="42">
        <v>11.5</v>
      </c>
      <c r="F152" s="25" t="s">
        <v>140</v>
      </c>
    </row>
    <row r="153" spans="1:6" x14ac:dyDescent="0.25">
      <c r="A153" s="40" t="s">
        <v>608</v>
      </c>
      <c r="B153" s="41">
        <v>14.9</v>
      </c>
      <c r="C153" s="41">
        <v>12.1</v>
      </c>
      <c r="D153" s="41"/>
      <c r="E153" s="42">
        <v>11.3</v>
      </c>
      <c r="F153" s="25" t="s">
        <v>140</v>
      </c>
    </row>
    <row r="154" spans="1:6" x14ac:dyDescent="0.25">
      <c r="A154" s="40" t="s">
        <v>609</v>
      </c>
      <c r="B154" s="41">
        <v>12.1</v>
      </c>
      <c r="C154" s="41">
        <v>12.3</v>
      </c>
      <c r="D154" s="41"/>
      <c r="E154" s="42">
        <v>10.3</v>
      </c>
      <c r="F154" s="25" t="s">
        <v>140</v>
      </c>
    </row>
    <row r="155" spans="1:6" x14ac:dyDescent="0.25">
      <c r="A155" s="40" t="s">
        <v>610</v>
      </c>
      <c r="B155" s="41">
        <v>14.8</v>
      </c>
      <c r="C155" s="41">
        <v>12.1</v>
      </c>
      <c r="D155" s="41"/>
      <c r="E155" s="42">
        <v>11.1</v>
      </c>
      <c r="F155" s="25" t="s">
        <v>140</v>
      </c>
    </row>
    <row r="156" spans="1:6" x14ac:dyDescent="0.25">
      <c r="A156" s="40" t="s">
        <v>799</v>
      </c>
      <c r="B156" s="41"/>
      <c r="C156" s="41"/>
      <c r="D156" s="41"/>
      <c r="E156" s="42">
        <v>9.9</v>
      </c>
      <c r="F156" s="25" t="s">
        <v>139</v>
      </c>
    </row>
    <row r="157" spans="1:6" x14ac:dyDescent="0.25">
      <c r="A157" s="40" t="s">
        <v>46</v>
      </c>
      <c r="B157" s="41">
        <v>11</v>
      </c>
      <c r="C157" s="41">
        <v>22.8</v>
      </c>
      <c r="D157" s="41"/>
      <c r="E157" s="42">
        <v>1.9</v>
      </c>
      <c r="F157" s="25" t="s">
        <v>139</v>
      </c>
    </row>
    <row r="158" spans="1:6" x14ac:dyDescent="0.25">
      <c r="A158" s="40" t="s">
        <v>611</v>
      </c>
      <c r="B158" s="41">
        <v>9</v>
      </c>
      <c r="C158" s="41">
        <v>18.8</v>
      </c>
      <c r="D158" s="41"/>
      <c r="E158" s="42">
        <v>11</v>
      </c>
      <c r="F158" s="25" t="s">
        <v>139</v>
      </c>
    </row>
    <row r="159" spans="1:6" x14ac:dyDescent="0.25">
      <c r="A159" s="40" t="s">
        <v>612</v>
      </c>
      <c r="B159" s="41">
        <v>11.2</v>
      </c>
      <c r="C159" s="41">
        <v>22.4</v>
      </c>
      <c r="D159" s="41"/>
      <c r="E159" s="42">
        <v>1.9</v>
      </c>
      <c r="F159" s="25" t="s">
        <v>139</v>
      </c>
    </row>
    <row r="160" spans="1:6" x14ac:dyDescent="0.25">
      <c r="A160" s="40" t="s">
        <v>613</v>
      </c>
      <c r="B160" s="41">
        <v>10.5</v>
      </c>
      <c r="C160" s="41">
        <v>22.5</v>
      </c>
      <c r="D160" s="41"/>
      <c r="E160" s="42">
        <v>1</v>
      </c>
      <c r="F160" s="25" t="s">
        <v>139</v>
      </c>
    </row>
    <row r="161" spans="1:7" x14ac:dyDescent="0.25">
      <c r="A161" s="40" t="s">
        <v>614</v>
      </c>
      <c r="B161" s="41">
        <v>10.9</v>
      </c>
      <c r="C161" s="41">
        <v>22.7</v>
      </c>
      <c r="D161" s="41"/>
      <c r="E161" s="42">
        <v>1</v>
      </c>
      <c r="F161" s="25" t="s">
        <v>759</v>
      </c>
      <c r="G161" t="s">
        <v>56</v>
      </c>
    </row>
    <row r="162" spans="1:7" x14ac:dyDescent="0.25">
      <c r="A162" s="25" t="s">
        <v>800</v>
      </c>
      <c r="B162" s="41">
        <v>10.9</v>
      </c>
      <c r="C162" s="41">
        <v>22.6</v>
      </c>
      <c r="D162" s="41"/>
      <c r="E162" s="42">
        <v>1</v>
      </c>
      <c r="F162" s="25" t="s">
        <v>759</v>
      </c>
    </row>
    <row r="163" spans="1:7" x14ac:dyDescent="0.25">
      <c r="A163" s="25" t="s">
        <v>801</v>
      </c>
      <c r="B163" s="25">
        <v>12</v>
      </c>
      <c r="C163" s="25">
        <v>20</v>
      </c>
      <c r="D163" s="25"/>
      <c r="E163" s="25">
        <v>4.3</v>
      </c>
      <c r="F163" s="25" t="s">
        <v>141</v>
      </c>
      <c r="G163" t="s">
        <v>56</v>
      </c>
    </row>
    <row r="164" spans="1:7" x14ac:dyDescent="0.25">
      <c r="A164" s="40" t="s">
        <v>615</v>
      </c>
      <c r="B164" s="41">
        <v>11</v>
      </c>
      <c r="C164" s="41">
        <v>22.7</v>
      </c>
      <c r="D164" s="41"/>
      <c r="E164" s="42">
        <v>1.6</v>
      </c>
      <c r="F164" s="25" t="s">
        <v>139</v>
      </c>
      <c r="G164" t="s">
        <v>56</v>
      </c>
    </row>
    <row r="165" spans="1:7" x14ac:dyDescent="0.25">
      <c r="A165" s="40" t="s">
        <v>616</v>
      </c>
      <c r="B165" s="41">
        <v>11.5</v>
      </c>
      <c r="C165" s="41">
        <v>22.2</v>
      </c>
      <c r="D165" s="41"/>
      <c r="E165" s="42">
        <v>2.6</v>
      </c>
      <c r="F165" s="25" t="s">
        <v>139</v>
      </c>
      <c r="G165" t="s">
        <v>56</v>
      </c>
    </row>
    <row r="166" spans="1:7" x14ac:dyDescent="0.25">
      <c r="A166" s="40" t="s">
        <v>617</v>
      </c>
      <c r="B166" s="41">
        <v>10.8</v>
      </c>
      <c r="C166" s="41">
        <v>22.7</v>
      </c>
      <c r="D166" s="41"/>
      <c r="E166" s="42">
        <v>1.1000000000000001</v>
      </c>
      <c r="F166" s="25" t="s">
        <v>138</v>
      </c>
      <c r="G166" t="s">
        <v>56</v>
      </c>
    </row>
    <row r="167" spans="1:7" x14ac:dyDescent="0.25">
      <c r="A167" s="40" t="s">
        <v>618</v>
      </c>
      <c r="B167" s="41">
        <v>12.9</v>
      </c>
      <c r="C167" s="41">
        <v>17.899999999999999</v>
      </c>
      <c r="D167" s="41"/>
      <c r="E167" s="42">
        <v>5.6</v>
      </c>
      <c r="F167" s="25" t="s">
        <v>139</v>
      </c>
      <c r="G167" t="s">
        <v>56</v>
      </c>
    </row>
    <row r="168" spans="1:7" x14ac:dyDescent="0.25">
      <c r="A168" s="40" t="s">
        <v>619</v>
      </c>
      <c r="B168" s="41">
        <v>12.8</v>
      </c>
      <c r="C168" s="41">
        <v>17.7</v>
      </c>
      <c r="D168" s="41"/>
      <c r="E168" s="42">
        <v>5.5</v>
      </c>
      <c r="F168" s="25" t="s">
        <v>139</v>
      </c>
      <c r="G168" t="s">
        <v>56</v>
      </c>
    </row>
    <row r="169" spans="1:7" x14ac:dyDescent="0.25">
      <c r="A169" s="40" t="s">
        <v>620</v>
      </c>
      <c r="B169" s="41">
        <v>12</v>
      </c>
      <c r="C169" s="41">
        <v>21</v>
      </c>
      <c r="D169" s="41"/>
      <c r="E169" s="42">
        <v>4</v>
      </c>
      <c r="F169" s="25" t="s">
        <v>139</v>
      </c>
      <c r="G169" t="s">
        <v>56</v>
      </c>
    </row>
    <row r="170" spans="1:7" x14ac:dyDescent="0.25">
      <c r="A170" s="40" t="s">
        <v>621</v>
      </c>
      <c r="B170" s="41">
        <v>10.5</v>
      </c>
      <c r="C170" s="41">
        <v>19.899999999999999</v>
      </c>
      <c r="D170" s="41"/>
      <c r="E170" s="42">
        <v>7.5</v>
      </c>
      <c r="F170" s="25" t="s">
        <v>139</v>
      </c>
      <c r="G170" t="s">
        <v>56</v>
      </c>
    </row>
    <row r="171" spans="1:7" x14ac:dyDescent="0.25">
      <c r="A171" s="40" t="s">
        <v>622</v>
      </c>
      <c r="B171" s="41">
        <v>11.7</v>
      </c>
      <c r="C171" s="41">
        <v>21.6</v>
      </c>
      <c r="D171" s="41"/>
      <c r="E171" s="42">
        <v>3.3</v>
      </c>
      <c r="F171" s="25" t="s">
        <v>139</v>
      </c>
    </row>
    <row r="172" spans="1:7" x14ac:dyDescent="0.25">
      <c r="A172" s="40" t="s">
        <v>623</v>
      </c>
      <c r="B172" s="41">
        <v>10.4</v>
      </c>
      <c r="C172" s="41">
        <v>12</v>
      </c>
      <c r="D172" s="41">
        <v>12</v>
      </c>
      <c r="E172" s="42">
        <v>5.9</v>
      </c>
      <c r="F172" s="25" t="s">
        <v>139</v>
      </c>
    </row>
    <row r="173" spans="1:7" x14ac:dyDescent="0.25">
      <c r="A173" s="40" t="s">
        <v>624</v>
      </c>
      <c r="B173" s="41">
        <v>21</v>
      </c>
      <c r="C173" s="41"/>
      <c r="D173" s="41"/>
      <c r="E173" s="42">
        <v>24</v>
      </c>
      <c r="F173" s="25" t="s">
        <v>139</v>
      </c>
      <c r="G173" t="s">
        <v>56</v>
      </c>
    </row>
    <row r="174" spans="1:7" x14ac:dyDescent="0.25">
      <c r="A174" s="25" t="s">
        <v>802</v>
      </c>
      <c r="B174" s="25">
        <v>22</v>
      </c>
      <c r="C174" s="25"/>
      <c r="D174" s="25"/>
      <c r="E174" s="25">
        <v>6.2</v>
      </c>
      <c r="F174" s="25" t="s">
        <v>139</v>
      </c>
      <c r="G174" t="s">
        <v>56</v>
      </c>
    </row>
    <row r="175" spans="1:7" x14ac:dyDescent="0.25">
      <c r="A175" s="40" t="s">
        <v>625</v>
      </c>
      <c r="B175" s="41">
        <v>16.7</v>
      </c>
      <c r="C175" s="41">
        <v>10</v>
      </c>
      <c r="D175" s="41"/>
      <c r="E175" s="42">
        <v>14.5</v>
      </c>
      <c r="F175" s="25" t="s">
        <v>139</v>
      </c>
      <c r="G175" t="s">
        <v>56</v>
      </c>
    </row>
    <row r="176" spans="1:7" x14ac:dyDescent="0.25">
      <c r="A176" s="40" t="s">
        <v>626</v>
      </c>
      <c r="B176" s="41">
        <v>16.600000000000001</v>
      </c>
      <c r="C176" s="41">
        <v>9.1</v>
      </c>
      <c r="D176" s="41"/>
      <c r="E176" s="42">
        <v>14.1</v>
      </c>
      <c r="F176" s="25" t="s">
        <v>139</v>
      </c>
      <c r="G176" t="s">
        <v>56</v>
      </c>
    </row>
    <row r="177" spans="1:7" x14ac:dyDescent="0.25">
      <c r="A177" s="40" t="s">
        <v>627</v>
      </c>
      <c r="B177" s="41">
        <v>13.3</v>
      </c>
      <c r="C177" s="41">
        <v>18</v>
      </c>
      <c r="D177" s="41"/>
      <c r="E177" s="42">
        <v>6.8</v>
      </c>
      <c r="F177" s="25" t="s">
        <v>139</v>
      </c>
      <c r="G177" t="s">
        <v>56</v>
      </c>
    </row>
    <row r="178" spans="1:7" x14ac:dyDescent="0.25">
      <c r="A178" s="40" t="s">
        <v>628</v>
      </c>
      <c r="B178" s="41">
        <v>14.8</v>
      </c>
      <c r="C178" s="41">
        <v>14.2</v>
      </c>
      <c r="D178" s="41"/>
      <c r="E178" s="42">
        <v>10.1</v>
      </c>
      <c r="F178" s="25" t="s">
        <v>139</v>
      </c>
      <c r="G178" t="s">
        <v>56</v>
      </c>
    </row>
    <row r="179" spans="1:7" x14ac:dyDescent="0.25">
      <c r="A179" s="40" t="s">
        <v>629</v>
      </c>
      <c r="B179" s="41"/>
      <c r="C179" s="41"/>
      <c r="D179" s="41">
        <v>51</v>
      </c>
      <c r="E179" s="42">
        <v>0.7</v>
      </c>
      <c r="F179" s="25" t="s">
        <v>141</v>
      </c>
      <c r="G179" t="s">
        <v>56</v>
      </c>
    </row>
    <row r="180" spans="1:7" x14ac:dyDescent="0.25">
      <c r="A180" s="40" t="s">
        <v>630</v>
      </c>
      <c r="B180" s="41">
        <v>25.2</v>
      </c>
      <c r="C180" s="41">
        <v>4.3</v>
      </c>
      <c r="D180" s="41">
        <v>8.5</v>
      </c>
      <c r="E180" s="42">
        <v>2.4</v>
      </c>
      <c r="F180" s="25" t="s">
        <v>141</v>
      </c>
      <c r="G180" t="s">
        <v>56</v>
      </c>
    </row>
    <row r="181" spans="1:7" x14ac:dyDescent="0.25">
      <c r="A181" s="40" t="s">
        <v>631</v>
      </c>
      <c r="B181" s="41">
        <v>23</v>
      </c>
      <c r="C181" s="41"/>
      <c r="D181" s="41">
        <v>25</v>
      </c>
      <c r="E181" s="42">
        <v>0.4</v>
      </c>
      <c r="F181" s="25" t="s">
        <v>139</v>
      </c>
      <c r="G181" t="s">
        <v>56</v>
      </c>
    </row>
    <row r="182" spans="1:7" x14ac:dyDescent="0.25">
      <c r="A182" s="40" t="s">
        <v>632</v>
      </c>
      <c r="B182" s="41">
        <v>33.5</v>
      </c>
      <c r="C182" s="41"/>
      <c r="D182" s="41"/>
      <c r="E182" s="42">
        <v>12</v>
      </c>
      <c r="F182" s="25" t="s">
        <v>139</v>
      </c>
    </row>
    <row r="183" spans="1:7" x14ac:dyDescent="0.25">
      <c r="A183" s="40" t="s">
        <v>633</v>
      </c>
      <c r="B183" s="41">
        <v>23.9</v>
      </c>
      <c r="C183" s="41" t="s">
        <v>601</v>
      </c>
      <c r="D183" s="41">
        <v>23.8</v>
      </c>
      <c r="E183" s="42"/>
      <c r="F183" s="25" t="s">
        <v>138</v>
      </c>
    </row>
    <row r="184" spans="1:7" x14ac:dyDescent="0.25">
      <c r="A184" s="40" t="s">
        <v>634</v>
      </c>
      <c r="B184" s="41">
        <v>23.9</v>
      </c>
      <c r="C184" s="41"/>
      <c r="D184" s="41">
        <v>23.8</v>
      </c>
      <c r="E184" s="42"/>
      <c r="F184" s="25" t="s">
        <v>140</v>
      </c>
    </row>
    <row r="185" spans="1:7" x14ac:dyDescent="0.25">
      <c r="A185" s="40" t="s">
        <v>635</v>
      </c>
      <c r="B185" s="41">
        <v>31.7</v>
      </c>
      <c r="C185" s="41" t="s">
        <v>601</v>
      </c>
      <c r="D185" s="41">
        <v>15.3</v>
      </c>
      <c r="E185" s="42"/>
      <c r="F185" s="25" t="s">
        <v>138</v>
      </c>
    </row>
    <row r="186" spans="1:7" x14ac:dyDescent="0.25">
      <c r="A186" s="25" t="s">
        <v>803</v>
      </c>
      <c r="B186" s="25">
        <v>31.7</v>
      </c>
      <c r="C186" s="25"/>
      <c r="D186" s="25">
        <v>15.33</v>
      </c>
      <c r="F186" s="25" t="s">
        <v>140</v>
      </c>
    </row>
    <row r="187" spans="1:7" x14ac:dyDescent="0.25">
      <c r="A187" s="40" t="s">
        <v>804</v>
      </c>
      <c r="B187" s="41">
        <v>36.799999999999997</v>
      </c>
      <c r="C187" s="41" t="s">
        <v>601</v>
      </c>
      <c r="D187" s="41">
        <v>9.9</v>
      </c>
      <c r="E187" s="42"/>
      <c r="F187" s="25" t="s">
        <v>138</v>
      </c>
    </row>
    <row r="188" spans="1:7" x14ac:dyDescent="0.25">
      <c r="A188" s="25" t="s">
        <v>805</v>
      </c>
      <c r="B188" s="25">
        <v>22</v>
      </c>
      <c r="C188" s="25"/>
      <c r="D188" s="25">
        <v>14</v>
      </c>
      <c r="E188" s="25">
        <v>10.8</v>
      </c>
      <c r="F188" s="25" t="s">
        <v>139</v>
      </c>
    </row>
    <row r="189" spans="1:7" x14ac:dyDescent="0.25">
      <c r="A189" s="40" t="s">
        <v>637</v>
      </c>
      <c r="B189" s="41">
        <v>19</v>
      </c>
      <c r="C189" s="41"/>
      <c r="D189" s="41">
        <v>18.3</v>
      </c>
      <c r="E189" s="42">
        <v>5.5</v>
      </c>
      <c r="F189" s="25" t="s">
        <v>140</v>
      </c>
    </row>
    <row r="190" spans="1:7" x14ac:dyDescent="0.25">
      <c r="A190" s="40" t="s">
        <v>638</v>
      </c>
      <c r="B190" s="41">
        <v>28.8</v>
      </c>
      <c r="C190" s="41"/>
      <c r="D190" s="41">
        <v>12.4</v>
      </c>
      <c r="E190" s="42">
        <v>6</v>
      </c>
      <c r="F190" s="25" t="s">
        <v>138</v>
      </c>
    </row>
    <row r="191" spans="1:7" x14ac:dyDescent="0.25">
      <c r="A191" s="40" t="s">
        <v>636</v>
      </c>
      <c r="B191" s="41">
        <v>28.3</v>
      </c>
      <c r="C191" s="41"/>
      <c r="D191" s="41">
        <v>12.4</v>
      </c>
      <c r="E191" s="42">
        <v>9.6</v>
      </c>
      <c r="F191" s="25" t="s">
        <v>140</v>
      </c>
    </row>
    <row r="192" spans="1:7" x14ac:dyDescent="0.25">
      <c r="A192" s="40" t="s">
        <v>806</v>
      </c>
      <c r="B192" s="41">
        <v>22.6</v>
      </c>
      <c r="C192" s="41"/>
      <c r="D192" s="41">
        <v>16.3</v>
      </c>
      <c r="E192" s="42">
        <v>5.5</v>
      </c>
      <c r="F192" s="25" t="s">
        <v>138</v>
      </c>
    </row>
    <row r="193" spans="1:6" x14ac:dyDescent="0.25">
      <c r="A193" s="40" t="s">
        <v>640</v>
      </c>
      <c r="B193" s="41">
        <v>25.1</v>
      </c>
      <c r="C193" s="41"/>
      <c r="D193" s="41">
        <v>16.3</v>
      </c>
      <c r="E193" s="42">
        <v>6.7</v>
      </c>
      <c r="F193" s="25" t="s">
        <v>140</v>
      </c>
    </row>
    <row r="194" spans="1:6" x14ac:dyDescent="0.25">
      <c r="A194" s="40" t="s">
        <v>639</v>
      </c>
      <c r="B194" s="41">
        <v>26.6</v>
      </c>
      <c r="C194" s="41"/>
      <c r="D194" s="41">
        <v>13.4</v>
      </c>
      <c r="E194" s="42"/>
      <c r="F194" s="25" t="s">
        <v>138</v>
      </c>
    </row>
    <row r="195" spans="1:6" x14ac:dyDescent="0.25">
      <c r="A195" s="40" t="s">
        <v>641</v>
      </c>
      <c r="B195" s="41">
        <v>12</v>
      </c>
      <c r="C195" s="41">
        <v>5.2</v>
      </c>
      <c r="D195" s="41">
        <v>14.1</v>
      </c>
      <c r="E195" s="42">
        <v>7</v>
      </c>
      <c r="F195" s="25" t="s">
        <v>807</v>
      </c>
    </row>
    <row r="196" spans="1:6" x14ac:dyDescent="0.25">
      <c r="A196" s="40" t="s">
        <v>642</v>
      </c>
      <c r="B196" s="41">
        <v>14.5</v>
      </c>
      <c r="C196" s="41">
        <v>1.9</v>
      </c>
      <c r="D196" s="41">
        <v>14.4</v>
      </c>
      <c r="E196" s="42">
        <v>16.2</v>
      </c>
      <c r="F196" s="25" t="s">
        <v>138</v>
      </c>
    </row>
    <row r="197" spans="1:6" x14ac:dyDescent="0.25">
      <c r="A197" s="40" t="s">
        <v>643</v>
      </c>
      <c r="B197" s="41">
        <v>30.3</v>
      </c>
      <c r="C197" s="41"/>
      <c r="D197" s="41"/>
      <c r="E197" s="42">
        <v>15.1</v>
      </c>
      <c r="F197" s="25" t="s">
        <v>138</v>
      </c>
    </row>
    <row r="198" spans="1:6" x14ac:dyDescent="0.25">
      <c r="A198" s="40" t="s">
        <v>645</v>
      </c>
      <c r="B198" s="41">
        <v>34.299999999999997</v>
      </c>
      <c r="C198" s="41"/>
      <c r="D198" s="41"/>
      <c r="E198" s="42">
        <v>11.3</v>
      </c>
      <c r="F198" s="25" t="s">
        <v>140</v>
      </c>
    </row>
    <row r="199" spans="1:6" x14ac:dyDescent="0.25">
      <c r="A199" s="40" t="s">
        <v>644</v>
      </c>
      <c r="B199" s="41">
        <v>32.5</v>
      </c>
      <c r="C199" s="41"/>
      <c r="D199" s="41"/>
      <c r="E199" s="42">
        <v>13</v>
      </c>
      <c r="F199" s="25" t="s">
        <v>138</v>
      </c>
    </row>
    <row r="200" spans="1:6" x14ac:dyDescent="0.25">
      <c r="A200" s="40" t="s">
        <v>646</v>
      </c>
      <c r="B200" s="41">
        <v>35</v>
      </c>
      <c r="C200" s="41"/>
      <c r="D200" s="41"/>
      <c r="E200" s="42">
        <v>10.6</v>
      </c>
      <c r="F200" s="25" t="s">
        <v>138</v>
      </c>
    </row>
    <row r="201" spans="1:6" x14ac:dyDescent="0.25">
      <c r="A201" s="40" t="s">
        <v>647</v>
      </c>
      <c r="B201" s="41">
        <v>36.5</v>
      </c>
      <c r="C201" s="41"/>
      <c r="D201" s="41"/>
      <c r="E201" s="42">
        <v>9.1</v>
      </c>
      <c r="F201" s="25" t="s">
        <v>140</v>
      </c>
    </row>
    <row r="202" spans="1:6" x14ac:dyDescent="0.25">
      <c r="A202" s="40" t="s">
        <v>648</v>
      </c>
      <c r="B202" s="41">
        <v>36.799999999999997</v>
      </c>
      <c r="C202" s="41"/>
      <c r="D202" s="41"/>
      <c r="E202" s="42">
        <v>8.9</v>
      </c>
      <c r="F202" s="25" t="s">
        <v>138</v>
      </c>
    </row>
    <row r="203" spans="1:6" x14ac:dyDescent="0.25">
      <c r="A203" s="40" t="s">
        <v>649</v>
      </c>
      <c r="B203" s="41">
        <v>38</v>
      </c>
      <c r="C203" s="41"/>
      <c r="D203" s="41"/>
      <c r="E203" s="42">
        <v>7.7</v>
      </c>
      <c r="F203" s="25" t="s">
        <v>140</v>
      </c>
    </row>
    <row r="204" spans="1:6" x14ac:dyDescent="0.25">
      <c r="A204" s="40" t="s">
        <v>650</v>
      </c>
      <c r="B204" s="41">
        <v>38</v>
      </c>
      <c r="C204" s="41"/>
      <c r="D204" s="41"/>
      <c r="E204" s="42">
        <v>7.7</v>
      </c>
      <c r="F204" s="25" t="s">
        <v>138</v>
      </c>
    </row>
    <row r="205" spans="1:6" x14ac:dyDescent="0.25">
      <c r="A205" s="40" t="s">
        <v>651</v>
      </c>
      <c r="B205" s="41">
        <v>39.299999999999997</v>
      </c>
      <c r="C205" s="41"/>
      <c r="D205" s="41"/>
      <c r="E205" s="42">
        <v>6.5</v>
      </c>
      <c r="F205" s="25" t="s">
        <v>140</v>
      </c>
    </row>
    <row r="206" spans="1:6" x14ac:dyDescent="0.25">
      <c r="A206" s="40" t="s">
        <v>652</v>
      </c>
      <c r="B206" s="41">
        <v>13.3</v>
      </c>
      <c r="C206" s="41">
        <v>17.600000000000001</v>
      </c>
      <c r="D206" s="41"/>
      <c r="E206" s="42">
        <v>6.4</v>
      </c>
      <c r="F206" s="25" t="s">
        <v>140</v>
      </c>
    </row>
    <row r="207" spans="1:6" x14ac:dyDescent="0.25">
      <c r="A207" s="40" t="s">
        <v>653</v>
      </c>
      <c r="B207" s="41">
        <v>17.399999999999999</v>
      </c>
      <c r="C207" s="41">
        <v>8.1999999999999993</v>
      </c>
      <c r="D207" s="41"/>
      <c r="E207" s="42">
        <v>15.8</v>
      </c>
      <c r="F207" s="25" t="s">
        <v>140</v>
      </c>
    </row>
    <row r="208" spans="1:6" x14ac:dyDescent="0.25">
      <c r="A208" s="40" t="s">
        <v>654</v>
      </c>
      <c r="B208" s="41">
        <v>14.9</v>
      </c>
      <c r="C208" s="41">
        <v>13.9</v>
      </c>
      <c r="D208" s="41"/>
      <c r="E208" s="42">
        <v>10.1</v>
      </c>
      <c r="F208" s="25" t="s">
        <v>140</v>
      </c>
    </row>
    <row r="209" spans="1:6" x14ac:dyDescent="0.25">
      <c r="A209" s="40" t="s">
        <v>655</v>
      </c>
      <c r="B209" s="41">
        <v>10.9</v>
      </c>
      <c r="C209" s="41">
        <v>12.1</v>
      </c>
      <c r="D209" s="41">
        <v>11.4</v>
      </c>
      <c r="E209" s="42">
        <v>6.4</v>
      </c>
      <c r="F209" s="25" t="s">
        <v>140</v>
      </c>
    </row>
    <row r="210" spans="1:6" x14ac:dyDescent="0.25">
      <c r="A210" s="40" t="s">
        <v>656</v>
      </c>
      <c r="B210" s="41"/>
      <c r="C210" s="41">
        <v>18.2</v>
      </c>
      <c r="D210" s="41"/>
      <c r="E210" s="42">
        <v>10</v>
      </c>
      <c r="F210" s="25" t="s">
        <v>139</v>
      </c>
    </row>
    <row r="211" spans="1:6" x14ac:dyDescent="0.25">
      <c r="A211" s="40" t="s">
        <v>657</v>
      </c>
      <c r="B211" s="41"/>
      <c r="C211" s="41">
        <v>17.100000000000001</v>
      </c>
      <c r="D211" s="41"/>
      <c r="E211" s="42">
        <v>14.8</v>
      </c>
      <c r="F211" s="25" t="s">
        <v>139</v>
      </c>
    </row>
    <row r="212" spans="1:6" x14ac:dyDescent="0.25">
      <c r="A212" s="40" t="s">
        <v>658</v>
      </c>
      <c r="B212" s="41"/>
      <c r="C212" s="41">
        <v>10.5</v>
      </c>
      <c r="D212" s="41">
        <v>19</v>
      </c>
      <c r="E212" s="42">
        <v>9.6999999999999993</v>
      </c>
      <c r="F212" s="25" t="s">
        <v>139</v>
      </c>
    </row>
    <row r="213" spans="1:6" x14ac:dyDescent="0.25">
      <c r="A213" s="40" t="s">
        <v>659</v>
      </c>
      <c r="B213" s="41"/>
      <c r="C213" s="41">
        <v>18.7</v>
      </c>
      <c r="D213" s="41"/>
      <c r="E213" s="42">
        <v>6</v>
      </c>
      <c r="F213" s="25" t="s">
        <v>139</v>
      </c>
    </row>
    <row r="214" spans="1:6" x14ac:dyDescent="0.25">
      <c r="A214" s="40" t="s">
        <v>660</v>
      </c>
      <c r="B214" s="41"/>
      <c r="C214" s="41">
        <v>6.4</v>
      </c>
      <c r="D214" s="41">
        <v>32.5</v>
      </c>
      <c r="E214" s="42">
        <v>3.9</v>
      </c>
      <c r="F214" s="25" t="s">
        <v>139</v>
      </c>
    </row>
    <row r="215" spans="1:6" x14ac:dyDescent="0.25">
      <c r="A215" s="40" t="s">
        <v>661</v>
      </c>
      <c r="B215" s="41"/>
      <c r="C215" s="41">
        <v>9.1</v>
      </c>
      <c r="D215" s="41">
        <v>25</v>
      </c>
      <c r="E215" s="42">
        <v>5.3</v>
      </c>
      <c r="F215" s="25" t="s">
        <v>139</v>
      </c>
    </row>
    <row r="216" spans="1:6" x14ac:dyDescent="0.25">
      <c r="A216" s="40" t="s">
        <v>662</v>
      </c>
      <c r="B216" s="41"/>
      <c r="C216" s="41">
        <v>10.9</v>
      </c>
      <c r="D216" s="41">
        <v>20</v>
      </c>
      <c r="E216" s="42">
        <v>6.3</v>
      </c>
      <c r="F216" s="25" t="s">
        <v>139</v>
      </c>
    </row>
    <row r="217" spans="1:6" x14ac:dyDescent="0.25">
      <c r="A217" s="40" t="s">
        <v>663</v>
      </c>
      <c r="B217" s="41"/>
      <c r="C217" s="41">
        <v>7.8</v>
      </c>
      <c r="D217" s="41">
        <v>28.5</v>
      </c>
      <c r="E217" s="42">
        <v>4.7</v>
      </c>
      <c r="F217" s="25" t="s">
        <v>139</v>
      </c>
    </row>
    <row r="218" spans="1:6" x14ac:dyDescent="0.25">
      <c r="A218" s="40" t="s">
        <v>664</v>
      </c>
      <c r="B218" s="41"/>
      <c r="C218" s="41">
        <v>12.2</v>
      </c>
      <c r="D218" s="41">
        <v>16.5</v>
      </c>
      <c r="E218" s="42">
        <v>6.9</v>
      </c>
      <c r="F218" s="25" t="s">
        <v>139</v>
      </c>
    </row>
    <row r="219" spans="1:6" x14ac:dyDescent="0.25">
      <c r="A219" s="40" t="s">
        <v>665</v>
      </c>
      <c r="B219" s="41"/>
      <c r="C219" s="41">
        <v>13.1</v>
      </c>
      <c r="D219" s="41">
        <v>14</v>
      </c>
      <c r="E219" s="42">
        <v>7.4</v>
      </c>
      <c r="F219" s="25" t="s">
        <v>139</v>
      </c>
    </row>
    <row r="220" spans="1:6" x14ac:dyDescent="0.25">
      <c r="A220" s="25" t="s">
        <v>808</v>
      </c>
      <c r="B220" s="25">
        <v>8.6</v>
      </c>
      <c r="C220" s="25">
        <v>6.5</v>
      </c>
      <c r="D220" s="25">
        <v>7.5</v>
      </c>
      <c r="E220" s="42">
        <v>12.2</v>
      </c>
      <c r="F220" s="25" t="s">
        <v>141</v>
      </c>
    </row>
    <row r="221" spans="1:6" x14ac:dyDescent="0.25">
      <c r="A221" s="25" t="s">
        <v>809</v>
      </c>
      <c r="B221" s="25">
        <v>8.8000000000000007</v>
      </c>
      <c r="C221" s="25">
        <v>6.7</v>
      </c>
      <c r="D221" s="25">
        <v>8</v>
      </c>
      <c r="E221" s="42">
        <v>11.7</v>
      </c>
      <c r="F221" s="25" t="s">
        <v>141</v>
      </c>
    </row>
    <row r="222" spans="1:6" x14ac:dyDescent="0.25">
      <c r="A222" s="40" t="s">
        <v>666</v>
      </c>
      <c r="B222" s="41">
        <v>4</v>
      </c>
      <c r="C222" s="41">
        <v>7</v>
      </c>
      <c r="D222" s="41">
        <v>7</v>
      </c>
      <c r="E222" s="42">
        <v>11</v>
      </c>
      <c r="F222" s="25" t="s">
        <v>810</v>
      </c>
    </row>
    <row r="223" spans="1:6" x14ac:dyDescent="0.25">
      <c r="A223" s="40" t="s">
        <v>667</v>
      </c>
      <c r="B223" s="41">
        <v>7.3</v>
      </c>
      <c r="C223" s="41">
        <v>12.7</v>
      </c>
      <c r="D223" s="41">
        <v>11.3</v>
      </c>
      <c r="E223" s="42">
        <v>7</v>
      </c>
      <c r="F223" s="25" t="s">
        <v>139</v>
      </c>
    </row>
    <row r="224" spans="1:6" x14ac:dyDescent="0.25">
      <c r="A224" s="40" t="s">
        <v>668</v>
      </c>
      <c r="B224" s="41">
        <v>21</v>
      </c>
      <c r="C224" s="41"/>
      <c r="D224" s="41"/>
      <c r="E224" s="42">
        <v>24</v>
      </c>
      <c r="F224" s="25" t="s">
        <v>140</v>
      </c>
    </row>
    <row r="225" spans="1:6" x14ac:dyDescent="0.25">
      <c r="A225" s="40" t="s">
        <v>669</v>
      </c>
      <c r="B225" s="41"/>
      <c r="C225" s="41"/>
      <c r="D225" s="41">
        <v>41.5</v>
      </c>
      <c r="E225" s="42">
        <v>17</v>
      </c>
      <c r="F225" s="25" t="s">
        <v>140</v>
      </c>
    </row>
    <row r="226" spans="1:6" x14ac:dyDescent="0.25">
      <c r="A226" s="40" t="s">
        <v>670</v>
      </c>
      <c r="B226" s="41">
        <v>15.8</v>
      </c>
      <c r="C226" s="41"/>
      <c r="D226" s="41">
        <v>12.5</v>
      </c>
      <c r="E226" s="42">
        <v>18.2</v>
      </c>
      <c r="F226" s="25" t="s">
        <v>141</v>
      </c>
    </row>
    <row r="227" spans="1:6" x14ac:dyDescent="0.25">
      <c r="A227" s="40" t="s">
        <v>671</v>
      </c>
      <c r="B227" s="41">
        <v>14.4</v>
      </c>
      <c r="C227" s="41">
        <v>2.5</v>
      </c>
      <c r="D227" s="41">
        <v>12.4</v>
      </c>
      <c r="E227" s="42">
        <v>15.3</v>
      </c>
      <c r="F227" s="25" t="s">
        <v>140</v>
      </c>
    </row>
    <row r="228" spans="1:6" x14ac:dyDescent="0.25">
      <c r="A228" s="40" t="s">
        <v>672</v>
      </c>
      <c r="B228" s="41"/>
      <c r="C228" s="41">
        <v>8.8000000000000007</v>
      </c>
      <c r="D228" s="41"/>
      <c r="E228" s="42">
        <v>11.5</v>
      </c>
      <c r="F228" s="25" t="s">
        <v>138</v>
      </c>
    </row>
    <row r="229" spans="1:6" x14ac:dyDescent="0.25">
      <c r="A229" s="40" t="s">
        <v>673</v>
      </c>
      <c r="B229" s="41"/>
      <c r="C229" s="41">
        <v>8.6999999999999993</v>
      </c>
      <c r="D229" s="41"/>
      <c r="E229" s="42">
        <v>11.4</v>
      </c>
      <c r="F229" s="25" t="s">
        <v>138</v>
      </c>
    </row>
    <row r="230" spans="1:6" x14ac:dyDescent="0.25">
      <c r="A230" s="40" t="s">
        <v>674</v>
      </c>
      <c r="B230" s="41"/>
      <c r="C230" s="41">
        <v>8.6999999999999993</v>
      </c>
      <c r="D230" s="41"/>
      <c r="E230" s="42">
        <v>11.4</v>
      </c>
      <c r="F230" s="25" t="s">
        <v>138</v>
      </c>
    </row>
    <row r="231" spans="1:6" x14ac:dyDescent="0.25">
      <c r="A231" s="25" t="s">
        <v>811</v>
      </c>
      <c r="B231" s="25"/>
      <c r="C231" s="25">
        <v>8.6999999999999993</v>
      </c>
      <c r="D231" s="25"/>
      <c r="E231" s="25">
        <v>11.4</v>
      </c>
      <c r="F231" s="25" t="s">
        <v>138</v>
      </c>
    </row>
    <row r="232" spans="1:6" x14ac:dyDescent="0.25">
      <c r="A232" s="40" t="s">
        <v>675</v>
      </c>
      <c r="B232" s="41">
        <v>21</v>
      </c>
      <c r="C232" s="41"/>
      <c r="D232" s="41"/>
      <c r="E232" s="42">
        <v>24</v>
      </c>
      <c r="F232" s="25" t="s">
        <v>138</v>
      </c>
    </row>
    <row r="233" spans="1:6" x14ac:dyDescent="0.25">
      <c r="A233" s="40" t="s">
        <v>676</v>
      </c>
      <c r="B233" s="41"/>
      <c r="C233" s="41"/>
      <c r="D233" s="41">
        <v>41.5</v>
      </c>
      <c r="E233" s="42">
        <v>17</v>
      </c>
      <c r="F233" s="25" t="s">
        <v>139</v>
      </c>
    </row>
    <row r="234" spans="1:6" x14ac:dyDescent="0.25">
      <c r="A234" s="40" t="s">
        <v>677</v>
      </c>
      <c r="B234" s="41">
        <v>12.1</v>
      </c>
      <c r="C234" s="41">
        <v>4.7</v>
      </c>
      <c r="D234" s="41">
        <v>10.5</v>
      </c>
      <c r="E234" s="42">
        <v>15.5</v>
      </c>
      <c r="F234" s="25" t="s">
        <v>139</v>
      </c>
    </row>
    <row r="235" spans="1:6" x14ac:dyDescent="0.25">
      <c r="A235" s="40" t="s">
        <v>678</v>
      </c>
      <c r="B235" s="41">
        <v>7.9</v>
      </c>
      <c r="C235" s="41">
        <v>12.5</v>
      </c>
      <c r="D235" s="41">
        <v>9.5</v>
      </c>
      <c r="E235" s="42">
        <v>6.8</v>
      </c>
      <c r="F235" s="25" t="s">
        <v>138</v>
      </c>
    </row>
    <row r="236" spans="1:6" x14ac:dyDescent="0.25">
      <c r="A236" s="40" t="s">
        <v>679</v>
      </c>
      <c r="B236" s="41"/>
      <c r="C236" s="41">
        <v>9</v>
      </c>
      <c r="D236" s="41"/>
      <c r="E236" s="42">
        <v>10.8</v>
      </c>
      <c r="F236" s="25" t="s">
        <v>141</v>
      </c>
    </row>
    <row r="237" spans="1:6" x14ac:dyDescent="0.25">
      <c r="A237" s="40" t="s">
        <v>680</v>
      </c>
      <c r="B237" s="41"/>
      <c r="C237" s="41">
        <v>13.6</v>
      </c>
      <c r="D237" s="41"/>
      <c r="E237" s="42">
        <v>10.5</v>
      </c>
      <c r="F237" s="25" t="s">
        <v>139</v>
      </c>
    </row>
    <row r="238" spans="1:6" x14ac:dyDescent="0.25">
      <c r="A238" s="40" t="s">
        <v>681</v>
      </c>
      <c r="B238" s="41"/>
      <c r="C238" s="41">
        <v>13.8</v>
      </c>
      <c r="D238" s="41"/>
      <c r="E238" s="42">
        <v>17.2</v>
      </c>
      <c r="F238" s="25" t="s">
        <v>139</v>
      </c>
    </row>
    <row r="239" spans="1:6" x14ac:dyDescent="0.25">
      <c r="A239" s="40" t="s">
        <v>682</v>
      </c>
      <c r="B239" s="41"/>
      <c r="C239" s="41">
        <v>5.5</v>
      </c>
      <c r="D239" s="41">
        <v>30</v>
      </c>
      <c r="E239" s="42">
        <v>4.5999999999999996</v>
      </c>
      <c r="F239" s="25" t="s">
        <v>139</v>
      </c>
    </row>
    <row r="240" spans="1:6" x14ac:dyDescent="0.25">
      <c r="A240" s="40" t="s">
        <v>683</v>
      </c>
      <c r="B240" s="41"/>
      <c r="C240" s="41">
        <v>7.9</v>
      </c>
      <c r="D240" s="41">
        <v>21</v>
      </c>
      <c r="E240" s="42">
        <v>6.4</v>
      </c>
      <c r="F240" s="25" t="s">
        <v>139</v>
      </c>
    </row>
    <row r="241" spans="1:6" x14ac:dyDescent="0.25">
      <c r="A241" s="40" t="s">
        <v>684</v>
      </c>
      <c r="B241" s="41"/>
      <c r="C241" s="41">
        <v>8.6999999999999993</v>
      </c>
      <c r="D241" s="41">
        <v>18</v>
      </c>
      <c r="E241" s="42">
        <v>7</v>
      </c>
      <c r="F241" s="25" t="s">
        <v>139</v>
      </c>
    </row>
    <row r="242" spans="1:6" x14ac:dyDescent="0.25">
      <c r="A242" s="40" t="s">
        <v>685</v>
      </c>
      <c r="B242" s="41"/>
      <c r="C242" s="41">
        <v>6.8</v>
      </c>
      <c r="D242" s="41">
        <v>25</v>
      </c>
      <c r="E242" s="42">
        <v>5.6</v>
      </c>
      <c r="F242" s="25" t="s">
        <v>139</v>
      </c>
    </row>
    <row r="243" spans="1:6" x14ac:dyDescent="0.25">
      <c r="A243" s="40" t="s">
        <v>686</v>
      </c>
      <c r="B243" s="41"/>
      <c r="C243" s="41">
        <v>10</v>
      </c>
      <c r="D243" s="41">
        <v>13.5</v>
      </c>
      <c r="E243" s="42">
        <v>7.8</v>
      </c>
      <c r="F243" s="25" t="s">
        <v>139</v>
      </c>
    </row>
    <row r="244" spans="1:6" x14ac:dyDescent="0.25">
      <c r="A244" s="40" t="s">
        <v>687</v>
      </c>
      <c r="B244" s="41"/>
      <c r="C244" s="41">
        <v>10.4</v>
      </c>
      <c r="D244" s="41">
        <v>12</v>
      </c>
      <c r="E244" s="42">
        <v>8.1</v>
      </c>
      <c r="F244" s="25" t="s">
        <v>139</v>
      </c>
    </row>
    <row r="245" spans="1:6" x14ac:dyDescent="0.25">
      <c r="A245" s="40" t="s">
        <v>688</v>
      </c>
      <c r="B245" s="41"/>
      <c r="C245" s="41">
        <v>8.4</v>
      </c>
      <c r="D245" s="41"/>
      <c r="E245" s="42">
        <v>11.5</v>
      </c>
      <c r="F245" s="25" t="s">
        <v>140</v>
      </c>
    </row>
    <row r="246" spans="1:6" x14ac:dyDescent="0.25">
      <c r="A246" s="40" t="s">
        <v>689</v>
      </c>
      <c r="B246" s="41"/>
      <c r="C246" s="41">
        <v>8.3000000000000007</v>
      </c>
      <c r="D246" s="41"/>
      <c r="E246" s="42"/>
      <c r="F246" s="25" t="s">
        <v>140</v>
      </c>
    </row>
    <row r="247" spans="1:6" x14ac:dyDescent="0.25">
      <c r="A247" s="40" t="s">
        <v>690</v>
      </c>
      <c r="B247" s="41"/>
      <c r="C247" s="41">
        <v>8.6999999999999993</v>
      </c>
      <c r="D247" s="41"/>
      <c r="E247" s="42">
        <v>11.4</v>
      </c>
      <c r="F247" s="25" t="s">
        <v>140</v>
      </c>
    </row>
    <row r="248" spans="1:6" x14ac:dyDescent="0.25">
      <c r="A248" s="40" t="s">
        <v>691</v>
      </c>
      <c r="B248" s="41"/>
      <c r="C248" s="41">
        <v>6.5</v>
      </c>
      <c r="D248" s="41">
        <v>12.4</v>
      </c>
      <c r="E248" s="42">
        <v>8.6</v>
      </c>
      <c r="F248" s="25" t="s">
        <v>140</v>
      </c>
    </row>
    <row r="249" spans="1:6" x14ac:dyDescent="0.25">
      <c r="A249" s="40" t="s">
        <v>692</v>
      </c>
      <c r="B249" s="41"/>
      <c r="C249" s="41">
        <v>7</v>
      </c>
      <c r="D249" s="41">
        <v>9.9</v>
      </c>
      <c r="E249" s="42">
        <v>9.1</v>
      </c>
      <c r="F249" s="25" t="s">
        <v>140</v>
      </c>
    </row>
    <row r="250" spans="1:6" x14ac:dyDescent="0.25">
      <c r="A250" s="40" t="s">
        <v>693</v>
      </c>
      <c r="B250" s="41"/>
      <c r="C250" s="41">
        <v>7.2</v>
      </c>
      <c r="D250" s="41">
        <v>8.4</v>
      </c>
      <c r="E250" s="42">
        <v>9.5</v>
      </c>
      <c r="F250" s="25" t="s">
        <v>140</v>
      </c>
    </row>
    <row r="251" spans="1:6" x14ac:dyDescent="0.25">
      <c r="A251" s="40" t="s">
        <v>694</v>
      </c>
      <c r="B251" s="41"/>
      <c r="C251" s="41">
        <v>4.4000000000000004</v>
      </c>
      <c r="D251" s="41">
        <v>24.8</v>
      </c>
      <c r="E251" s="42">
        <v>5.8</v>
      </c>
      <c r="F251" s="25" t="s">
        <v>140</v>
      </c>
    </row>
    <row r="252" spans="1:6" x14ac:dyDescent="0.25">
      <c r="A252" s="40" t="s">
        <v>695</v>
      </c>
      <c r="B252" s="41"/>
      <c r="C252" s="41">
        <v>5.8</v>
      </c>
      <c r="D252" s="41">
        <v>16.3</v>
      </c>
      <c r="E252" s="42">
        <v>7.7</v>
      </c>
      <c r="F252" s="25" t="s">
        <v>138</v>
      </c>
    </row>
    <row r="253" spans="1:6" x14ac:dyDescent="0.25">
      <c r="A253" s="40" t="s">
        <v>696</v>
      </c>
      <c r="B253" s="41"/>
      <c r="C253" s="41">
        <v>6.5</v>
      </c>
      <c r="D253" s="41">
        <v>12.4</v>
      </c>
      <c r="E253" s="42">
        <v>8.6</v>
      </c>
      <c r="F253" s="25" t="s">
        <v>138</v>
      </c>
    </row>
    <row r="254" spans="1:6" x14ac:dyDescent="0.25">
      <c r="A254" s="40" t="s">
        <v>697</v>
      </c>
      <c r="B254" s="41"/>
      <c r="C254" s="41">
        <v>5.2</v>
      </c>
      <c r="D254" s="41">
        <v>19.8</v>
      </c>
      <c r="E254" s="42">
        <v>6.3</v>
      </c>
      <c r="F254" s="25" t="s">
        <v>138</v>
      </c>
    </row>
    <row r="255" spans="1:6" x14ac:dyDescent="0.25">
      <c r="A255" s="40" t="s">
        <v>698</v>
      </c>
      <c r="B255" s="41"/>
      <c r="C255" s="41">
        <v>7</v>
      </c>
      <c r="D255" s="41">
        <v>9.9</v>
      </c>
      <c r="E255" s="42">
        <v>9.1999999999999993</v>
      </c>
      <c r="F255" s="25" t="s">
        <v>138</v>
      </c>
    </row>
    <row r="256" spans="1:6" x14ac:dyDescent="0.25">
      <c r="A256" s="40" t="s">
        <v>699</v>
      </c>
      <c r="B256" s="41"/>
      <c r="C256" s="41">
        <v>7.2</v>
      </c>
      <c r="D256" s="41">
        <v>8.4</v>
      </c>
      <c r="E256" s="42">
        <v>9.5</v>
      </c>
      <c r="F256" s="25" t="s">
        <v>138</v>
      </c>
    </row>
    <row r="257" spans="1:6" x14ac:dyDescent="0.25">
      <c r="A257" s="40" t="s">
        <v>700</v>
      </c>
      <c r="B257" s="41"/>
      <c r="C257" s="41">
        <v>9.1</v>
      </c>
      <c r="D257" s="41"/>
      <c r="E257" s="42">
        <v>9.4</v>
      </c>
      <c r="F257" s="25" t="s">
        <v>140</v>
      </c>
    </row>
    <row r="258" spans="1:6" x14ac:dyDescent="0.25">
      <c r="A258" s="40" t="s">
        <v>701</v>
      </c>
      <c r="B258" s="41"/>
      <c r="C258" s="41">
        <v>6.8</v>
      </c>
      <c r="D258" s="41">
        <v>12.4</v>
      </c>
      <c r="E258" s="42">
        <v>7.1</v>
      </c>
      <c r="F258" s="25" t="s">
        <v>140</v>
      </c>
    </row>
    <row r="259" spans="1:6" x14ac:dyDescent="0.25">
      <c r="A259" s="40" t="s">
        <v>702</v>
      </c>
      <c r="B259" s="41"/>
      <c r="C259" s="41">
        <v>7.3</v>
      </c>
      <c r="D259" s="41">
        <v>9.9</v>
      </c>
      <c r="E259" s="42">
        <v>7.5</v>
      </c>
      <c r="F259" s="25" t="s">
        <v>140</v>
      </c>
    </row>
    <row r="260" spans="1:6" x14ac:dyDescent="0.25">
      <c r="A260" s="40" t="s">
        <v>703</v>
      </c>
      <c r="B260" s="41"/>
      <c r="C260" s="41">
        <v>7.5</v>
      </c>
      <c r="D260" s="41">
        <v>8.4</v>
      </c>
      <c r="E260" s="42">
        <v>7.8</v>
      </c>
      <c r="F260" s="25" t="s">
        <v>140</v>
      </c>
    </row>
    <row r="261" spans="1:6" x14ac:dyDescent="0.25">
      <c r="A261" s="40" t="s">
        <v>704</v>
      </c>
      <c r="B261" s="41">
        <v>12</v>
      </c>
      <c r="C261" s="41">
        <v>6.5</v>
      </c>
      <c r="D261" s="41">
        <v>12.4</v>
      </c>
      <c r="E261" s="42">
        <v>9.8000000000000007</v>
      </c>
      <c r="F261" s="25" t="s">
        <v>138</v>
      </c>
    </row>
    <row r="262" spans="1:6" x14ac:dyDescent="0.25">
      <c r="A262" s="40" t="s">
        <v>705</v>
      </c>
      <c r="B262" s="41">
        <v>18.100000000000001</v>
      </c>
      <c r="C262" s="41">
        <v>2.5</v>
      </c>
      <c r="D262" s="41">
        <v>14.9</v>
      </c>
      <c r="E262" s="42">
        <v>10</v>
      </c>
      <c r="F262" s="25" t="s">
        <v>138</v>
      </c>
    </row>
    <row r="263" spans="1:6" x14ac:dyDescent="0.25">
      <c r="A263" s="40" t="s">
        <v>706</v>
      </c>
      <c r="B263" s="41">
        <v>12.6</v>
      </c>
      <c r="C263" s="41">
        <v>3.5</v>
      </c>
      <c r="D263" s="41">
        <v>10.4</v>
      </c>
      <c r="E263" s="42">
        <v>14.8</v>
      </c>
      <c r="F263" s="25" t="s">
        <v>138</v>
      </c>
    </row>
    <row r="264" spans="1:6" x14ac:dyDescent="0.25">
      <c r="A264" s="40" t="s">
        <v>707</v>
      </c>
      <c r="B264" s="41">
        <v>25.7</v>
      </c>
      <c r="C264" s="41">
        <v>3.9</v>
      </c>
      <c r="D264" s="41">
        <v>8.4</v>
      </c>
      <c r="E264" s="42">
        <v>6.4</v>
      </c>
      <c r="F264" s="25" t="s">
        <v>138</v>
      </c>
    </row>
    <row r="265" spans="1:6" x14ac:dyDescent="0.25">
      <c r="A265" s="40" t="s">
        <v>708</v>
      </c>
      <c r="B265" s="41">
        <v>14.7</v>
      </c>
      <c r="C265" s="41">
        <v>2.5</v>
      </c>
      <c r="D265" s="41">
        <v>12.4</v>
      </c>
      <c r="E265" s="42">
        <v>15.5</v>
      </c>
      <c r="F265" s="25" t="s">
        <v>138</v>
      </c>
    </row>
    <row r="266" spans="1:6" x14ac:dyDescent="0.25">
      <c r="A266" s="40" t="s">
        <v>709</v>
      </c>
      <c r="B266" s="41">
        <v>4.0999999999999996</v>
      </c>
      <c r="C266" s="41">
        <v>7.1</v>
      </c>
      <c r="D266" s="41">
        <v>7.5</v>
      </c>
      <c r="E266" s="42">
        <v>11</v>
      </c>
      <c r="F266" s="25" t="s">
        <v>138</v>
      </c>
    </row>
    <row r="267" spans="1:6" x14ac:dyDescent="0.25">
      <c r="A267" s="40" t="s">
        <v>710</v>
      </c>
      <c r="B267" s="41">
        <v>15.4</v>
      </c>
      <c r="C267" s="41">
        <v>0.9</v>
      </c>
      <c r="D267" s="41">
        <v>6.5</v>
      </c>
      <c r="E267" s="42">
        <v>19.2</v>
      </c>
      <c r="F267" s="25" t="s">
        <v>138</v>
      </c>
    </row>
    <row r="268" spans="1:6" x14ac:dyDescent="0.25">
      <c r="A268" s="40" t="s">
        <v>711</v>
      </c>
      <c r="B268" s="41">
        <v>5.3</v>
      </c>
      <c r="C268" s="41">
        <v>13.6</v>
      </c>
      <c r="D268" s="41"/>
      <c r="E268" s="42">
        <v>13.5</v>
      </c>
      <c r="F268" s="25" t="s">
        <v>138</v>
      </c>
    </row>
    <row r="269" spans="1:6" x14ac:dyDescent="0.25">
      <c r="A269" s="40" t="s">
        <v>712</v>
      </c>
      <c r="B269" s="41">
        <v>26.5</v>
      </c>
      <c r="C269" s="41"/>
      <c r="D269" s="41">
        <v>7.4</v>
      </c>
      <c r="E269" s="42"/>
      <c r="F269" s="25" t="s">
        <v>138</v>
      </c>
    </row>
    <row r="270" spans="1:6" x14ac:dyDescent="0.25">
      <c r="A270" s="40" t="s">
        <v>713</v>
      </c>
      <c r="B270" s="41">
        <v>3.6</v>
      </c>
      <c r="C270" s="41">
        <v>9.1</v>
      </c>
      <c r="D270" s="41">
        <v>16.5</v>
      </c>
      <c r="E270" s="42">
        <v>9.3000000000000007</v>
      </c>
      <c r="F270" s="25" t="s">
        <v>138</v>
      </c>
    </row>
    <row r="271" spans="1:6" x14ac:dyDescent="0.25">
      <c r="A271" s="40" t="s">
        <v>714</v>
      </c>
      <c r="B271" s="41"/>
      <c r="C271" s="41">
        <v>4.2</v>
      </c>
      <c r="D271" s="41">
        <v>24.8</v>
      </c>
      <c r="E271" s="42">
        <v>5.6</v>
      </c>
      <c r="F271" s="25" t="s">
        <v>140</v>
      </c>
    </row>
    <row r="272" spans="1:6" x14ac:dyDescent="0.25">
      <c r="A272" s="40" t="s">
        <v>715</v>
      </c>
      <c r="B272" s="41"/>
      <c r="C272" s="41">
        <v>5.6</v>
      </c>
      <c r="D272" s="41">
        <v>16.3</v>
      </c>
      <c r="E272" s="42">
        <v>7.5</v>
      </c>
      <c r="F272" s="25" t="s">
        <v>140</v>
      </c>
    </row>
    <row r="273" spans="1:6" x14ac:dyDescent="0.25">
      <c r="A273" s="40" t="s">
        <v>716</v>
      </c>
      <c r="B273" s="41"/>
      <c r="C273" s="41">
        <v>6.2</v>
      </c>
      <c r="D273" s="41">
        <v>12.4</v>
      </c>
      <c r="E273" s="42">
        <v>8.4</v>
      </c>
      <c r="F273" s="25" t="s">
        <v>140</v>
      </c>
    </row>
    <row r="274" spans="1:6" x14ac:dyDescent="0.25">
      <c r="A274" s="40" t="s">
        <v>717</v>
      </c>
      <c r="B274" s="41"/>
      <c r="C274" s="41">
        <v>6.6</v>
      </c>
      <c r="D274" s="41">
        <v>9.9</v>
      </c>
      <c r="E274" s="42">
        <v>9</v>
      </c>
      <c r="F274" s="25" t="s">
        <v>140</v>
      </c>
    </row>
    <row r="275" spans="1:6" x14ac:dyDescent="0.25">
      <c r="A275" s="40" t="s">
        <v>718</v>
      </c>
      <c r="B275" s="41"/>
      <c r="C275" s="41">
        <v>6.9</v>
      </c>
      <c r="D275" s="41">
        <v>8.4</v>
      </c>
      <c r="E275" s="42">
        <v>9.35</v>
      </c>
      <c r="F275" s="25" t="s">
        <v>140</v>
      </c>
    </row>
    <row r="276" spans="1:6" x14ac:dyDescent="0.25">
      <c r="A276" s="40" t="s">
        <v>719</v>
      </c>
      <c r="B276" s="41"/>
      <c r="C276" s="41">
        <v>20</v>
      </c>
      <c r="D276" s="41"/>
      <c r="E276" s="42">
        <v>1.5</v>
      </c>
      <c r="F276" s="25" t="s">
        <v>138</v>
      </c>
    </row>
    <row r="277" spans="1:6" x14ac:dyDescent="0.25">
      <c r="A277" s="40" t="s">
        <v>720</v>
      </c>
      <c r="B277" s="41">
        <v>12.6</v>
      </c>
      <c r="C277" s="41">
        <v>2.4</v>
      </c>
      <c r="D277" s="41">
        <v>5.9</v>
      </c>
      <c r="E277" s="42"/>
      <c r="F277" s="25" t="s">
        <v>139</v>
      </c>
    </row>
    <row r="278" spans="1:6" x14ac:dyDescent="0.25">
      <c r="A278" s="40" t="s">
        <v>721</v>
      </c>
      <c r="B278" s="41">
        <v>32</v>
      </c>
      <c r="C278" s="41"/>
      <c r="D278" s="41"/>
      <c r="E278" s="42"/>
      <c r="F278" s="25" t="s">
        <v>141</v>
      </c>
    </row>
    <row r="279" spans="1:6" x14ac:dyDescent="0.25">
      <c r="A279" s="40" t="s">
        <v>56</v>
      </c>
      <c r="B279" s="41">
        <v>46</v>
      </c>
      <c r="C279" s="41"/>
      <c r="D279" s="41"/>
      <c r="E279" s="42"/>
      <c r="F279" s="25" t="s">
        <v>140</v>
      </c>
    </row>
    <row r="280" spans="1:6" x14ac:dyDescent="0.25">
      <c r="A280" s="40" t="s">
        <v>722</v>
      </c>
      <c r="B280" s="41">
        <v>24.8</v>
      </c>
      <c r="C280" s="41"/>
      <c r="D280" s="41">
        <v>23</v>
      </c>
      <c r="E280" s="42">
        <v>0.3</v>
      </c>
      <c r="F280" s="25" t="s">
        <v>141</v>
      </c>
    </row>
    <row r="281" spans="1:6" x14ac:dyDescent="0.25">
      <c r="A281" s="40" t="s">
        <v>723</v>
      </c>
      <c r="B281" s="41">
        <v>32.200000000000003</v>
      </c>
      <c r="C281" s="41"/>
      <c r="D281" s="41">
        <v>15</v>
      </c>
      <c r="E281" s="42">
        <v>0.2</v>
      </c>
      <c r="F281" s="25" t="s">
        <v>141</v>
      </c>
    </row>
    <row r="282" spans="1:6" x14ac:dyDescent="0.25">
      <c r="A282" s="40" t="s">
        <v>724</v>
      </c>
      <c r="B282" s="41">
        <v>36.799999999999997</v>
      </c>
      <c r="C282" s="41"/>
      <c r="D282" s="41">
        <v>10</v>
      </c>
      <c r="E282" s="42">
        <v>0.1</v>
      </c>
      <c r="F282" s="25" t="s">
        <v>141</v>
      </c>
    </row>
    <row r="283" spans="1:6" x14ac:dyDescent="0.25">
      <c r="A283" s="40" t="s">
        <v>725</v>
      </c>
      <c r="B283" s="41">
        <v>19.399999999999999</v>
      </c>
      <c r="C283" s="41"/>
      <c r="D283" s="41">
        <v>18</v>
      </c>
      <c r="E283" s="42">
        <v>9.9</v>
      </c>
      <c r="F283" s="25" t="s">
        <v>141</v>
      </c>
    </row>
    <row r="284" spans="1:6" x14ac:dyDescent="0.25">
      <c r="A284" s="40" t="s">
        <v>726</v>
      </c>
      <c r="B284" s="41">
        <v>25.1</v>
      </c>
      <c r="C284" s="41"/>
      <c r="D284" s="41">
        <v>14</v>
      </c>
      <c r="E284" s="42">
        <v>7.9</v>
      </c>
      <c r="F284" s="25" t="s">
        <v>141</v>
      </c>
    </row>
    <row r="285" spans="1:6" x14ac:dyDescent="0.25">
      <c r="A285" s="40" t="s">
        <v>727</v>
      </c>
      <c r="B285" s="41">
        <v>31.2</v>
      </c>
      <c r="C285" s="41"/>
      <c r="D285" s="41">
        <v>10</v>
      </c>
      <c r="E285" s="42">
        <v>5.5</v>
      </c>
      <c r="F285" s="25" t="s">
        <v>141</v>
      </c>
    </row>
    <row r="286" spans="1:6" x14ac:dyDescent="0.25">
      <c r="A286" s="25" t="s">
        <v>728</v>
      </c>
      <c r="B286" s="25">
        <v>37.299999999999997</v>
      </c>
      <c r="C286" s="25"/>
      <c r="D286" s="25"/>
      <c r="E286" s="25">
        <v>8.4</v>
      </c>
      <c r="F286" s="25" t="s">
        <v>139</v>
      </c>
    </row>
    <row r="287" spans="1:6" x14ac:dyDescent="0.25">
      <c r="A287" s="25" t="s">
        <v>812</v>
      </c>
      <c r="B287" s="25">
        <v>45.9</v>
      </c>
      <c r="C287" s="25"/>
      <c r="D287" s="25"/>
      <c r="F287" s="25" t="s">
        <v>140</v>
      </c>
    </row>
    <row r="288" spans="1:6" x14ac:dyDescent="0.25">
      <c r="A288" s="25" t="s">
        <v>813</v>
      </c>
      <c r="B288" s="41">
        <v>33</v>
      </c>
      <c r="C288" s="41"/>
      <c r="D288" s="41"/>
      <c r="E288" s="42">
        <v>12.5</v>
      </c>
      <c r="F288" s="25" t="s">
        <v>141</v>
      </c>
    </row>
    <row r="289" spans="1:6" x14ac:dyDescent="0.25">
      <c r="A289" s="25" t="s">
        <v>814</v>
      </c>
      <c r="B289" s="41">
        <v>35.799999999999997</v>
      </c>
      <c r="C289" s="41"/>
      <c r="D289" s="41"/>
      <c r="E289" s="42">
        <v>9.8000000000000007</v>
      </c>
      <c r="F289" s="25" t="s">
        <v>141</v>
      </c>
    </row>
    <row r="290" spans="1:6" x14ac:dyDescent="0.25">
      <c r="A290" s="25" t="s">
        <v>815</v>
      </c>
      <c r="B290" s="41">
        <v>37.6</v>
      </c>
      <c r="C290" s="41"/>
      <c r="D290" s="41"/>
      <c r="E290" s="42">
        <v>8</v>
      </c>
      <c r="F290" s="25" t="s">
        <v>141</v>
      </c>
    </row>
    <row r="291" spans="1:6" x14ac:dyDescent="0.25">
      <c r="A291" s="36" t="s">
        <v>816</v>
      </c>
      <c r="B291" s="41">
        <v>39.1</v>
      </c>
      <c r="C291" s="41"/>
      <c r="D291" s="41"/>
      <c r="E291" s="42">
        <v>6.6</v>
      </c>
      <c r="F291" s="25" t="s">
        <v>141</v>
      </c>
    </row>
    <row r="292" spans="1:6" x14ac:dyDescent="0.25">
      <c r="A292" s="40" t="s">
        <v>729</v>
      </c>
      <c r="B292" s="41">
        <v>10</v>
      </c>
      <c r="C292" s="41">
        <v>12</v>
      </c>
      <c r="D292" s="41">
        <v>12</v>
      </c>
      <c r="E292" s="42">
        <v>5</v>
      </c>
      <c r="F292" s="25" t="s">
        <v>139</v>
      </c>
    </row>
    <row r="293" spans="1:6" x14ac:dyDescent="0.25">
      <c r="A293" s="40" t="s">
        <v>730</v>
      </c>
      <c r="B293" s="41">
        <v>8.6999999999999993</v>
      </c>
      <c r="C293" s="41">
        <v>11.3</v>
      </c>
      <c r="D293" s="41">
        <v>16.399999999999999</v>
      </c>
      <c r="E293" s="42">
        <v>4.2</v>
      </c>
      <c r="F293" s="25" t="s">
        <v>139</v>
      </c>
    </row>
    <row r="294" spans="1:6" x14ac:dyDescent="0.25">
      <c r="A294" s="40" t="s">
        <v>731</v>
      </c>
      <c r="B294" s="41">
        <v>9.8000000000000007</v>
      </c>
      <c r="C294" s="41">
        <v>13.7</v>
      </c>
      <c r="D294" s="41">
        <v>9</v>
      </c>
      <c r="E294" s="42">
        <v>6.5</v>
      </c>
      <c r="F294" s="25" t="s">
        <v>139</v>
      </c>
    </row>
    <row r="295" spans="1:6" x14ac:dyDescent="0.25">
      <c r="A295" s="40" t="s">
        <v>732</v>
      </c>
      <c r="B295" s="41">
        <v>10.3</v>
      </c>
      <c r="C295" s="41">
        <v>13.6</v>
      </c>
      <c r="D295" s="41">
        <v>10</v>
      </c>
      <c r="E295" s="42">
        <v>4.7</v>
      </c>
      <c r="F295" s="25" t="s">
        <v>139</v>
      </c>
    </row>
    <row r="296" spans="1:6" x14ac:dyDescent="0.25">
      <c r="A296" s="40" t="s">
        <v>733</v>
      </c>
      <c r="B296" s="41">
        <v>10.8</v>
      </c>
      <c r="C296" s="41">
        <v>16.5</v>
      </c>
      <c r="D296" s="41">
        <v>6.5</v>
      </c>
      <c r="E296" s="42">
        <v>4.2</v>
      </c>
      <c r="F296" s="25" t="s">
        <v>139</v>
      </c>
    </row>
    <row r="297" spans="1:6" x14ac:dyDescent="0.25">
      <c r="A297" s="40" t="s">
        <v>734</v>
      </c>
      <c r="B297" s="41">
        <v>10.5</v>
      </c>
      <c r="C297" s="41">
        <v>14.9</v>
      </c>
      <c r="D297" s="41">
        <v>8.4</v>
      </c>
      <c r="E297" s="42">
        <v>4.4000000000000004</v>
      </c>
      <c r="F297" s="25" t="s">
        <v>139</v>
      </c>
    </row>
    <row r="298" spans="1:6" x14ac:dyDescent="0.25">
      <c r="A298" s="40" t="s">
        <v>735</v>
      </c>
      <c r="B298" s="41">
        <v>11.3</v>
      </c>
      <c r="C298" s="41">
        <v>12.8</v>
      </c>
      <c r="D298" s="41">
        <v>10</v>
      </c>
      <c r="E298" s="42">
        <v>7</v>
      </c>
      <c r="F298" s="25" t="s">
        <v>141</v>
      </c>
    </row>
    <row r="299" spans="1:6" x14ac:dyDescent="0.25">
      <c r="A299" s="40" t="s">
        <v>736</v>
      </c>
      <c r="B299" s="41">
        <v>10.9</v>
      </c>
      <c r="C299" s="41">
        <v>12.2</v>
      </c>
      <c r="D299" s="41">
        <v>11</v>
      </c>
      <c r="E299" s="42">
        <v>6.9</v>
      </c>
      <c r="F299" s="25" t="s">
        <v>141</v>
      </c>
    </row>
    <row r="300" spans="1:6" x14ac:dyDescent="0.25">
      <c r="A300" s="40" t="s">
        <v>737</v>
      </c>
      <c r="B300" s="41">
        <v>11.1</v>
      </c>
      <c r="C300" s="41">
        <v>11.3</v>
      </c>
      <c r="D300" s="41">
        <v>11</v>
      </c>
      <c r="E300" s="42">
        <v>7.4</v>
      </c>
      <c r="F300" s="25" t="s">
        <v>141</v>
      </c>
    </row>
    <row r="301" spans="1:6" x14ac:dyDescent="0.25">
      <c r="A301" s="40" t="s">
        <v>738</v>
      </c>
      <c r="B301" s="41">
        <v>13.4</v>
      </c>
      <c r="C301" s="41">
        <v>17.8</v>
      </c>
      <c r="D301" s="41"/>
      <c r="E301" s="42">
        <v>6.8</v>
      </c>
      <c r="F301" s="25" t="s">
        <v>141</v>
      </c>
    </row>
    <row r="302" spans="1:6" x14ac:dyDescent="0.25">
      <c r="A302" s="40" t="s">
        <v>739</v>
      </c>
      <c r="B302" s="41">
        <v>13</v>
      </c>
      <c r="C302" s="41">
        <v>17.8</v>
      </c>
      <c r="D302" s="41"/>
      <c r="E302" s="42">
        <v>6.5</v>
      </c>
      <c r="F302" s="25" t="s">
        <v>141</v>
      </c>
    </row>
    <row r="303" spans="1:6" x14ac:dyDescent="0.25">
      <c r="A303" s="40" t="s">
        <v>740</v>
      </c>
      <c r="B303" s="41">
        <v>12.9</v>
      </c>
      <c r="C303" s="41">
        <v>17.899999999999999</v>
      </c>
      <c r="D303" s="41"/>
      <c r="E303" s="42">
        <v>6.1</v>
      </c>
      <c r="F303" s="25" t="s">
        <v>141</v>
      </c>
    </row>
    <row r="304" spans="1:6" x14ac:dyDescent="0.25">
      <c r="A304" s="40" t="s">
        <v>741</v>
      </c>
      <c r="B304" s="41">
        <v>12.8</v>
      </c>
      <c r="C304" s="41">
        <v>12.1</v>
      </c>
      <c r="D304" s="41">
        <v>10.4</v>
      </c>
      <c r="E304" s="42">
        <v>9.4</v>
      </c>
      <c r="F304" s="25" t="s">
        <v>141</v>
      </c>
    </row>
    <row r="305" spans="1:6" x14ac:dyDescent="0.25">
      <c r="A305" s="40" t="s">
        <v>742</v>
      </c>
      <c r="B305" s="41">
        <v>12.1</v>
      </c>
      <c r="C305" s="41">
        <v>12.1</v>
      </c>
      <c r="D305" s="41">
        <v>10.4</v>
      </c>
      <c r="E305" s="42">
        <v>9.5</v>
      </c>
      <c r="F305" s="25" t="s">
        <v>141</v>
      </c>
    </row>
    <row r="306" spans="1:6" x14ac:dyDescent="0.25">
      <c r="A306" s="40" t="s">
        <v>743</v>
      </c>
      <c r="B306" s="41">
        <v>13.1</v>
      </c>
      <c r="C306" s="41">
        <v>13.3</v>
      </c>
      <c r="D306" s="41">
        <v>9.5</v>
      </c>
      <c r="E306" s="42">
        <v>7.9</v>
      </c>
      <c r="F306" s="25" t="s">
        <v>141</v>
      </c>
    </row>
    <row r="307" spans="1:6" x14ac:dyDescent="0.25">
      <c r="A307" s="40" t="s">
        <v>744</v>
      </c>
      <c r="B307" s="41">
        <v>17</v>
      </c>
      <c r="C307" s="41">
        <v>9.1999999999999993</v>
      </c>
      <c r="D307" s="41"/>
      <c r="E307" s="42">
        <v>15</v>
      </c>
      <c r="F307" s="25" t="s">
        <v>141</v>
      </c>
    </row>
    <row r="308" spans="1:6" x14ac:dyDescent="0.25">
      <c r="A308" s="40" t="s">
        <v>745</v>
      </c>
      <c r="B308" s="41">
        <v>16.8</v>
      </c>
      <c r="C308" s="41">
        <v>9.1999999999999993</v>
      </c>
      <c r="D308" s="41"/>
      <c r="E308" s="42">
        <v>14.8</v>
      </c>
      <c r="F308" s="25" t="s">
        <v>141</v>
      </c>
    </row>
    <row r="309" spans="1:6" x14ac:dyDescent="0.25">
      <c r="A309" s="40" t="s">
        <v>746</v>
      </c>
      <c r="B309" s="41">
        <v>16.600000000000001</v>
      </c>
      <c r="C309" s="41">
        <v>9.5</v>
      </c>
      <c r="D309" s="41"/>
      <c r="E309" s="42">
        <v>14.3</v>
      </c>
      <c r="F309" s="25" t="s">
        <v>141</v>
      </c>
    </row>
    <row r="310" spans="1:6" x14ac:dyDescent="0.25">
      <c r="A310" s="40" t="s">
        <v>747</v>
      </c>
      <c r="B310" s="41">
        <v>15.7</v>
      </c>
      <c r="C310" s="41">
        <v>12.3</v>
      </c>
      <c r="D310" s="41"/>
      <c r="E310" s="42">
        <v>12.1</v>
      </c>
      <c r="F310" s="25" t="s">
        <v>141</v>
      </c>
    </row>
    <row r="311" spans="1:6" x14ac:dyDescent="0.25">
      <c r="A311" s="40" t="s">
        <v>748</v>
      </c>
      <c r="B311" s="41">
        <v>15.4</v>
      </c>
      <c r="C311" s="41">
        <v>12.3</v>
      </c>
      <c r="D311" s="41"/>
      <c r="E311" s="42">
        <v>11.6</v>
      </c>
      <c r="F311" s="25" t="s">
        <v>141</v>
      </c>
    </row>
    <row r="312" spans="1:6" x14ac:dyDescent="0.25">
      <c r="A312" s="40" t="s">
        <v>749</v>
      </c>
      <c r="B312" s="41">
        <v>14.9</v>
      </c>
      <c r="C312" s="41">
        <v>14.3</v>
      </c>
      <c r="D312" s="41"/>
      <c r="E312" s="42">
        <v>10.199999999999999</v>
      </c>
      <c r="F312" s="25" t="s">
        <v>141</v>
      </c>
    </row>
    <row r="313" spans="1:6" x14ac:dyDescent="0.25">
      <c r="A313" s="40" t="s">
        <v>750</v>
      </c>
      <c r="B313" s="41">
        <v>14.6</v>
      </c>
      <c r="C313" s="41">
        <v>14.3</v>
      </c>
      <c r="D313" s="41"/>
      <c r="E313" s="42">
        <v>9.9</v>
      </c>
      <c r="F313" s="25" t="s">
        <v>141</v>
      </c>
    </row>
    <row r="314" spans="1:6" x14ac:dyDescent="0.25">
      <c r="A314" s="40" t="s">
        <v>751</v>
      </c>
      <c r="B314" s="41">
        <v>14.5</v>
      </c>
      <c r="C314" s="41">
        <v>14.1</v>
      </c>
      <c r="D314" s="41"/>
      <c r="E314" s="42">
        <v>9.6999999999999993</v>
      </c>
      <c r="F314" s="25" t="s">
        <v>141</v>
      </c>
    </row>
    <row r="315" spans="1:6" x14ac:dyDescent="0.25">
      <c r="A315" s="40" t="s">
        <v>752</v>
      </c>
      <c r="B315" s="41">
        <v>18.5</v>
      </c>
      <c r="C315" s="41">
        <v>16.600000000000001</v>
      </c>
      <c r="D315" s="41"/>
      <c r="E315" s="42">
        <v>5.5</v>
      </c>
      <c r="F315" s="25" t="s">
        <v>141</v>
      </c>
    </row>
    <row r="316" spans="1:6" x14ac:dyDescent="0.25">
      <c r="A316" s="40" t="s">
        <v>753</v>
      </c>
      <c r="B316" s="41">
        <v>18.5</v>
      </c>
      <c r="C316" s="41">
        <v>16.5</v>
      </c>
      <c r="D316" s="41"/>
      <c r="E316" s="42">
        <v>5.5</v>
      </c>
      <c r="F316" s="25" t="s">
        <v>141</v>
      </c>
    </row>
    <row r="317" spans="1:6" x14ac:dyDescent="0.25">
      <c r="A317" s="40" t="s">
        <v>754</v>
      </c>
      <c r="B317" s="41">
        <v>18.8</v>
      </c>
      <c r="C317" s="41">
        <v>14.1</v>
      </c>
      <c r="D317" s="41"/>
      <c r="E317" s="42">
        <v>8.1999999999999993</v>
      </c>
      <c r="F317" s="25" t="s">
        <v>141</v>
      </c>
    </row>
    <row r="318" spans="1:6" x14ac:dyDescent="0.25">
      <c r="A318" s="40" t="s">
        <v>755</v>
      </c>
      <c r="B318" s="41">
        <v>18.399999999999999</v>
      </c>
      <c r="C318" s="41">
        <v>16.5</v>
      </c>
      <c r="D318" s="41"/>
      <c r="E318" s="42">
        <v>5.5</v>
      </c>
      <c r="F318" s="25" t="s">
        <v>141</v>
      </c>
    </row>
    <row r="319" spans="1:6" x14ac:dyDescent="0.25">
      <c r="A319" s="43" t="s">
        <v>756</v>
      </c>
      <c r="B319" s="44">
        <v>11.7</v>
      </c>
      <c r="C319" s="44">
        <v>21.2</v>
      </c>
      <c r="D319" s="44"/>
      <c r="E319" s="45">
        <v>3</v>
      </c>
      <c r="F319" s="25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703C-216F-418F-9D93-9679DF608EB7}">
  <dimension ref="A1:P268"/>
  <sheetViews>
    <sheetView workbookViewId="0">
      <selection activeCell="A28" sqref="A28:H28"/>
    </sheetView>
  </sheetViews>
  <sheetFormatPr defaultRowHeight="15" x14ac:dyDescent="0.25"/>
  <cols>
    <col min="1" max="1" width="26.7109375" bestFit="1" customWidth="1"/>
    <col min="2" max="2" width="14.28515625" customWidth="1"/>
    <col min="3" max="3" width="19.42578125" bestFit="1" customWidth="1"/>
    <col min="4" max="6" width="10.85546875" customWidth="1"/>
    <col min="7" max="7" width="14.140625" bestFit="1" customWidth="1"/>
    <col min="8" max="13" width="10.85546875" customWidth="1"/>
    <col min="14" max="14" width="26.5703125" bestFit="1" customWidth="1"/>
    <col min="15" max="15" width="8.7109375" customWidth="1"/>
    <col min="16" max="16" width="6.7109375" bestFit="1" customWidth="1"/>
  </cols>
  <sheetData>
    <row r="1" spans="1:16" ht="39" x14ac:dyDescent="0.25">
      <c r="A1" s="23" t="s">
        <v>151</v>
      </c>
      <c r="B1" s="23" t="s">
        <v>0</v>
      </c>
      <c r="C1" s="23" t="s">
        <v>246</v>
      </c>
      <c r="D1" s="23" t="s">
        <v>155</v>
      </c>
      <c r="E1" s="23" t="s">
        <v>168</v>
      </c>
      <c r="F1" s="23" t="s">
        <v>0</v>
      </c>
      <c r="G1" s="23" t="s">
        <v>247</v>
      </c>
      <c r="H1" s="23" t="s">
        <v>155</v>
      </c>
      <c r="I1" s="23" t="s">
        <v>168</v>
      </c>
      <c r="J1" s="23" t="s">
        <v>0</v>
      </c>
      <c r="K1" s="23" t="s">
        <v>265</v>
      </c>
      <c r="L1" s="23" t="s">
        <v>155</v>
      </c>
      <c r="M1" s="23" t="s">
        <v>168</v>
      </c>
      <c r="N1" s="23" t="s">
        <v>271</v>
      </c>
      <c r="O1" s="23" t="s">
        <v>2</v>
      </c>
      <c r="P1" s="23"/>
    </row>
    <row r="2" spans="1:16" x14ac:dyDescent="0.25">
      <c r="A2" s="28" t="s">
        <v>152</v>
      </c>
      <c r="B2" s="28" t="s">
        <v>153</v>
      </c>
      <c r="C2" s="2" t="s">
        <v>156</v>
      </c>
      <c r="D2" s="2">
        <v>200</v>
      </c>
      <c r="E2" s="2"/>
      <c r="F2" s="28" t="s">
        <v>153</v>
      </c>
      <c r="G2" s="2" t="s">
        <v>157</v>
      </c>
      <c r="H2" s="2">
        <v>80</v>
      </c>
      <c r="I2" s="2"/>
      <c r="J2" s="2"/>
      <c r="K2" s="28"/>
      <c r="L2" s="2"/>
      <c r="M2" s="2"/>
      <c r="N2" s="2" t="s">
        <v>272</v>
      </c>
      <c r="O2" s="29" t="s">
        <v>154</v>
      </c>
      <c r="P2" s="2"/>
    </row>
    <row r="3" spans="1:16" x14ac:dyDescent="0.25">
      <c r="A3" t="s">
        <v>158</v>
      </c>
      <c r="B3" s="28" t="s">
        <v>153</v>
      </c>
      <c r="C3" t="s">
        <v>160</v>
      </c>
      <c r="D3">
        <v>430</v>
      </c>
      <c r="F3" s="28"/>
      <c r="K3" s="28"/>
      <c r="N3" t="s">
        <v>276</v>
      </c>
      <c r="O3" s="29" t="s">
        <v>159</v>
      </c>
    </row>
    <row r="4" spans="1:16" x14ac:dyDescent="0.25">
      <c r="A4" t="s">
        <v>161</v>
      </c>
      <c r="B4" s="28" t="s">
        <v>153</v>
      </c>
      <c r="C4" t="s">
        <v>163</v>
      </c>
      <c r="D4">
        <v>500</v>
      </c>
      <c r="F4" s="28"/>
      <c r="K4" s="28"/>
      <c r="N4" t="s">
        <v>273</v>
      </c>
      <c r="O4" s="29" t="s">
        <v>162</v>
      </c>
    </row>
    <row r="5" spans="1:16" x14ac:dyDescent="0.25">
      <c r="A5" t="s">
        <v>215</v>
      </c>
      <c r="B5" s="28" t="s">
        <v>153</v>
      </c>
      <c r="C5" t="s">
        <v>216</v>
      </c>
      <c r="D5">
        <v>25</v>
      </c>
      <c r="F5" s="28" t="s">
        <v>153</v>
      </c>
      <c r="G5" t="s">
        <v>217</v>
      </c>
      <c r="H5">
        <v>10</v>
      </c>
      <c r="K5" s="28"/>
      <c r="N5" t="s">
        <v>272</v>
      </c>
      <c r="O5" s="29" t="s">
        <v>218</v>
      </c>
    </row>
    <row r="6" spans="1:16" x14ac:dyDescent="0.25">
      <c r="A6" t="s">
        <v>223</v>
      </c>
      <c r="B6" s="28" t="s">
        <v>153</v>
      </c>
      <c r="C6" t="s">
        <v>224</v>
      </c>
      <c r="D6">
        <v>125</v>
      </c>
      <c r="F6" s="28"/>
      <c r="K6" s="28"/>
      <c r="N6" t="s">
        <v>277</v>
      </c>
      <c r="O6" s="29" t="s">
        <v>225</v>
      </c>
    </row>
    <row r="7" spans="1:16" x14ac:dyDescent="0.25">
      <c r="A7" t="s">
        <v>219</v>
      </c>
      <c r="B7" s="28" t="s">
        <v>153</v>
      </c>
      <c r="C7" t="s">
        <v>220</v>
      </c>
      <c r="D7">
        <v>20</v>
      </c>
      <c r="F7" s="28" t="s">
        <v>205</v>
      </c>
      <c r="G7" t="s">
        <v>222</v>
      </c>
      <c r="H7">
        <v>4</v>
      </c>
      <c r="K7" s="28"/>
      <c r="N7" t="s">
        <v>278</v>
      </c>
      <c r="O7" s="29" t="s">
        <v>221</v>
      </c>
    </row>
    <row r="8" spans="1:16" x14ac:dyDescent="0.25">
      <c r="A8" t="s">
        <v>164</v>
      </c>
      <c r="B8" s="28" t="s">
        <v>165</v>
      </c>
      <c r="C8" t="s">
        <v>167</v>
      </c>
      <c r="E8">
        <v>900</v>
      </c>
      <c r="F8" s="28"/>
      <c r="K8" s="28"/>
      <c r="N8" t="s">
        <v>274</v>
      </c>
      <c r="O8" s="29" t="s">
        <v>166</v>
      </c>
    </row>
    <row r="9" spans="1:16" x14ac:dyDescent="0.25">
      <c r="A9" t="s">
        <v>170</v>
      </c>
      <c r="B9" s="28" t="s">
        <v>165</v>
      </c>
      <c r="C9" t="s">
        <v>169</v>
      </c>
      <c r="D9">
        <v>240</v>
      </c>
      <c r="F9" s="28"/>
      <c r="K9" s="28"/>
      <c r="N9" t="s">
        <v>274</v>
      </c>
      <c r="O9" s="29" t="s">
        <v>171</v>
      </c>
    </row>
    <row r="10" spans="1:16" x14ac:dyDescent="0.25">
      <c r="A10" t="s">
        <v>172</v>
      </c>
      <c r="B10" s="28" t="s">
        <v>165</v>
      </c>
      <c r="C10" t="s">
        <v>173</v>
      </c>
      <c r="D10">
        <v>600</v>
      </c>
      <c r="F10" s="28"/>
      <c r="K10" s="28"/>
      <c r="N10" t="s">
        <v>279</v>
      </c>
      <c r="O10" s="29" t="s">
        <v>174</v>
      </c>
    </row>
    <row r="11" spans="1:16" x14ac:dyDescent="0.25">
      <c r="A11" t="s">
        <v>226</v>
      </c>
      <c r="B11" s="28" t="s">
        <v>165</v>
      </c>
      <c r="C11" t="s">
        <v>34</v>
      </c>
      <c r="D11">
        <v>250</v>
      </c>
      <c r="F11" s="28"/>
      <c r="K11" s="28"/>
      <c r="N11" t="s">
        <v>273</v>
      </c>
      <c r="O11" s="29" t="s">
        <v>227</v>
      </c>
    </row>
    <row r="12" spans="1:16" x14ac:dyDescent="0.25">
      <c r="A12" t="s">
        <v>175</v>
      </c>
      <c r="B12" s="28" t="s">
        <v>165</v>
      </c>
      <c r="C12" t="s">
        <v>34</v>
      </c>
      <c r="D12">
        <v>540</v>
      </c>
      <c r="F12" s="28"/>
      <c r="K12" s="28"/>
      <c r="N12" t="s">
        <v>280</v>
      </c>
      <c r="O12" s="29" t="s">
        <v>176</v>
      </c>
    </row>
    <row r="13" spans="1:16" x14ac:dyDescent="0.25">
      <c r="A13" t="s">
        <v>177</v>
      </c>
      <c r="B13" s="28" t="s">
        <v>165</v>
      </c>
      <c r="C13" t="s">
        <v>178</v>
      </c>
      <c r="D13">
        <v>250</v>
      </c>
      <c r="F13" s="28"/>
      <c r="K13" s="28"/>
      <c r="N13" t="s">
        <v>272</v>
      </c>
      <c r="O13" s="29" t="s">
        <v>179</v>
      </c>
    </row>
    <row r="14" spans="1:16" x14ac:dyDescent="0.25">
      <c r="A14" t="s">
        <v>183</v>
      </c>
      <c r="B14" s="28" t="s">
        <v>165</v>
      </c>
      <c r="C14" t="s">
        <v>184</v>
      </c>
      <c r="D14">
        <v>200</v>
      </c>
      <c r="F14" s="28" t="s">
        <v>165</v>
      </c>
      <c r="G14" t="s">
        <v>185</v>
      </c>
      <c r="H14">
        <v>520</v>
      </c>
      <c r="K14" s="28"/>
      <c r="N14" t="s">
        <v>272</v>
      </c>
      <c r="O14" s="29" t="s">
        <v>186</v>
      </c>
    </row>
    <row r="15" spans="1:16" x14ac:dyDescent="0.25">
      <c r="A15" t="s">
        <v>187</v>
      </c>
      <c r="B15" s="28" t="s">
        <v>165</v>
      </c>
      <c r="C15" t="s">
        <v>188</v>
      </c>
      <c r="E15">
        <v>750</v>
      </c>
      <c r="F15" s="28"/>
      <c r="K15" s="28"/>
      <c r="N15" t="s">
        <v>279</v>
      </c>
      <c r="O15" s="29" t="s">
        <v>189</v>
      </c>
    </row>
    <row r="16" spans="1:16" x14ac:dyDescent="0.25">
      <c r="A16" t="s">
        <v>180</v>
      </c>
      <c r="B16" s="28" t="s">
        <v>165</v>
      </c>
      <c r="C16" t="s">
        <v>181</v>
      </c>
      <c r="D16">
        <v>680</v>
      </c>
      <c r="F16" s="28"/>
      <c r="K16" s="28"/>
      <c r="N16" t="s">
        <v>273</v>
      </c>
      <c r="O16" s="29" t="s">
        <v>182</v>
      </c>
    </row>
    <row r="17" spans="1:15" x14ac:dyDescent="0.25">
      <c r="A17" t="s">
        <v>228</v>
      </c>
      <c r="B17" s="28" t="s">
        <v>165</v>
      </c>
      <c r="C17" t="s">
        <v>34</v>
      </c>
      <c r="D17">
        <v>740</v>
      </c>
      <c r="F17" s="28"/>
      <c r="K17" s="28"/>
      <c r="N17" t="s">
        <v>273</v>
      </c>
      <c r="O17" s="29" t="s">
        <v>229</v>
      </c>
    </row>
    <row r="18" spans="1:15" x14ac:dyDescent="0.25">
      <c r="A18" t="s">
        <v>190</v>
      </c>
      <c r="B18" s="28" t="s">
        <v>165</v>
      </c>
      <c r="C18" t="s">
        <v>191</v>
      </c>
      <c r="D18">
        <v>200</v>
      </c>
      <c r="F18" s="28"/>
      <c r="K18" s="28"/>
      <c r="N18" t="s">
        <v>281</v>
      </c>
      <c r="O18" s="29" t="s">
        <v>192</v>
      </c>
    </row>
    <row r="19" spans="1:15" x14ac:dyDescent="0.25">
      <c r="A19" t="s">
        <v>193</v>
      </c>
      <c r="B19" s="28" t="s">
        <v>165</v>
      </c>
      <c r="C19" t="s">
        <v>34</v>
      </c>
      <c r="D19">
        <v>450</v>
      </c>
      <c r="F19" s="28"/>
      <c r="K19" s="28"/>
      <c r="N19" t="s">
        <v>282</v>
      </c>
      <c r="O19" s="29" t="s">
        <v>194</v>
      </c>
    </row>
    <row r="20" spans="1:15" x14ac:dyDescent="0.25">
      <c r="A20" t="s">
        <v>195</v>
      </c>
      <c r="B20" s="28" t="s">
        <v>165</v>
      </c>
      <c r="C20" t="s">
        <v>196</v>
      </c>
      <c r="D20">
        <v>850</v>
      </c>
      <c r="F20" s="28"/>
      <c r="K20" s="28"/>
      <c r="N20" t="s">
        <v>276</v>
      </c>
      <c r="O20" s="29" t="s">
        <v>197</v>
      </c>
    </row>
    <row r="21" spans="1:15" x14ac:dyDescent="0.25">
      <c r="A21" t="s">
        <v>198</v>
      </c>
      <c r="B21" s="28" t="s">
        <v>165</v>
      </c>
      <c r="C21" t="s">
        <v>103</v>
      </c>
      <c r="D21">
        <v>900</v>
      </c>
      <c r="F21" s="28"/>
      <c r="K21" s="28"/>
      <c r="N21" t="s">
        <v>283</v>
      </c>
      <c r="O21" s="29" t="s">
        <v>199</v>
      </c>
    </row>
    <row r="22" spans="1:15" x14ac:dyDescent="0.25">
      <c r="A22" t="s">
        <v>200</v>
      </c>
      <c r="B22" s="28" t="s">
        <v>165</v>
      </c>
      <c r="C22" t="s">
        <v>201</v>
      </c>
      <c r="D22">
        <v>250</v>
      </c>
      <c r="F22" s="28" t="s">
        <v>165</v>
      </c>
      <c r="G22" t="s">
        <v>203</v>
      </c>
      <c r="H22">
        <v>25</v>
      </c>
      <c r="K22" s="28"/>
      <c r="N22" t="s">
        <v>276</v>
      </c>
      <c r="O22" s="29" t="s">
        <v>202</v>
      </c>
    </row>
    <row r="23" spans="1:15" x14ac:dyDescent="0.25">
      <c r="A23" t="s">
        <v>204</v>
      </c>
      <c r="B23" s="28" t="s">
        <v>205</v>
      </c>
      <c r="C23" t="s">
        <v>206</v>
      </c>
      <c r="D23">
        <v>100</v>
      </c>
      <c r="F23" s="28"/>
      <c r="K23" s="28"/>
      <c r="N23" t="s">
        <v>284</v>
      </c>
      <c r="O23" s="29" t="s">
        <v>207</v>
      </c>
    </row>
    <row r="24" spans="1:15" x14ac:dyDescent="0.25">
      <c r="A24" t="s">
        <v>208</v>
      </c>
      <c r="B24" s="28" t="s">
        <v>205</v>
      </c>
      <c r="C24" t="s">
        <v>209</v>
      </c>
      <c r="E24">
        <v>500</v>
      </c>
      <c r="F24" s="28"/>
      <c r="K24" s="28"/>
      <c r="N24" t="s">
        <v>275</v>
      </c>
      <c r="O24" s="29" t="s">
        <v>210</v>
      </c>
    </row>
    <row r="25" spans="1:15" x14ac:dyDescent="0.25">
      <c r="A25" t="s">
        <v>211</v>
      </c>
      <c r="B25" s="28" t="s">
        <v>212</v>
      </c>
      <c r="C25" t="s">
        <v>213</v>
      </c>
      <c r="E25">
        <v>25</v>
      </c>
      <c r="F25" s="28"/>
      <c r="K25" s="28"/>
      <c r="N25" t="s">
        <v>285</v>
      </c>
      <c r="O25" s="29" t="s">
        <v>214</v>
      </c>
    </row>
    <row r="26" spans="1:15" x14ac:dyDescent="0.25">
      <c r="A26" t="s">
        <v>230</v>
      </c>
      <c r="B26" s="28" t="s">
        <v>205</v>
      </c>
      <c r="C26" t="s">
        <v>231</v>
      </c>
      <c r="D26">
        <v>600</v>
      </c>
      <c r="F26" s="28"/>
      <c r="K26" s="28"/>
      <c r="N26" t="s">
        <v>276</v>
      </c>
      <c r="O26" s="29" t="s">
        <v>232</v>
      </c>
    </row>
    <row r="27" spans="1:15" x14ac:dyDescent="0.25">
      <c r="A27" t="s">
        <v>233</v>
      </c>
      <c r="B27" s="28" t="s">
        <v>165</v>
      </c>
      <c r="C27" t="s">
        <v>234</v>
      </c>
      <c r="D27">
        <v>480</v>
      </c>
      <c r="F27" s="28"/>
      <c r="K27" s="28"/>
      <c r="N27" t="s">
        <v>274</v>
      </c>
      <c r="O27" s="29" t="s">
        <v>235</v>
      </c>
    </row>
    <row r="28" spans="1:15" x14ac:dyDescent="0.25">
      <c r="A28" t="s">
        <v>236</v>
      </c>
      <c r="B28" s="28" t="s">
        <v>153</v>
      </c>
      <c r="C28" t="s">
        <v>231</v>
      </c>
      <c r="D28">
        <v>360</v>
      </c>
      <c r="F28" s="28" t="s">
        <v>205</v>
      </c>
      <c r="G28" t="s">
        <v>160</v>
      </c>
      <c r="H28">
        <v>12.5</v>
      </c>
      <c r="K28" s="28"/>
      <c r="N28" t="s">
        <v>276</v>
      </c>
      <c r="O28" s="29" t="s">
        <v>237</v>
      </c>
    </row>
    <row r="29" spans="1:15" x14ac:dyDescent="0.25">
      <c r="A29" t="s">
        <v>239</v>
      </c>
      <c r="B29" s="28" t="s">
        <v>153</v>
      </c>
      <c r="C29" t="s">
        <v>163</v>
      </c>
      <c r="D29">
        <v>500</v>
      </c>
      <c r="F29" s="28"/>
      <c r="K29" s="28"/>
      <c r="N29" t="s">
        <v>274</v>
      </c>
      <c r="O29" s="29" t="s">
        <v>238</v>
      </c>
    </row>
    <row r="30" spans="1:15" x14ac:dyDescent="0.25">
      <c r="A30" t="s">
        <v>240</v>
      </c>
      <c r="B30" s="28" t="s">
        <v>205</v>
      </c>
      <c r="C30" t="s">
        <v>241</v>
      </c>
      <c r="D30">
        <v>150</v>
      </c>
      <c r="F30" s="28"/>
      <c r="K30" s="28"/>
      <c r="N30" t="s">
        <v>286</v>
      </c>
      <c r="O30" s="29" t="s">
        <v>242</v>
      </c>
    </row>
    <row r="31" spans="1:15" x14ac:dyDescent="0.25">
      <c r="A31" t="s">
        <v>243</v>
      </c>
      <c r="B31" s="28" t="s">
        <v>165</v>
      </c>
      <c r="C31" t="s">
        <v>191</v>
      </c>
      <c r="D31">
        <v>200</v>
      </c>
      <c r="F31" s="28"/>
      <c r="K31" s="28"/>
      <c r="N31" t="s">
        <v>287</v>
      </c>
      <c r="O31" s="29" t="s">
        <v>244</v>
      </c>
    </row>
    <row r="32" spans="1:15" x14ac:dyDescent="0.25">
      <c r="A32" t="s">
        <v>260</v>
      </c>
      <c r="B32" s="28" t="s">
        <v>165</v>
      </c>
      <c r="C32" t="s">
        <v>178</v>
      </c>
      <c r="D32">
        <v>250</v>
      </c>
      <c r="K32" s="28"/>
      <c r="N32" t="s">
        <v>273</v>
      </c>
      <c r="O32" s="29" t="s">
        <v>261</v>
      </c>
    </row>
    <row r="33" spans="1:15" x14ac:dyDescent="0.25">
      <c r="A33" t="s">
        <v>262</v>
      </c>
      <c r="B33" s="28" t="s">
        <v>165</v>
      </c>
      <c r="C33" t="s">
        <v>263</v>
      </c>
      <c r="D33">
        <v>200</v>
      </c>
      <c r="K33" s="28"/>
      <c r="N33" t="s">
        <v>274</v>
      </c>
      <c r="O33" s="29" t="s">
        <v>264</v>
      </c>
    </row>
    <row r="34" spans="1:15" x14ac:dyDescent="0.25">
      <c r="B34" s="28"/>
      <c r="K34" s="28"/>
    </row>
    <row r="35" spans="1:15" x14ac:dyDescent="0.25">
      <c r="B35" s="28"/>
      <c r="K35" s="28"/>
    </row>
    <row r="36" spans="1:15" x14ac:dyDescent="0.25">
      <c r="B36" s="28"/>
      <c r="K36" s="28"/>
    </row>
    <row r="37" spans="1:15" x14ac:dyDescent="0.25">
      <c r="B37" s="28"/>
      <c r="K37" s="28"/>
    </row>
    <row r="38" spans="1:15" x14ac:dyDescent="0.25">
      <c r="B38" s="28"/>
      <c r="K38" s="28"/>
    </row>
    <row r="39" spans="1:15" x14ac:dyDescent="0.25">
      <c r="B39" s="28"/>
      <c r="K39" s="28"/>
    </row>
    <row r="40" spans="1:15" x14ac:dyDescent="0.25">
      <c r="B40" s="28"/>
      <c r="K40" s="28"/>
    </row>
    <row r="41" spans="1:15" x14ac:dyDescent="0.25">
      <c r="B41" s="28"/>
      <c r="K41" s="28"/>
    </row>
    <row r="42" spans="1:15" x14ac:dyDescent="0.25">
      <c r="B42" s="28"/>
      <c r="K42" s="28"/>
    </row>
    <row r="43" spans="1:15" x14ac:dyDescent="0.25">
      <c r="B43" s="28"/>
      <c r="K43" s="28"/>
    </row>
    <row r="44" spans="1:15" x14ac:dyDescent="0.25">
      <c r="B44" s="28"/>
      <c r="K44" s="28"/>
    </row>
    <row r="45" spans="1:15" x14ac:dyDescent="0.25">
      <c r="B45" s="28"/>
      <c r="K45" s="28"/>
    </row>
    <row r="46" spans="1:15" x14ac:dyDescent="0.25">
      <c r="B46" s="28"/>
      <c r="K46" s="28"/>
    </row>
    <row r="47" spans="1:15" x14ac:dyDescent="0.25">
      <c r="B47" s="28"/>
      <c r="K47" s="28"/>
    </row>
    <row r="48" spans="1:15" x14ac:dyDescent="0.25">
      <c r="B48" s="28"/>
      <c r="K48" s="28"/>
    </row>
    <row r="49" spans="2:11" x14ac:dyDescent="0.25">
      <c r="B49" s="28"/>
      <c r="K49" s="28"/>
    </row>
    <row r="50" spans="2:11" x14ac:dyDescent="0.25">
      <c r="B50" s="28"/>
      <c r="K50" s="28"/>
    </row>
    <row r="51" spans="2:11" x14ac:dyDescent="0.25">
      <c r="B51" s="28"/>
      <c r="K51" s="28"/>
    </row>
    <row r="52" spans="2:11" x14ac:dyDescent="0.25">
      <c r="B52" s="28"/>
      <c r="K52" s="28"/>
    </row>
    <row r="53" spans="2:11" x14ac:dyDescent="0.25">
      <c r="B53" s="28"/>
      <c r="K53" s="28"/>
    </row>
    <row r="54" spans="2:11" x14ac:dyDescent="0.25">
      <c r="B54" s="28"/>
      <c r="K54" s="28"/>
    </row>
    <row r="55" spans="2:11" x14ac:dyDescent="0.25">
      <c r="B55" s="28"/>
      <c r="K55" s="28"/>
    </row>
    <row r="56" spans="2:11" x14ac:dyDescent="0.25">
      <c r="B56" s="28"/>
      <c r="K56" s="28"/>
    </row>
    <row r="57" spans="2:11" x14ac:dyDescent="0.25">
      <c r="B57" s="28"/>
      <c r="K57" s="28"/>
    </row>
    <row r="58" spans="2:11" x14ac:dyDescent="0.25">
      <c r="B58" s="28"/>
      <c r="K58" s="28"/>
    </row>
    <row r="59" spans="2:11" x14ac:dyDescent="0.25">
      <c r="B59" s="28"/>
      <c r="K59" s="28"/>
    </row>
    <row r="60" spans="2:11" x14ac:dyDescent="0.25">
      <c r="B60" s="28"/>
      <c r="K60" s="28"/>
    </row>
    <row r="61" spans="2:11" x14ac:dyDescent="0.25">
      <c r="B61" s="28"/>
      <c r="K61" s="28"/>
    </row>
    <row r="62" spans="2:11" x14ac:dyDescent="0.25">
      <c r="B62" s="28"/>
      <c r="K62" s="28"/>
    </row>
    <row r="63" spans="2:11" x14ac:dyDescent="0.25">
      <c r="B63" s="28"/>
      <c r="K63" s="28"/>
    </row>
    <row r="64" spans="2:11" x14ac:dyDescent="0.25">
      <c r="B64" s="28"/>
      <c r="K64" s="28"/>
    </row>
    <row r="65" spans="2:11" x14ac:dyDescent="0.25">
      <c r="B65" s="28"/>
      <c r="K65" s="28"/>
    </row>
    <row r="66" spans="2:11" x14ac:dyDescent="0.25">
      <c r="B66" s="28"/>
      <c r="K66" s="28"/>
    </row>
    <row r="67" spans="2:11" x14ac:dyDescent="0.25">
      <c r="B67" s="28"/>
      <c r="K67" s="28"/>
    </row>
    <row r="68" spans="2:11" x14ac:dyDescent="0.25">
      <c r="B68" s="28"/>
      <c r="K68" s="28"/>
    </row>
    <row r="69" spans="2:11" x14ac:dyDescent="0.25">
      <c r="B69" s="28"/>
      <c r="K69" s="28"/>
    </row>
    <row r="70" spans="2:11" x14ac:dyDescent="0.25">
      <c r="B70" s="28"/>
      <c r="K70" s="28"/>
    </row>
    <row r="71" spans="2:11" x14ac:dyDescent="0.25">
      <c r="B71" s="28"/>
      <c r="K71" s="28"/>
    </row>
    <row r="72" spans="2:11" x14ac:dyDescent="0.25">
      <c r="B72" s="28"/>
      <c r="K72" s="28"/>
    </row>
    <row r="73" spans="2:11" x14ac:dyDescent="0.25">
      <c r="B73" s="28"/>
      <c r="K73" s="28"/>
    </row>
    <row r="74" spans="2:11" x14ac:dyDescent="0.25">
      <c r="B74" s="28"/>
      <c r="K74" s="28"/>
    </row>
    <row r="75" spans="2:11" x14ac:dyDescent="0.25">
      <c r="B75" s="28"/>
      <c r="K75" s="28"/>
    </row>
    <row r="76" spans="2:11" x14ac:dyDescent="0.25">
      <c r="B76" s="28"/>
      <c r="K76" s="28"/>
    </row>
    <row r="77" spans="2:11" x14ac:dyDescent="0.25">
      <c r="B77" s="28"/>
      <c r="K77" s="28"/>
    </row>
    <row r="78" spans="2:11" x14ac:dyDescent="0.25">
      <c r="B78" s="28"/>
      <c r="K78" s="28"/>
    </row>
    <row r="79" spans="2:11" x14ac:dyDescent="0.25">
      <c r="B79" s="28"/>
      <c r="K79" s="28"/>
    </row>
    <row r="80" spans="2:11" x14ac:dyDescent="0.25">
      <c r="B80" s="28"/>
      <c r="K80" s="28"/>
    </row>
    <row r="81" spans="2:11" x14ac:dyDescent="0.25">
      <c r="B81" s="28"/>
      <c r="K81" s="28"/>
    </row>
    <row r="82" spans="2:11" x14ac:dyDescent="0.25">
      <c r="B82" s="28"/>
      <c r="K82" s="28"/>
    </row>
    <row r="83" spans="2:11" x14ac:dyDescent="0.25">
      <c r="B83" s="28"/>
      <c r="K83" s="28"/>
    </row>
    <row r="84" spans="2:11" x14ac:dyDescent="0.25">
      <c r="B84" s="28"/>
      <c r="K84" s="28"/>
    </row>
    <row r="85" spans="2:11" x14ac:dyDescent="0.25">
      <c r="B85" s="28"/>
      <c r="K85" s="28"/>
    </row>
    <row r="86" spans="2:11" x14ac:dyDescent="0.25">
      <c r="B86" s="28"/>
      <c r="K86" s="28"/>
    </row>
    <row r="87" spans="2:11" x14ac:dyDescent="0.25">
      <c r="B87" s="28"/>
      <c r="K87" s="28"/>
    </row>
    <row r="88" spans="2:11" x14ac:dyDescent="0.25">
      <c r="B88" s="28"/>
      <c r="K88" s="28"/>
    </row>
    <row r="89" spans="2:11" x14ac:dyDescent="0.25">
      <c r="B89" s="28"/>
      <c r="K89" s="28"/>
    </row>
    <row r="90" spans="2:11" x14ac:dyDescent="0.25">
      <c r="B90" s="28"/>
      <c r="K90" s="28"/>
    </row>
    <row r="91" spans="2:11" x14ac:dyDescent="0.25">
      <c r="B91" s="28"/>
      <c r="K91" s="28"/>
    </row>
    <row r="92" spans="2:11" x14ac:dyDescent="0.25">
      <c r="B92" s="28"/>
      <c r="K92" s="28"/>
    </row>
    <row r="93" spans="2:11" x14ac:dyDescent="0.25">
      <c r="B93" s="28"/>
      <c r="K93" s="28"/>
    </row>
    <row r="94" spans="2:11" x14ac:dyDescent="0.25">
      <c r="B94" s="28"/>
      <c r="K94" s="28"/>
    </row>
    <row r="95" spans="2:11" x14ac:dyDescent="0.25">
      <c r="B95" s="28"/>
      <c r="K95" s="28"/>
    </row>
    <row r="96" spans="2:11" x14ac:dyDescent="0.25">
      <c r="B96" s="28"/>
      <c r="K96" s="28"/>
    </row>
    <row r="97" spans="2:11" x14ac:dyDescent="0.25">
      <c r="B97" s="28"/>
      <c r="K97" s="28"/>
    </row>
    <row r="98" spans="2:11" x14ac:dyDescent="0.25">
      <c r="B98" s="28"/>
      <c r="K98" s="28"/>
    </row>
    <row r="99" spans="2:11" x14ac:dyDescent="0.25">
      <c r="B99" s="28"/>
      <c r="K99" s="28"/>
    </row>
    <row r="100" spans="2:11" x14ac:dyDescent="0.25">
      <c r="B100" s="28"/>
      <c r="K100" s="28"/>
    </row>
    <row r="101" spans="2:11" x14ac:dyDescent="0.25">
      <c r="B101" s="28"/>
      <c r="K101" s="28"/>
    </row>
    <row r="102" spans="2:11" x14ac:dyDescent="0.25">
      <c r="B102" s="28"/>
      <c r="K102" s="28"/>
    </row>
    <row r="103" spans="2:11" x14ac:dyDescent="0.25">
      <c r="B103" s="28"/>
      <c r="K103" s="28"/>
    </row>
    <row r="104" spans="2:11" x14ac:dyDescent="0.25">
      <c r="B104" s="28"/>
      <c r="K104" s="28"/>
    </row>
    <row r="105" spans="2:11" x14ac:dyDescent="0.25">
      <c r="B105" s="28"/>
      <c r="K105" s="28"/>
    </row>
    <row r="106" spans="2:11" x14ac:dyDescent="0.25">
      <c r="B106" s="28"/>
      <c r="K106" s="28"/>
    </row>
    <row r="107" spans="2:11" x14ac:dyDescent="0.25">
      <c r="B107" s="28"/>
      <c r="K107" s="28"/>
    </row>
    <row r="108" spans="2:11" x14ac:dyDescent="0.25">
      <c r="B108" s="28"/>
      <c r="K108" s="28"/>
    </row>
    <row r="109" spans="2:11" x14ac:dyDescent="0.25">
      <c r="B109" s="28"/>
      <c r="K109" s="28"/>
    </row>
    <row r="110" spans="2:11" x14ac:dyDescent="0.25">
      <c r="B110" s="28"/>
      <c r="K110" s="28"/>
    </row>
    <row r="111" spans="2:11" x14ac:dyDescent="0.25">
      <c r="B111" s="28"/>
      <c r="K111" s="28"/>
    </row>
    <row r="112" spans="2:11" x14ac:dyDescent="0.25">
      <c r="B112" s="28"/>
      <c r="K112" s="28"/>
    </row>
    <row r="113" spans="2:11" x14ac:dyDescent="0.25">
      <c r="B113" s="28"/>
      <c r="K113" s="28"/>
    </row>
    <row r="114" spans="2:11" x14ac:dyDescent="0.25">
      <c r="B114" s="28"/>
      <c r="K114" s="28"/>
    </row>
    <row r="115" spans="2:11" x14ac:dyDescent="0.25">
      <c r="B115" s="28"/>
      <c r="K115" s="28"/>
    </row>
    <row r="116" spans="2:11" x14ac:dyDescent="0.25">
      <c r="B116" s="28"/>
      <c r="K116" s="28"/>
    </row>
    <row r="117" spans="2:11" x14ac:dyDescent="0.25">
      <c r="B117" s="28"/>
      <c r="K117" s="28"/>
    </row>
    <row r="118" spans="2:11" x14ac:dyDescent="0.25">
      <c r="B118" s="28"/>
      <c r="K118" s="28"/>
    </row>
    <row r="119" spans="2:11" x14ac:dyDescent="0.25">
      <c r="B119" s="28"/>
      <c r="K119" s="28"/>
    </row>
    <row r="120" spans="2:11" x14ac:dyDescent="0.25">
      <c r="B120" s="28"/>
      <c r="K120" s="28"/>
    </row>
    <row r="121" spans="2:11" x14ac:dyDescent="0.25">
      <c r="B121" s="28"/>
      <c r="K121" s="28"/>
    </row>
    <row r="122" spans="2:11" x14ac:dyDescent="0.25">
      <c r="B122" s="28"/>
      <c r="K122" s="28"/>
    </row>
    <row r="123" spans="2:11" x14ac:dyDescent="0.25">
      <c r="B123" s="28"/>
      <c r="K123" s="28"/>
    </row>
    <row r="124" spans="2:11" x14ac:dyDescent="0.25">
      <c r="B124" s="28"/>
      <c r="K124" s="28"/>
    </row>
    <row r="125" spans="2:11" x14ac:dyDescent="0.25">
      <c r="B125" s="28"/>
      <c r="K125" s="28"/>
    </row>
    <row r="126" spans="2:11" x14ac:dyDescent="0.25">
      <c r="B126" s="28"/>
      <c r="K126" s="28"/>
    </row>
    <row r="127" spans="2:11" x14ac:dyDescent="0.25">
      <c r="B127" s="28"/>
      <c r="K127" s="28"/>
    </row>
    <row r="128" spans="2:11" x14ac:dyDescent="0.25">
      <c r="B128" s="28"/>
      <c r="K128" s="28"/>
    </row>
    <row r="129" spans="2:11" x14ac:dyDescent="0.25">
      <c r="B129" s="28"/>
      <c r="K129" s="28"/>
    </row>
    <row r="130" spans="2:11" x14ac:dyDescent="0.25">
      <c r="B130" s="28"/>
      <c r="K130" s="28"/>
    </row>
    <row r="131" spans="2:11" x14ac:dyDescent="0.25">
      <c r="B131" s="28"/>
      <c r="K131" s="28"/>
    </row>
    <row r="132" spans="2:11" x14ac:dyDescent="0.25">
      <c r="B132" s="28"/>
      <c r="K132" s="28"/>
    </row>
    <row r="133" spans="2:11" x14ac:dyDescent="0.25">
      <c r="B133" s="28"/>
      <c r="K133" s="28"/>
    </row>
    <row r="134" spans="2:11" x14ac:dyDescent="0.25">
      <c r="B134" s="28"/>
      <c r="K134" s="28"/>
    </row>
    <row r="135" spans="2:11" x14ac:dyDescent="0.25">
      <c r="B135" s="28"/>
      <c r="K135" s="28"/>
    </row>
    <row r="136" spans="2:11" x14ac:dyDescent="0.25">
      <c r="B136" s="28"/>
      <c r="K136" s="28"/>
    </row>
    <row r="137" spans="2:11" x14ac:dyDescent="0.25">
      <c r="B137" s="28"/>
      <c r="K137" s="28"/>
    </row>
    <row r="138" spans="2:11" x14ac:dyDescent="0.25">
      <c r="B138" s="28"/>
      <c r="K138" s="28"/>
    </row>
    <row r="139" spans="2:11" x14ac:dyDescent="0.25">
      <c r="B139" s="28"/>
      <c r="K139" s="28"/>
    </row>
    <row r="140" spans="2:11" x14ac:dyDescent="0.25">
      <c r="B140" s="28"/>
      <c r="K140" s="28"/>
    </row>
    <row r="141" spans="2:11" x14ac:dyDescent="0.25">
      <c r="B141" s="28"/>
      <c r="K141" s="28"/>
    </row>
    <row r="142" spans="2:11" x14ac:dyDescent="0.25">
      <c r="B142" s="28"/>
      <c r="K142" s="28"/>
    </row>
    <row r="143" spans="2:11" x14ac:dyDescent="0.25">
      <c r="B143" s="28"/>
      <c r="K143" s="28"/>
    </row>
    <row r="144" spans="2:11" x14ac:dyDescent="0.25">
      <c r="B144" s="28"/>
      <c r="K144" s="28"/>
    </row>
    <row r="145" spans="2:11" x14ac:dyDescent="0.25">
      <c r="B145" s="28"/>
      <c r="K145" s="28"/>
    </row>
    <row r="146" spans="2:11" x14ac:dyDescent="0.25">
      <c r="B146" s="28"/>
      <c r="K146" s="28"/>
    </row>
    <row r="147" spans="2:11" x14ac:dyDescent="0.25">
      <c r="B147" s="28"/>
      <c r="K147" s="28"/>
    </row>
    <row r="148" spans="2:11" x14ac:dyDescent="0.25">
      <c r="B148" s="28"/>
      <c r="K148" s="28"/>
    </row>
    <row r="149" spans="2:11" x14ac:dyDescent="0.25">
      <c r="B149" s="28"/>
      <c r="K149" s="28"/>
    </row>
    <row r="150" spans="2:11" x14ac:dyDescent="0.25">
      <c r="B150" s="28"/>
      <c r="K150" s="28"/>
    </row>
    <row r="151" spans="2:11" x14ac:dyDescent="0.25">
      <c r="B151" s="28"/>
      <c r="K151" s="28"/>
    </row>
    <row r="152" spans="2:11" x14ac:dyDescent="0.25">
      <c r="B152" s="28"/>
      <c r="K152" s="28"/>
    </row>
    <row r="153" spans="2:11" x14ac:dyDescent="0.25">
      <c r="B153" s="28"/>
      <c r="K153" s="28"/>
    </row>
    <row r="154" spans="2:11" x14ac:dyDescent="0.25">
      <c r="B154" s="28"/>
      <c r="K154" s="28"/>
    </row>
    <row r="155" spans="2:11" x14ac:dyDescent="0.25">
      <c r="B155" s="28"/>
      <c r="K155" s="28"/>
    </row>
    <row r="156" spans="2:11" x14ac:dyDescent="0.25">
      <c r="B156" s="28"/>
      <c r="K156" s="28"/>
    </row>
    <row r="157" spans="2:11" x14ac:dyDescent="0.25">
      <c r="B157" s="28"/>
      <c r="K157" s="28"/>
    </row>
    <row r="158" spans="2:11" x14ac:dyDescent="0.25">
      <c r="B158" s="28"/>
      <c r="K158" s="28"/>
    </row>
    <row r="159" spans="2:11" x14ac:dyDescent="0.25">
      <c r="B159" s="28"/>
      <c r="K159" s="28"/>
    </row>
    <row r="160" spans="2:11" x14ac:dyDescent="0.25">
      <c r="B160" s="28"/>
      <c r="K160" s="28"/>
    </row>
    <row r="161" spans="2:11" x14ac:dyDescent="0.25">
      <c r="B161" s="28"/>
      <c r="K161" s="28"/>
    </row>
    <row r="162" spans="2:11" x14ac:dyDescent="0.25">
      <c r="B162" s="28"/>
      <c r="K162" s="28"/>
    </row>
    <row r="163" spans="2:11" x14ac:dyDescent="0.25">
      <c r="B163" s="28"/>
      <c r="K163" s="28"/>
    </row>
    <row r="164" spans="2:11" x14ac:dyDescent="0.25">
      <c r="B164" s="28"/>
      <c r="K164" s="28"/>
    </row>
    <row r="165" spans="2:11" x14ac:dyDescent="0.25">
      <c r="B165" s="28"/>
      <c r="K165" s="28"/>
    </row>
    <row r="166" spans="2:11" x14ac:dyDescent="0.25">
      <c r="B166" s="28"/>
      <c r="K166" s="28"/>
    </row>
    <row r="167" spans="2:11" x14ac:dyDescent="0.25">
      <c r="B167" s="28"/>
      <c r="K167" s="28"/>
    </row>
    <row r="168" spans="2:11" x14ac:dyDescent="0.25">
      <c r="B168" s="28"/>
      <c r="K168" s="28"/>
    </row>
    <row r="169" spans="2:11" x14ac:dyDescent="0.25">
      <c r="B169" s="28"/>
      <c r="K169" s="28"/>
    </row>
    <row r="170" spans="2:11" x14ac:dyDescent="0.25">
      <c r="B170" s="28"/>
      <c r="K170" s="28"/>
    </row>
    <row r="171" spans="2:11" x14ac:dyDescent="0.25">
      <c r="B171" s="28"/>
      <c r="K171" s="28"/>
    </row>
    <row r="172" spans="2:11" x14ac:dyDescent="0.25">
      <c r="B172" s="28"/>
      <c r="K172" s="28"/>
    </row>
    <row r="173" spans="2:11" x14ac:dyDescent="0.25">
      <c r="B173" s="28"/>
      <c r="K173" s="28"/>
    </row>
    <row r="174" spans="2:11" x14ac:dyDescent="0.25">
      <c r="B174" s="28"/>
      <c r="K174" s="28"/>
    </row>
    <row r="175" spans="2:11" x14ac:dyDescent="0.25">
      <c r="B175" s="28"/>
      <c r="K175" s="28"/>
    </row>
    <row r="176" spans="2:11" x14ac:dyDescent="0.25">
      <c r="B176" s="28"/>
      <c r="K176" s="28"/>
    </row>
    <row r="177" spans="2:11" x14ac:dyDescent="0.25">
      <c r="B177" s="28"/>
      <c r="K177" s="28"/>
    </row>
    <row r="178" spans="2:11" x14ac:dyDescent="0.25">
      <c r="B178" s="28"/>
      <c r="K178" s="28"/>
    </row>
    <row r="179" spans="2:11" x14ac:dyDescent="0.25">
      <c r="B179" s="28"/>
      <c r="K179" s="28"/>
    </row>
    <row r="180" spans="2:11" x14ac:dyDescent="0.25">
      <c r="B180" s="28"/>
      <c r="K180" s="28"/>
    </row>
    <row r="181" spans="2:11" x14ac:dyDescent="0.25">
      <c r="B181" s="28"/>
      <c r="K181" s="28"/>
    </row>
    <row r="182" spans="2:11" x14ac:dyDescent="0.25">
      <c r="B182" s="28"/>
      <c r="K182" s="28"/>
    </row>
    <row r="183" spans="2:11" x14ac:dyDescent="0.25">
      <c r="B183" s="28"/>
      <c r="K183" s="28"/>
    </row>
    <row r="184" spans="2:11" x14ac:dyDescent="0.25">
      <c r="B184" s="28"/>
      <c r="K184" s="28"/>
    </row>
    <row r="185" spans="2:11" x14ac:dyDescent="0.25">
      <c r="B185" s="28"/>
      <c r="K185" s="28"/>
    </row>
    <row r="186" spans="2:11" x14ac:dyDescent="0.25">
      <c r="B186" s="28"/>
      <c r="K186" s="28"/>
    </row>
    <row r="187" spans="2:11" x14ac:dyDescent="0.25">
      <c r="B187" s="28"/>
      <c r="K187" s="28"/>
    </row>
    <row r="188" spans="2:11" x14ac:dyDescent="0.25">
      <c r="B188" s="28"/>
      <c r="K188" s="28"/>
    </row>
    <row r="189" spans="2:11" x14ac:dyDescent="0.25">
      <c r="B189" s="28"/>
      <c r="K189" s="28"/>
    </row>
    <row r="190" spans="2:11" x14ac:dyDescent="0.25">
      <c r="B190" s="28"/>
      <c r="K190" s="28"/>
    </row>
    <row r="191" spans="2:11" x14ac:dyDescent="0.25">
      <c r="B191" s="28"/>
      <c r="K191" s="28"/>
    </row>
    <row r="192" spans="2:11" x14ac:dyDescent="0.25">
      <c r="B192" s="28"/>
      <c r="K192" s="28"/>
    </row>
    <row r="193" spans="2:11" x14ac:dyDescent="0.25">
      <c r="B193" s="28"/>
      <c r="K193" s="28"/>
    </row>
    <row r="194" spans="2:11" x14ac:dyDescent="0.25">
      <c r="B194" s="28"/>
      <c r="K194" s="28"/>
    </row>
    <row r="195" spans="2:11" x14ac:dyDescent="0.25">
      <c r="B195" s="28"/>
      <c r="K195" s="28"/>
    </row>
    <row r="196" spans="2:11" x14ac:dyDescent="0.25">
      <c r="B196" s="28"/>
      <c r="K196" s="28"/>
    </row>
    <row r="197" spans="2:11" x14ac:dyDescent="0.25">
      <c r="B197" s="28"/>
      <c r="K197" s="28"/>
    </row>
    <row r="198" spans="2:11" x14ac:dyDescent="0.25">
      <c r="B198" s="28"/>
      <c r="K198" s="28"/>
    </row>
    <row r="199" spans="2:11" x14ac:dyDescent="0.25">
      <c r="B199" s="28"/>
      <c r="K199" s="28"/>
    </row>
    <row r="200" spans="2:11" x14ac:dyDescent="0.25">
      <c r="B200" s="28"/>
      <c r="K200" s="28"/>
    </row>
    <row r="201" spans="2:11" x14ac:dyDescent="0.25">
      <c r="B201" s="28"/>
      <c r="K201" s="28"/>
    </row>
    <row r="202" spans="2:11" x14ac:dyDescent="0.25">
      <c r="B202" s="28"/>
      <c r="K202" s="28"/>
    </row>
    <row r="203" spans="2:11" x14ac:dyDescent="0.25">
      <c r="B203" s="28"/>
      <c r="K203" s="28"/>
    </row>
    <row r="204" spans="2:11" x14ac:dyDescent="0.25">
      <c r="B204" s="28"/>
      <c r="K204" s="28"/>
    </row>
    <row r="205" spans="2:11" x14ac:dyDescent="0.25">
      <c r="B205" s="28"/>
      <c r="K205" s="28"/>
    </row>
    <row r="206" spans="2:11" x14ac:dyDescent="0.25">
      <c r="B206" s="28"/>
      <c r="K206" s="28"/>
    </row>
    <row r="207" spans="2:11" x14ac:dyDescent="0.25">
      <c r="B207" s="28"/>
      <c r="K207" s="28"/>
    </row>
    <row r="208" spans="2:11" x14ac:dyDescent="0.25">
      <c r="B208" s="28"/>
      <c r="K208" s="28"/>
    </row>
    <row r="209" spans="2:11" x14ac:dyDescent="0.25">
      <c r="B209" s="28"/>
      <c r="K209" s="28"/>
    </row>
    <row r="210" spans="2:11" x14ac:dyDescent="0.25">
      <c r="B210" s="28"/>
      <c r="K210" s="28"/>
    </row>
    <row r="211" spans="2:11" x14ac:dyDescent="0.25">
      <c r="B211" s="28"/>
      <c r="K211" s="28"/>
    </row>
    <row r="212" spans="2:11" x14ac:dyDescent="0.25">
      <c r="B212" s="28"/>
      <c r="K212" s="28"/>
    </row>
    <row r="213" spans="2:11" x14ac:dyDescent="0.25">
      <c r="B213" s="28"/>
      <c r="K213" s="28"/>
    </row>
    <row r="214" spans="2:11" x14ac:dyDescent="0.25">
      <c r="B214" s="28"/>
      <c r="K214" s="28"/>
    </row>
    <row r="215" spans="2:11" x14ac:dyDescent="0.25">
      <c r="B215" s="28"/>
      <c r="K215" s="28"/>
    </row>
    <row r="216" spans="2:11" x14ac:dyDescent="0.25">
      <c r="B216" s="28"/>
      <c r="K216" s="28"/>
    </row>
    <row r="217" spans="2:11" x14ac:dyDescent="0.25">
      <c r="B217" s="28"/>
      <c r="K217" s="28"/>
    </row>
    <row r="218" spans="2:11" x14ac:dyDescent="0.25">
      <c r="B218" s="28"/>
      <c r="K218" s="28"/>
    </row>
    <row r="219" spans="2:11" x14ac:dyDescent="0.25">
      <c r="B219" s="28"/>
      <c r="K219" s="28"/>
    </row>
    <row r="220" spans="2:11" x14ac:dyDescent="0.25">
      <c r="B220" s="28"/>
      <c r="K220" s="28"/>
    </row>
    <row r="221" spans="2:11" x14ac:dyDescent="0.25">
      <c r="B221" s="28"/>
      <c r="K221" s="28"/>
    </row>
    <row r="222" spans="2:11" x14ac:dyDescent="0.25">
      <c r="B222" s="28"/>
      <c r="K222" s="28"/>
    </row>
    <row r="223" spans="2:11" x14ac:dyDescent="0.25">
      <c r="B223" s="28"/>
      <c r="K223" s="28"/>
    </row>
    <row r="224" spans="2:11" x14ac:dyDescent="0.25">
      <c r="B224" s="28"/>
      <c r="K224" s="28"/>
    </row>
    <row r="225" spans="2:11" x14ac:dyDescent="0.25">
      <c r="B225" s="28"/>
      <c r="K225" s="28"/>
    </row>
    <row r="226" spans="2:11" x14ac:dyDescent="0.25">
      <c r="B226" s="28"/>
      <c r="K226" s="28"/>
    </row>
    <row r="227" spans="2:11" x14ac:dyDescent="0.25">
      <c r="B227" s="28"/>
      <c r="K227" s="28"/>
    </row>
    <row r="228" spans="2:11" x14ac:dyDescent="0.25">
      <c r="B228" s="28"/>
      <c r="K228" s="28"/>
    </row>
    <row r="229" spans="2:11" x14ac:dyDescent="0.25">
      <c r="B229" s="28"/>
      <c r="K229" s="28"/>
    </row>
    <row r="230" spans="2:11" x14ac:dyDescent="0.25">
      <c r="B230" s="28"/>
      <c r="K230" s="28"/>
    </row>
    <row r="231" spans="2:11" x14ac:dyDescent="0.25">
      <c r="B231" s="28"/>
      <c r="K231" s="28"/>
    </row>
    <row r="232" spans="2:11" x14ac:dyDescent="0.25">
      <c r="B232" s="28"/>
      <c r="K232" s="28"/>
    </row>
    <row r="233" spans="2:11" x14ac:dyDescent="0.25">
      <c r="B233" s="28"/>
      <c r="K233" s="28"/>
    </row>
    <row r="234" spans="2:11" x14ac:dyDescent="0.25">
      <c r="B234" s="28"/>
      <c r="K234" s="28"/>
    </row>
    <row r="235" spans="2:11" x14ac:dyDescent="0.25">
      <c r="B235" s="28"/>
      <c r="K235" s="28"/>
    </row>
    <row r="236" spans="2:11" x14ac:dyDescent="0.25">
      <c r="B236" s="28"/>
      <c r="K236" s="28"/>
    </row>
    <row r="237" spans="2:11" x14ac:dyDescent="0.25">
      <c r="B237" s="28"/>
      <c r="K237" s="28"/>
    </row>
    <row r="238" spans="2:11" x14ac:dyDescent="0.25">
      <c r="B238" s="28"/>
      <c r="K238" s="28"/>
    </row>
    <row r="239" spans="2:11" x14ac:dyDescent="0.25">
      <c r="B239" s="28"/>
      <c r="K239" s="28"/>
    </row>
    <row r="240" spans="2:11" x14ac:dyDescent="0.25">
      <c r="B240" s="28"/>
      <c r="K240" s="28"/>
    </row>
    <row r="241" spans="2:11" x14ac:dyDescent="0.25">
      <c r="B241" s="28"/>
      <c r="K241" s="28"/>
    </row>
    <row r="242" spans="2:11" x14ac:dyDescent="0.25">
      <c r="B242" s="28"/>
      <c r="K242" s="28"/>
    </row>
    <row r="243" spans="2:11" x14ac:dyDescent="0.25">
      <c r="B243" s="28"/>
      <c r="K243" s="28"/>
    </row>
    <row r="244" spans="2:11" x14ac:dyDescent="0.25">
      <c r="B244" s="28"/>
      <c r="K244" s="28"/>
    </row>
    <row r="245" spans="2:11" x14ac:dyDescent="0.25">
      <c r="B245" s="28"/>
      <c r="K245" s="28"/>
    </row>
    <row r="246" spans="2:11" x14ac:dyDescent="0.25">
      <c r="B246" s="28"/>
      <c r="K246" s="28"/>
    </row>
    <row r="247" spans="2:11" x14ac:dyDescent="0.25">
      <c r="B247" s="28"/>
      <c r="K247" s="28"/>
    </row>
    <row r="248" spans="2:11" x14ac:dyDescent="0.25">
      <c r="B248" s="28"/>
      <c r="K248" s="28"/>
    </row>
    <row r="249" spans="2:11" x14ac:dyDescent="0.25">
      <c r="B249" s="28"/>
      <c r="K249" s="28"/>
    </row>
    <row r="250" spans="2:11" x14ac:dyDescent="0.25">
      <c r="B250" s="28"/>
      <c r="K250" s="28"/>
    </row>
    <row r="251" spans="2:11" x14ac:dyDescent="0.25">
      <c r="B251" s="28"/>
      <c r="K251" s="28"/>
    </row>
    <row r="252" spans="2:11" x14ac:dyDescent="0.25">
      <c r="B252" s="28"/>
      <c r="K252" s="28"/>
    </row>
    <row r="253" spans="2:11" x14ac:dyDescent="0.25">
      <c r="B253" s="28"/>
      <c r="K253" s="28"/>
    </row>
    <row r="254" spans="2:11" x14ac:dyDescent="0.25">
      <c r="B254" s="28"/>
      <c r="K254" s="28"/>
    </row>
    <row r="255" spans="2:11" x14ac:dyDescent="0.25">
      <c r="B255" s="28"/>
      <c r="K255" s="28"/>
    </row>
    <row r="256" spans="2:11" x14ac:dyDescent="0.25">
      <c r="B256" s="28"/>
      <c r="K256" s="28"/>
    </row>
    <row r="257" spans="2:11" x14ac:dyDescent="0.25">
      <c r="B257" s="28"/>
      <c r="K257" s="28"/>
    </row>
    <row r="258" spans="2:11" x14ac:dyDescent="0.25">
      <c r="B258" s="28"/>
      <c r="K258" s="28"/>
    </row>
    <row r="259" spans="2:11" x14ac:dyDescent="0.25">
      <c r="B259" s="28"/>
    </row>
    <row r="260" spans="2:11" x14ac:dyDescent="0.25">
      <c r="B260" s="28"/>
    </row>
    <row r="261" spans="2:11" x14ac:dyDescent="0.25">
      <c r="B261" s="28"/>
    </row>
    <row r="262" spans="2:11" x14ac:dyDescent="0.25">
      <c r="B262" s="28"/>
    </row>
    <row r="263" spans="2:11" x14ac:dyDescent="0.25">
      <c r="B263" s="28"/>
    </row>
    <row r="264" spans="2:11" x14ac:dyDescent="0.25">
      <c r="B264" s="28"/>
    </row>
    <row r="265" spans="2:11" x14ac:dyDescent="0.25">
      <c r="B265" s="28"/>
    </row>
    <row r="266" spans="2:11" x14ac:dyDescent="0.25">
      <c r="B266" s="28"/>
    </row>
    <row r="267" spans="2:11" x14ac:dyDescent="0.25">
      <c r="B267" s="28"/>
    </row>
    <row r="268" spans="2:11" x14ac:dyDescent="0.25">
      <c r="B268" s="28"/>
    </row>
  </sheetData>
  <autoFilter ref="A1:O1" xr:uid="{677C703C-216F-418F-9D93-9679DF608EB7}"/>
  <sortState xmlns:xlrd2="http://schemas.microsoft.com/office/spreadsheetml/2017/richdata2" ref="A2:O25">
    <sortCondition ref="B2:B25"/>
    <sortCondition ref="A2:A25"/>
  </sortState>
  <dataValidations count="1">
    <dataValidation type="list" allowBlank="1" showInputMessage="1" showErrorMessage="1" sqref="K2:K258 B2:B268 F2:F31" xr:uid="{8944C347-14AF-4C1B-8741-7757010B4BA4}">
      <formula1>"Herbicide, Fungicide, Insecticide, Rodenticide"</formula1>
    </dataValidation>
  </dataValidations>
  <hyperlinks>
    <hyperlink ref="O3" r:id="rId1" xr:uid="{C881FC64-873F-401C-B743-1300117103C8}"/>
    <hyperlink ref="O4" r:id="rId2" xr:uid="{C60161E9-4A76-40CF-8438-586684794C38}"/>
    <hyperlink ref="O2" r:id="rId3" xr:uid="{F2F6C523-C84D-490E-8974-26015B17364C}"/>
    <hyperlink ref="O9" r:id="rId4" xr:uid="{2AB0C98B-7C9E-4AE4-9A26-47C893519E58}"/>
    <hyperlink ref="O10" r:id="rId5" xr:uid="{B9A2AA88-E93C-4D4C-968C-94AD1821AAA7}"/>
    <hyperlink ref="O12" r:id="rId6" xr:uid="{14529E53-28AE-44E8-B4A9-6608245B3438}"/>
    <hyperlink ref="O13" r:id="rId7" xr:uid="{9D7092B8-B7DC-4E8F-B370-47574C359CCB}"/>
    <hyperlink ref="O16" r:id="rId8" xr:uid="{E1480DDA-2347-4056-82FD-CA11ED2D606A}"/>
    <hyperlink ref="O14" r:id="rId9" xr:uid="{DF35A9DB-C7CF-4A88-9171-AEAE640C2124}"/>
    <hyperlink ref="O15" r:id="rId10" xr:uid="{333D1409-1625-4A9D-BF46-B6B1C4F22D3F}"/>
    <hyperlink ref="O18" r:id="rId11" xr:uid="{E03E683E-9AF3-4114-9EE6-9F02643F4070}"/>
    <hyperlink ref="O19" r:id="rId12" xr:uid="{61089E95-3158-4CC7-A799-D2253A5F1219}"/>
    <hyperlink ref="O20" r:id="rId13" xr:uid="{26B09E38-2FC6-4E9D-8520-87EF9B7D2D79}"/>
    <hyperlink ref="O21" r:id="rId14" xr:uid="{C956B1B2-D3AE-43F6-B7F0-2B9876B023C8}"/>
    <hyperlink ref="O22" r:id="rId15" xr:uid="{32ED3AC2-A72E-41E9-AAD5-C43DD3901F70}"/>
    <hyperlink ref="O23" r:id="rId16" xr:uid="{80F7CD8A-2DEF-4204-9D1B-91E72C8636E3}"/>
    <hyperlink ref="O24" r:id="rId17" xr:uid="{28DB201A-E631-4902-BCD6-D3F9734314B5}"/>
    <hyperlink ref="O25" r:id="rId18" xr:uid="{861C27A4-961B-4C96-9050-74B40FBB2665}"/>
    <hyperlink ref="O5" r:id="rId19" xr:uid="{F0438385-2A3E-4AB4-8913-31E0CF96C15E}"/>
    <hyperlink ref="O7" r:id="rId20" xr:uid="{1E3584EB-F7A3-4EDB-AE25-F7241F499C0B}"/>
    <hyperlink ref="O6" r:id="rId21" xr:uid="{498FBDDF-6C80-4A06-9560-316D4614DA8F}"/>
    <hyperlink ref="O11" r:id="rId22" xr:uid="{940E9FAF-5D61-47E8-A93D-B1B7DCC5056D}"/>
    <hyperlink ref="O17" r:id="rId23" xr:uid="{3CDAB602-34B1-4EEC-BAE9-A18ACF958D3D}"/>
    <hyperlink ref="O26" r:id="rId24" xr:uid="{987C67F4-1422-4B22-BB9A-3731F8D3F598}"/>
    <hyperlink ref="O27" r:id="rId25" xr:uid="{616E3891-C9B9-4575-92CF-A6856C9A43CC}"/>
    <hyperlink ref="O28" r:id="rId26" xr:uid="{A26ED972-6430-4F83-BF99-3C1916169E40}"/>
    <hyperlink ref="O29" r:id="rId27" xr:uid="{FB14E997-1A15-4231-A615-ACAF3F7CB7A1}"/>
    <hyperlink ref="O30" r:id="rId28" xr:uid="{7F914368-90BD-4EE6-B732-37C587AC2DF6}"/>
    <hyperlink ref="O31" r:id="rId29" xr:uid="{CCEC5A56-83A6-468F-A4B5-BFA439AE4BB7}"/>
    <hyperlink ref="O32" r:id="rId30" xr:uid="{6575A9E3-C5DE-4606-B902-927BBDFD8BB8}"/>
    <hyperlink ref="O33" r:id="rId31" xr:uid="{CFAA131E-F6B3-489C-9A82-5606CCE5C8A7}"/>
    <hyperlink ref="O8" r:id="rId32" xr:uid="{92CB6818-1432-4770-8003-F1C07331393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5AD-3AD2-4BEF-90A0-BC4FE08C7694}">
  <dimension ref="A1:J52"/>
  <sheetViews>
    <sheetView zoomScale="90" workbookViewId="0">
      <selection activeCell="B17" sqref="B17"/>
    </sheetView>
  </sheetViews>
  <sheetFormatPr defaultRowHeight="15" x14ac:dyDescent="0.25"/>
  <cols>
    <col min="1" max="1" width="20.7109375" customWidth="1"/>
    <col min="2" max="2" width="22" customWidth="1"/>
    <col min="5" max="5" width="11.5703125" bestFit="1" customWidth="1"/>
    <col min="6" max="6" width="13.140625" customWidth="1"/>
    <col min="7" max="7" width="23.5703125" bestFit="1" customWidth="1"/>
    <col min="23" max="23" width="17.7109375" customWidth="1"/>
    <col min="24" max="24" width="23.5703125" bestFit="1" customWidth="1"/>
  </cols>
  <sheetData>
    <row r="1" spans="1:10" x14ac:dyDescent="0.25">
      <c r="A1" t="s">
        <v>2</v>
      </c>
      <c r="B1" s="29" t="str">
        <f>HYPERLINK("https://www.researchgate.net/publication/249645249_Farm_Energy_Calculator_RIRDC_Innovation_for_rural_Australia", "Salam, Moin &amp; Riethmuller, Glen &amp; Maling, Tim &amp; Short, N. &amp; Bowling, J. &amp; Fisher, J.S. (2010). Farm Energy Calculator RIRDC Innovation for rural Australia.")</f>
        <v>Salam, Moin &amp; Riethmuller, Glen &amp; Maling, Tim &amp; Short, N. &amp; Bowling, J. &amp; Fisher, J.S. (2010). Farm Energy Calculator RIRDC Innovation for rural Australia.</v>
      </c>
    </row>
    <row r="2" spans="1:10" x14ac:dyDescent="0.25">
      <c r="B2" s="29"/>
    </row>
    <row r="3" spans="1:10" x14ac:dyDescent="0.25">
      <c r="A3" t="s">
        <v>443</v>
      </c>
      <c r="E3" t="s">
        <v>444</v>
      </c>
      <c r="F3" s="68" t="s">
        <v>446</v>
      </c>
      <c r="G3" s="68"/>
      <c r="H3" s="68"/>
    </row>
    <row r="4" spans="1:10" x14ac:dyDescent="0.25">
      <c r="A4" t="s">
        <v>433</v>
      </c>
      <c r="B4" t="s">
        <v>434</v>
      </c>
      <c r="C4" t="s">
        <v>435</v>
      </c>
      <c r="E4" t="s">
        <v>445</v>
      </c>
      <c r="F4" t="s">
        <v>452</v>
      </c>
      <c r="G4" t="s">
        <v>447</v>
      </c>
      <c r="H4" t="s">
        <v>448</v>
      </c>
    </row>
    <row r="5" spans="1:10" x14ac:dyDescent="0.25">
      <c r="A5" t="s">
        <v>436</v>
      </c>
      <c r="B5" t="s">
        <v>433</v>
      </c>
      <c r="C5">
        <v>0.1</v>
      </c>
      <c r="E5" t="s">
        <v>449</v>
      </c>
      <c r="F5">
        <v>0.77</v>
      </c>
      <c r="G5">
        <v>0.63500000000000001</v>
      </c>
      <c r="H5">
        <v>0.52200000000000002</v>
      </c>
    </row>
    <row r="6" spans="1:10" x14ac:dyDescent="0.25">
      <c r="A6" t="s">
        <v>491</v>
      </c>
      <c r="B6" t="s">
        <v>488</v>
      </c>
      <c r="C6">
        <v>1</v>
      </c>
      <c r="E6" t="s">
        <v>450</v>
      </c>
      <c r="F6">
        <v>0.84699999999999998</v>
      </c>
      <c r="G6">
        <v>0.73</v>
      </c>
      <c r="H6">
        <v>0.626</v>
      </c>
    </row>
    <row r="7" spans="1:10" x14ac:dyDescent="0.25">
      <c r="A7" t="s">
        <v>492</v>
      </c>
      <c r="B7" t="s">
        <v>489</v>
      </c>
      <c r="C7">
        <v>1.1000000000000001</v>
      </c>
      <c r="E7" t="s">
        <v>451</v>
      </c>
      <c r="F7">
        <v>0.84699999999999998</v>
      </c>
      <c r="G7">
        <v>0.73</v>
      </c>
      <c r="H7">
        <v>0.626</v>
      </c>
    </row>
    <row r="8" spans="1:10" x14ac:dyDescent="0.25">
      <c r="A8" t="s">
        <v>493</v>
      </c>
      <c r="B8" t="s">
        <v>490</v>
      </c>
      <c r="C8">
        <v>1.2</v>
      </c>
    </row>
    <row r="9" spans="1:10" x14ac:dyDescent="0.25">
      <c r="A9" t="s">
        <v>437</v>
      </c>
      <c r="B9" t="s">
        <v>433</v>
      </c>
      <c r="C9">
        <v>-10.47</v>
      </c>
    </row>
    <row r="10" spans="1:10" x14ac:dyDescent="0.25">
      <c r="A10" t="s">
        <v>438</v>
      </c>
      <c r="B10" t="s">
        <v>433</v>
      </c>
      <c r="C10">
        <v>2.89</v>
      </c>
    </row>
    <row r="11" spans="1:10" x14ac:dyDescent="0.25">
      <c r="A11" t="s">
        <v>439</v>
      </c>
      <c r="B11" t="s">
        <v>433</v>
      </c>
      <c r="C11">
        <v>0.4</v>
      </c>
    </row>
    <row r="12" spans="1:10" x14ac:dyDescent="0.25">
      <c r="A12" t="s">
        <v>440</v>
      </c>
      <c r="B12" t="s">
        <v>433</v>
      </c>
      <c r="C12">
        <v>0.36199999999999999</v>
      </c>
    </row>
    <row r="13" spans="1:10" x14ac:dyDescent="0.25">
      <c r="A13" t="s">
        <v>441</v>
      </c>
      <c r="B13" t="s">
        <v>433</v>
      </c>
      <c r="C13">
        <v>0.95760000000000001</v>
      </c>
    </row>
    <row r="14" spans="1:10" x14ac:dyDescent="0.25">
      <c r="A14" t="s">
        <v>442</v>
      </c>
      <c r="B14" t="s">
        <v>433</v>
      </c>
      <c r="C14">
        <v>0.45</v>
      </c>
    </row>
    <row r="16" spans="1:10" x14ac:dyDescent="0.25">
      <c r="A16" t="s">
        <v>453</v>
      </c>
      <c r="B16" s="68" t="s">
        <v>421</v>
      </c>
      <c r="C16" s="68"/>
      <c r="D16" s="68"/>
      <c r="F16" t="s">
        <v>464</v>
      </c>
      <c r="G16" s="68" t="s">
        <v>424</v>
      </c>
      <c r="H16" s="68"/>
      <c r="I16" s="68"/>
      <c r="J16" s="68"/>
    </row>
    <row r="17" spans="1:10" x14ac:dyDescent="0.25">
      <c r="A17" t="s">
        <v>454</v>
      </c>
      <c r="B17" t="s">
        <v>420</v>
      </c>
      <c r="C17" t="s">
        <v>422</v>
      </c>
      <c r="D17" t="s">
        <v>423</v>
      </c>
      <c r="G17" t="s">
        <v>426</v>
      </c>
      <c r="H17" t="s">
        <v>422</v>
      </c>
      <c r="I17" t="s">
        <v>429</v>
      </c>
      <c r="J17" t="s">
        <v>431</v>
      </c>
    </row>
    <row r="18" spans="1:10" x14ac:dyDescent="0.25">
      <c r="A18" s="31" t="s">
        <v>455</v>
      </c>
      <c r="F18" s="31" t="s">
        <v>465</v>
      </c>
    </row>
    <row r="19" spans="1:10" x14ac:dyDescent="0.25">
      <c r="A19" t="s">
        <v>456</v>
      </c>
      <c r="B19">
        <v>-0.34799999999999998</v>
      </c>
      <c r="C19">
        <v>-0.62</v>
      </c>
      <c r="D19">
        <v>2.79</v>
      </c>
      <c r="F19" t="s">
        <v>466</v>
      </c>
      <c r="G19">
        <v>-3.1850000000000001</v>
      </c>
      <c r="H19">
        <v>-0.47899999999999998</v>
      </c>
      <c r="I19">
        <v>0.97</v>
      </c>
      <c r="J19">
        <v>2.97</v>
      </c>
    </row>
    <row r="20" spans="1:10" x14ac:dyDescent="0.25">
      <c r="A20" t="s">
        <v>457</v>
      </c>
      <c r="B20">
        <v>0.03</v>
      </c>
      <c r="C20">
        <v>4.5100000000000001E-2</v>
      </c>
      <c r="D20">
        <v>6.8199999999999997E-2</v>
      </c>
      <c r="F20" t="s">
        <v>467</v>
      </c>
      <c r="G20">
        <v>-1.603</v>
      </c>
      <c r="H20">
        <v>0.10299999999999999</v>
      </c>
      <c r="I20">
        <v>2.552</v>
      </c>
      <c r="J20">
        <v>4.5519999999999996</v>
      </c>
    </row>
    <row r="21" spans="1:10" x14ac:dyDescent="0.25">
      <c r="A21" t="s">
        <v>458</v>
      </c>
      <c r="B21">
        <v>0.115</v>
      </c>
      <c r="C21">
        <v>0.186</v>
      </c>
      <c r="D21">
        <v>0.16</v>
      </c>
      <c r="F21" s="31" t="s">
        <v>468</v>
      </c>
    </row>
    <row r="22" spans="1:10" x14ac:dyDescent="0.25">
      <c r="A22" t="s">
        <v>459</v>
      </c>
      <c r="B22">
        <v>0</v>
      </c>
      <c r="C22">
        <v>0</v>
      </c>
      <c r="D22">
        <v>0</v>
      </c>
      <c r="F22" t="s">
        <v>466</v>
      </c>
      <c r="G22">
        <v>-3.1850000000000001</v>
      </c>
      <c r="H22">
        <v>-2.6850000000000001</v>
      </c>
      <c r="I22">
        <v>-2.1850000000000001</v>
      </c>
      <c r="J22">
        <v>0</v>
      </c>
    </row>
    <row r="23" spans="1:10" x14ac:dyDescent="0.25">
      <c r="A23" s="31" t="s">
        <v>460</v>
      </c>
      <c r="F23" t="s">
        <v>467</v>
      </c>
      <c r="G23">
        <v>-1.603</v>
      </c>
      <c r="H23">
        <v>-1.103</v>
      </c>
      <c r="I23">
        <v>-0.60299999999999998</v>
      </c>
      <c r="J23">
        <v>0</v>
      </c>
    </row>
    <row r="24" spans="1:10" x14ac:dyDescent="0.25">
      <c r="A24" t="s">
        <v>456</v>
      </c>
      <c r="B24">
        <v>0.71799999999999997</v>
      </c>
      <c r="C24">
        <v>0.93340000000000001</v>
      </c>
      <c r="D24">
        <v>1.3124199999999999</v>
      </c>
      <c r="F24" s="31" t="s">
        <v>469</v>
      </c>
    </row>
    <row r="25" spans="1:10" x14ac:dyDescent="0.25">
      <c r="A25" t="s">
        <v>457</v>
      </c>
      <c r="B25">
        <v>2.5399999999999999E-2</v>
      </c>
      <c r="C25">
        <v>3.3050000000000003E-2</v>
      </c>
      <c r="D25">
        <v>4.2925999999999999E-2</v>
      </c>
      <c r="F25" t="s">
        <v>466</v>
      </c>
      <c r="G25">
        <v>0</v>
      </c>
      <c r="H25">
        <v>0</v>
      </c>
      <c r="I25">
        <v>0</v>
      </c>
      <c r="J25">
        <v>-1.6850000000000001</v>
      </c>
    </row>
    <row r="26" spans="1:10" x14ac:dyDescent="0.25">
      <c r="A26" t="s">
        <v>458</v>
      </c>
      <c r="B26">
        <v>-0.16300000000000001</v>
      </c>
      <c r="C26">
        <v>-0.21190000000000001</v>
      </c>
      <c r="D26">
        <v>-0.27546999999999999</v>
      </c>
      <c r="F26" t="s">
        <v>467</v>
      </c>
      <c r="G26">
        <v>0</v>
      </c>
      <c r="H26">
        <v>0</v>
      </c>
      <c r="I26">
        <v>0</v>
      </c>
      <c r="J26">
        <v>-0.10299999999999999</v>
      </c>
    </row>
    <row r="27" spans="1:10" x14ac:dyDescent="0.25">
      <c r="A27" t="s">
        <v>459</v>
      </c>
      <c r="B27">
        <v>4.8199999999999996E-3</v>
      </c>
      <c r="C27">
        <v>5.5640000000000004E-3</v>
      </c>
      <c r="D27">
        <v>7.2329999999999998E-3</v>
      </c>
    </row>
    <row r="28" spans="1:10" x14ac:dyDescent="0.25">
      <c r="A28" s="31" t="s">
        <v>485</v>
      </c>
      <c r="F28" t="s">
        <v>424</v>
      </c>
      <c r="G28" t="s">
        <v>425</v>
      </c>
    </row>
    <row r="29" spans="1:10" x14ac:dyDescent="0.25">
      <c r="A29" t="s">
        <v>456</v>
      </c>
      <c r="B29">
        <v>-0.2681</v>
      </c>
      <c r="C29">
        <v>-0.38300000000000001</v>
      </c>
      <c r="D29">
        <v>2.65</v>
      </c>
      <c r="F29" t="s">
        <v>426</v>
      </c>
      <c r="G29" t="s">
        <v>427</v>
      </c>
    </row>
    <row r="30" spans="1:10" x14ac:dyDescent="0.25">
      <c r="A30" t="s">
        <v>457</v>
      </c>
      <c r="B30">
        <v>1.519E-2</v>
      </c>
      <c r="C30">
        <v>2.1700000000000001E-2</v>
      </c>
      <c r="D30">
        <v>2.29E-2</v>
      </c>
      <c r="F30" t="s">
        <v>422</v>
      </c>
      <c r="G30" t="s">
        <v>428</v>
      </c>
    </row>
    <row r="31" spans="1:10" x14ac:dyDescent="0.25">
      <c r="A31" t="s">
        <v>458</v>
      </c>
      <c r="B31">
        <v>0.29399999999999998</v>
      </c>
      <c r="C31">
        <v>0.42</v>
      </c>
      <c r="D31">
        <v>0.35199999999999998</v>
      </c>
      <c r="F31" t="s">
        <v>429</v>
      </c>
      <c r="G31" t="s">
        <v>430</v>
      </c>
    </row>
    <row r="32" spans="1:10" x14ac:dyDescent="0.25">
      <c r="A32" t="s">
        <v>459</v>
      </c>
      <c r="B32">
        <v>0</v>
      </c>
      <c r="C32">
        <v>0</v>
      </c>
      <c r="D32">
        <v>0</v>
      </c>
      <c r="F32" t="s">
        <v>431</v>
      </c>
      <c r="G32" t="s">
        <v>432</v>
      </c>
    </row>
    <row r="33" spans="1:4" x14ac:dyDescent="0.25">
      <c r="A33" s="31" t="s">
        <v>461</v>
      </c>
    </row>
    <row r="34" spans="1:4" x14ac:dyDescent="0.25">
      <c r="A34" t="s">
        <v>456</v>
      </c>
      <c r="B34">
        <v>-4.3120000000000003</v>
      </c>
      <c r="C34">
        <v>-6.16</v>
      </c>
      <c r="D34">
        <v>-8.0079999999999991</v>
      </c>
    </row>
    <row r="35" spans="1:4" x14ac:dyDescent="0.25">
      <c r="A35" t="s">
        <v>457</v>
      </c>
      <c r="B35">
        <v>4.1160000000000002E-2</v>
      </c>
      <c r="C35">
        <v>5.8799999999999998E-2</v>
      </c>
      <c r="D35">
        <v>7.6439999999999994E-2</v>
      </c>
    </row>
    <row r="36" spans="1:4" x14ac:dyDescent="0.25">
      <c r="A36" t="s">
        <v>458</v>
      </c>
      <c r="B36">
        <v>0.25690000000000002</v>
      </c>
      <c r="C36">
        <v>0.36699999999999999</v>
      </c>
      <c r="D36">
        <v>0.47710000000000002</v>
      </c>
    </row>
    <row r="37" spans="1:4" x14ac:dyDescent="0.25">
      <c r="A37" t="s">
        <v>459</v>
      </c>
      <c r="B37">
        <v>0</v>
      </c>
      <c r="C37">
        <v>0</v>
      </c>
      <c r="D37">
        <v>0</v>
      </c>
    </row>
    <row r="38" spans="1:4" ht="30" x14ac:dyDescent="0.25">
      <c r="A38" s="32" t="s">
        <v>462</v>
      </c>
    </row>
    <row r="39" spans="1:4" x14ac:dyDescent="0.25">
      <c r="A39" t="s">
        <v>456</v>
      </c>
      <c r="B39">
        <v>1.2390000000000001</v>
      </c>
      <c r="C39">
        <v>1.77</v>
      </c>
      <c r="D39">
        <v>3.99</v>
      </c>
    </row>
    <row r="40" spans="1:4" x14ac:dyDescent="0.25">
      <c r="A40" t="s">
        <v>457</v>
      </c>
      <c r="B40">
        <v>1.9949999999999999E-2</v>
      </c>
      <c r="C40">
        <v>2.8500000000000001E-2</v>
      </c>
      <c r="D40">
        <v>2.9000000000000001E-2</v>
      </c>
    </row>
    <row r="41" spans="1:4" x14ac:dyDescent="0.25">
      <c r="A41" t="s">
        <v>458</v>
      </c>
      <c r="B41">
        <v>0.16239999999999999</v>
      </c>
      <c r="C41">
        <v>0.23200000000000001</v>
      </c>
      <c r="D41">
        <v>0.17399999999999999</v>
      </c>
    </row>
    <row r="42" spans="1:4" x14ac:dyDescent="0.25">
      <c r="A42" t="s">
        <v>459</v>
      </c>
      <c r="B42">
        <v>0</v>
      </c>
      <c r="C42">
        <v>0</v>
      </c>
      <c r="D42">
        <v>0</v>
      </c>
    </row>
    <row r="43" spans="1:4" x14ac:dyDescent="0.25">
      <c r="A43" s="31" t="s">
        <v>463</v>
      </c>
    </row>
    <row r="44" spans="1:4" x14ac:dyDescent="0.25">
      <c r="A44" t="s">
        <v>456</v>
      </c>
      <c r="B44">
        <v>0.98199000000000003</v>
      </c>
      <c r="C44">
        <v>1.2765880000000001</v>
      </c>
      <c r="D44">
        <v>1.659564</v>
      </c>
    </row>
    <row r="45" spans="1:4" x14ac:dyDescent="0.25">
      <c r="A45" t="s">
        <v>457</v>
      </c>
      <c r="B45">
        <v>1.5824999999999999E-2</v>
      </c>
      <c r="C45">
        <v>2.0555E-2</v>
      </c>
      <c r="D45">
        <v>2.6721999999999999E-2</v>
      </c>
    </row>
    <row r="46" spans="1:4" x14ac:dyDescent="0.25">
      <c r="A46" t="s">
        <v>458</v>
      </c>
      <c r="B46">
        <v>0.12871299999999999</v>
      </c>
      <c r="C46">
        <v>0.167327</v>
      </c>
      <c r="D46">
        <v>0.217527</v>
      </c>
    </row>
    <row r="47" spans="1:4" x14ac:dyDescent="0.25">
      <c r="A47" t="s">
        <v>459</v>
      </c>
      <c r="B47">
        <v>0</v>
      </c>
      <c r="C47">
        <v>0</v>
      </c>
      <c r="D47">
        <v>0</v>
      </c>
    </row>
    <row r="49" spans="1:2" x14ac:dyDescent="0.25">
      <c r="A49" t="s">
        <v>421</v>
      </c>
      <c r="B49" t="s">
        <v>419</v>
      </c>
    </row>
    <row r="50" spans="1:2" x14ac:dyDescent="0.25">
      <c r="A50" t="s">
        <v>420</v>
      </c>
      <c r="B50">
        <v>6</v>
      </c>
    </row>
    <row r="51" spans="1:2" x14ac:dyDescent="0.25">
      <c r="A51" t="s">
        <v>422</v>
      </c>
      <c r="B51">
        <v>14</v>
      </c>
    </row>
    <row r="52" spans="1:2" x14ac:dyDescent="0.25">
      <c r="A52" t="s">
        <v>423</v>
      </c>
      <c r="B52">
        <v>29</v>
      </c>
    </row>
  </sheetData>
  <mergeCells count="3">
    <mergeCell ref="F3:H3"/>
    <mergeCell ref="B16:D16"/>
    <mergeCell ref="G16:J1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A6F0-1FB7-4678-A562-C06F44ED5DA9}">
  <dimension ref="A1"/>
  <sheetViews>
    <sheetView topLeftCell="A37" workbookViewId="0">
      <selection activeCell="S50" sqref="S5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3F92-EFC3-4ED5-86DC-75D89A1436C2}">
  <dimension ref="A1:E46"/>
  <sheetViews>
    <sheetView workbookViewId="0">
      <selection activeCell="E4" sqref="E4"/>
    </sheetView>
  </sheetViews>
  <sheetFormatPr defaultRowHeight="15" x14ac:dyDescent="0.25"/>
  <cols>
    <col min="1" max="1" width="32.7109375" bestFit="1" customWidth="1"/>
    <col min="3" max="3" width="38.140625" bestFit="1" customWidth="1"/>
    <col min="5" max="5" width="26.28515625" bestFit="1" customWidth="1"/>
  </cols>
  <sheetData>
    <row r="1" spans="1:5" x14ac:dyDescent="0.25">
      <c r="A1" t="s">
        <v>311</v>
      </c>
      <c r="C1" t="s">
        <v>312</v>
      </c>
      <c r="E1" t="s">
        <v>313</v>
      </c>
    </row>
    <row r="2" spans="1:5" x14ac:dyDescent="0.25">
      <c r="A2" t="s">
        <v>314</v>
      </c>
      <c r="C2" t="s">
        <v>359</v>
      </c>
      <c r="E2" t="s">
        <v>383</v>
      </c>
    </row>
    <row r="3" spans="1:5" x14ac:dyDescent="0.25">
      <c r="A3" t="s">
        <v>315</v>
      </c>
      <c r="C3" t="s">
        <v>360</v>
      </c>
      <c r="E3" t="s">
        <v>384</v>
      </c>
    </row>
    <row r="4" spans="1:5" x14ac:dyDescent="0.25">
      <c r="A4" t="s">
        <v>316</v>
      </c>
      <c r="C4" t="s">
        <v>361</v>
      </c>
      <c r="E4" t="s">
        <v>385</v>
      </c>
    </row>
    <row r="5" spans="1:5" x14ac:dyDescent="0.25">
      <c r="A5" t="s">
        <v>317</v>
      </c>
      <c r="C5" t="s">
        <v>362</v>
      </c>
      <c r="E5" t="s">
        <v>386</v>
      </c>
    </row>
    <row r="6" spans="1:5" x14ac:dyDescent="0.25">
      <c r="A6" t="s">
        <v>318</v>
      </c>
      <c r="C6" t="s">
        <v>363</v>
      </c>
      <c r="E6" t="s">
        <v>387</v>
      </c>
    </row>
    <row r="7" spans="1:5" x14ac:dyDescent="0.25">
      <c r="A7" t="s">
        <v>319</v>
      </c>
      <c r="C7" t="s">
        <v>364</v>
      </c>
      <c r="E7" t="s">
        <v>388</v>
      </c>
    </row>
    <row r="8" spans="1:5" x14ac:dyDescent="0.25">
      <c r="A8" t="s">
        <v>320</v>
      </c>
      <c r="C8" t="s">
        <v>365</v>
      </c>
      <c r="E8" t="s">
        <v>389</v>
      </c>
    </row>
    <row r="9" spans="1:5" x14ac:dyDescent="0.25">
      <c r="A9" t="s">
        <v>321</v>
      </c>
      <c r="C9" t="s">
        <v>366</v>
      </c>
      <c r="E9" t="s">
        <v>390</v>
      </c>
    </row>
    <row r="10" spans="1:5" x14ac:dyDescent="0.25">
      <c r="A10" t="s">
        <v>322</v>
      </c>
      <c r="C10" t="s">
        <v>367</v>
      </c>
      <c r="E10" t="s">
        <v>391</v>
      </c>
    </row>
    <row r="11" spans="1:5" x14ac:dyDescent="0.25">
      <c r="A11" t="s">
        <v>323</v>
      </c>
      <c r="C11" t="s">
        <v>368</v>
      </c>
      <c r="E11" t="s">
        <v>392</v>
      </c>
    </row>
    <row r="12" spans="1:5" x14ac:dyDescent="0.25">
      <c r="A12" t="s">
        <v>324</v>
      </c>
      <c r="C12" t="s">
        <v>369</v>
      </c>
      <c r="E12" t="s">
        <v>393</v>
      </c>
    </row>
    <row r="13" spans="1:5" x14ac:dyDescent="0.25">
      <c r="A13" t="s">
        <v>325</v>
      </c>
      <c r="C13" t="s">
        <v>370</v>
      </c>
      <c r="E13" t="s">
        <v>394</v>
      </c>
    </row>
    <row r="14" spans="1:5" x14ac:dyDescent="0.25">
      <c r="A14" t="s">
        <v>326</v>
      </c>
      <c r="C14" t="s">
        <v>371</v>
      </c>
      <c r="E14" t="s">
        <v>395</v>
      </c>
    </row>
    <row r="15" spans="1:5" x14ac:dyDescent="0.25">
      <c r="A15" t="s">
        <v>327</v>
      </c>
      <c r="C15" t="s">
        <v>372</v>
      </c>
      <c r="E15" t="s">
        <v>396</v>
      </c>
    </row>
    <row r="16" spans="1:5" x14ac:dyDescent="0.25">
      <c r="A16" t="s">
        <v>328</v>
      </c>
      <c r="C16" t="s">
        <v>373</v>
      </c>
      <c r="E16" t="s">
        <v>397</v>
      </c>
    </row>
    <row r="17" spans="1:5" x14ac:dyDescent="0.25">
      <c r="A17" t="s">
        <v>329</v>
      </c>
      <c r="C17" t="s">
        <v>374</v>
      </c>
      <c r="E17" t="s">
        <v>398</v>
      </c>
    </row>
    <row r="18" spans="1:5" x14ac:dyDescent="0.25">
      <c r="A18" t="s">
        <v>330</v>
      </c>
      <c r="C18" t="s">
        <v>375</v>
      </c>
      <c r="E18" t="s">
        <v>399</v>
      </c>
    </row>
    <row r="19" spans="1:5" x14ac:dyDescent="0.25">
      <c r="A19" t="s">
        <v>331</v>
      </c>
      <c r="C19" t="s">
        <v>376</v>
      </c>
      <c r="E19" t="s">
        <v>400</v>
      </c>
    </row>
    <row r="20" spans="1:5" x14ac:dyDescent="0.25">
      <c r="A20" t="s">
        <v>332</v>
      </c>
      <c r="C20" t="s">
        <v>377</v>
      </c>
      <c r="E20" t="s">
        <v>401</v>
      </c>
    </row>
    <row r="21" spans="1:5" x14ac:dyDescent="0.25">
      <c r="A21" t="s">
        <v>333</v>
      </c>
      <c r="C21" t="s">
        <v>378</v>
      </c>
      <c r="E21" t="s">
        <v>402</v>
      </c>
    </row>
    <row r="22" spans="1:5" x14ac:dyDescent="0.25">
      <c r="A22" t="s">
        <v>334</v>
      </c>
      <c r="C22" t="s">
        <v>379</v>
      </c>
      <c r="E22" t="s">
        <v>403</v>
      </c>
    </row>
    <row r="23" spans="1:5" x14ac:dyDescent="0.25">
      <c r="A23" t="s">
        <v>335</v>
      </c>
      <c r="C23" t="s">
        <v>380</v>
      </c>
      <c r="E23" t="s">
        <v>404</v>
      </c>
    </row>
    <row r="24" spans="1:5" x14ac:dyDescent="0.25">
      <c r="A24" t="s">
        <v>336</v>
      </c>
      <c r="C24" t="s">
        <v>381</v>
      </c>
      <c r="E24" t="s">
        <v>405</v>
      </c>
    </row>
    <row r="25" spans="1:5" x14ac:dyDescent="0.25">
      <c r="A25" t="s">
        <v>337</v>
      </c>
      <c r="C25" t="s">
        <v>382</v>
      </c>
      <c r="E25" t="s">
        <v>406</v>
      </c>
    </row>
    <row r="26" spans="1:5" x14ac:dyDescent="0.25">
      <c r="A26" t="s">
        <v>338</v>
      </c>
      <c r="E26" t="s">
        <v>407</v>
      </c>
    </row>
    <row r="27" spans="1:5" x14ac:dyDescent="0.25">
      <c r="A27" t="s">
        <v>339</v>
      </c>
      <c r="E27" t="s">
        <v>408</v>
      </c>
    </row>
    <row r="28" spans="1:5" x14ac:dyDescent="0.25">
      <c r="A28" t="s">
        <v>340</v>
      </c>
      <c r="E28" t="s">
        <v>409</v>
      </c>
    </row>
    <row r="29" spans="1:5" x14ac:dyDescent="0.25">
      <c r="A29" t="s">
        <v>341</v>
      </c>
      <c r="E29" t="s">
        <v>410</v>
      </c>
    </row>
    <row r="30" spans="1:5" x14ac:dyDescent="0.25">
      <c r="A30" t="s">
        <v>342</v>
      </c>
      <c r="E30" t="s">
        <v>411</v>
      </c>
    </row>
    <row r="31" spans="1:5" x14ac:dyDescent="0.25">
      <c r="A31" t="s">
        <v>343</v>
      </c>
    </row>
    <row r="32" spans="1:5" x14ac:dyDescent="0.25">
      <c r="A32" t="s">
        <v>344</v>
      </c>
    </row>
    <row r="33" spans="1:1" x14ac:dyDescent="0.25">
      <c r="A33" t="s">
        <v>345</v>
      </c>
    </row>
    <row r="34" spans="1:1" x14ac:dyDescent="0.25">
      <c r="A34" t="s">
        <v>346</v>
      </c>
    </row>
    <row r="35" spans="1:1" x14ac:dyDescent="0.25">
      <c r="A35" t="s">
        <v>347</v>
      </c>
    </row>
    <row r="36" spans="1:1" x14ac:dyDescent="0.25">
      <c r="A36" t="s">
        <v>348</v>
      </c>
    </row>
    <row r="37" spans="1:1" x14ac:dyDescent="0.25">
      <c r="A37" t="s">
        <v>349</v>
      </c>
    </row>
    <row r="38" spans="1:1" x14ac:dyDescent="0.25">
      <c r="A38" t="s">
        <v>350</v>
      </c>
    </row>
    <row r="39" spans="1:1" x14ac:dyDescent="0.25">
      <c r="A39" t="s">
        <v>351</v>
      </c>
    </row>
    <row r="40" spans="1:1" x14ac:dyDescent="0.25">
      <c r="A40" t="s">
        <v>352</v>
      </c>
    </row>
    <row r="41" spans="1:1" x14ac:dyDescent="0.25">
      <c r="A41" t="s">
        <v>353</v>
      </c>
    </row>
    <row r="42" spans="1:1" x14ac:dyDescent="0.25">
      <c r="A42" t="s">
        <v>354</v>
      </c>
    </row>
    <row r="43" spans="1:1" x14ac:dyDescent="0.25">
      <c r="A43" t="s">
        <v>355</v>
      </c>
    </row>
    <row r="44" spans="1:1" x14ac:dyDescent="0.25">
      <c r="A44" t="s">
        <v>356</v>
      </c>
    </row>
    <row r="45" spans="1:1" x14ac:dyDescent="0.25">
      <c r="A45" t="s">
        <v>357</v>
      </c>
    </row>
    <row r="46" spans="1:1" x14ac:dyDescent="0.25">
      <c r="A4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General information</vt:lpstr>
      <vt:lpstr>Metrics Table</vt:lpstr>
      <vt:lpstr>Fertiliser Applied - Input</vt:lpstr>
      <vt:lpstr>Chemical Applied - Input</vt:lpstr>
      <vt:lpstr>Lime Product - Input</vt:lpstr>
      <vt:lpstr>Fuel Usage - Input</vt:lpstr>
      <vt:lpstr>Fuel Uasge (Formula)</vt:lpstr>
      <vt:lpstr>Vegetation - Input</vt:lpstr>
      <vt:lpstr>Farm Data - Grains</vt:lpstr>
      <vt:lpstr>Emission factor</vt:lpstr>
      <vt:lpstr>Fert Comp</vt:lpstr>
      <vt:lpstr>Chemical compounds</vt:lpstr>
      <vt:lpstr>Fuel Formula &amp; Constant</vt:lpstr>
      <vt:lpstr>Raw table (Hide)</vt:lpstr>
      <vt:lpstr>Lookup Value (HIDE)</vt:lpstr>
      <vt:lpstr>Cblr</vt:lpstr>
      <vt:lpstr>Cbt_large</vt:lpstr>
      <vt:lpstr>Cbt_round</vt:lpstr>
      <vt:lpstr>Cbt_small</vt:lpstr>
      <vt:lpstr>Ccch</vt:lpstr>
      <vt:lpstr>Cch</vt:lpstr>
      <vt:lpstr>Cdrft</vt:lpstr>
      <vt:lpstr>Ceh</vt:lpstr>
      <vt:lpstr>Csw</vt:lpstr>
      <vt:lpstr>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Thiem Ma</dc:creator>
  <cp:lastModifiedBy>Vinh Thiem Ma</cp:lastModifiedBy>
  <dcterms:created xsi:type="dcterms:W3CDTF">2015-06-05T18:17:20Z</dcterms:created>
  <dcterms:modified xsi:type="dcterms:W3CDTF">2025-03-05T00:26:05Z</dcterms:modified>
</cp:coreProperties>
</file>