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ДОКУМЕНТЫ 01.12\Положение об оплате труда на 2022 год\ с 05.2022\Уборка 2022\"/>
    </mc:Choice>
  </mc:AlternateContent>
  <bookViews>
    <workbookView xWindow="-120" yWindow="-120" windowWidth="19440" windowHeight="15000" tabRatio="882" activeTab="3"/>
  </bookViews>
  <sheets>
    <sheet name="комб 2022" sheetId="10" r:id="rId1"/>
    <sheet name="водит 2022" sheetId="12" r:id="rId2"/>
    <sheet name="спец" sheetId="14" r:id="rId3"/>
    <sheet name="доработка" sheetId="18" r:id="rId4"/>
    <sheet name="Лист1" sheetId="19" r:id="rId5"/>
    <sheet name="договорники" sheetId="17" r:id="rId6"/>
    <sheet name="комб на премию" sheetId="16" r:id="rId7"/>
    <sheet name="2022 комб выборка" sheetId="15" r:id="rId8"/>
    <sheet name="2022 водители выборка" sheetId="9" r:id="rId9"/>
  </sheets>
  <definedNames>
    <definedName name="_xlnm.Print_Titles" localSheetId="7">'2022 комб выборка'!$C:$C,'2022 комб выборка'!$2:$2</definedName>
    <definedName name="_xlnm.Print_Titles" localSheetId="4">Лист1!$3:$3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2" l="1"/>
  <c r="H48" i="12"/>
  <c r="H49" i="12"/>
  <c r="H50" i="12"/>
  <c r="H51" i="12"/>
  <c r="H52" i="12"/>
  <c r="H53" i="12"/>
  <c r="H54" i="12"/>
  <c r="H55" i="12"/>
  <c r="H56" i="12"/>
  <c r="H57" i="12"/>
  <c r="H46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8" i="19"/>
  <c r="N51" i="19"/>
  <c r="N50" i="19"/>
  <c r="N49" i="19"/>
  <c r="N48" i="19"/>
  <c r="N47" i="19"/>
  <c r="N46" i="19"/>
  <c r="N44" i="19"/>
  <c r="N43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5" i="19"/>
  <c r="N24" i="19"/>
  <c r="N23" i="19"/>
  <c r="N22" i="19"/>
  <c r="N21" i="19"/>
  <c r="N20" i="19"/>
  <c r="N18" i="19"/>
  <c r="N17" i="19"/>
  <c r="N16" i="19"/>
  <c r="N15" i="19"/>
  <c r="N14" i="19"/>
  <c r="N13" i="19"/>
  <c r="N11" i="19"/>
  <c r="N10" i="19"/>
  <c r="N9" i="19"/>
  <c r="N8" i="19"/>
  <c r="N7" i="19"/>
  <c r="N6" i="19"/>
  <c r="N5" i="19"/>
  <c r="N4" i="19"/>
  <c r="J59" i="19" l="1"/>
  <c r="M58" i="19"/>
  <c r="L58" i="19"/>
  <c r="Q57" i="19"/>
  <c r="M57" i="19"/>
  <c r="N57" i="19" s="1"/>
  <c r="K57" i="19"/>
  <c r="L57" i="19" s="1"/>
  <c r="Q56" i="19"/>
  <c r="M56" i="19"/>
  <c r="N56" i="19" s="1"/>
  <c r="L56" i="19"/>
  <c r="Q55" i="19"/>
  <c r="K55" i="19"/>
  <c r="M55" i="19" s="1"/>
  <c r="N55" i="19" s="1"/>
  <c r="Q54" i="19"/>
  <c r="M54" i="19"/>
  <c r="N54" i="19" s="1"/>
  <c r="L54" i="19"/>
  <c r="Q53" i="19"/>
  <c r="M53" i="19"/>
  <c r="N53" i="19" s="1"/>
  <c r="L53" i="19"/>
  <c r="K53" i="19"/>
  <c r="Q52" i="19"/>
  <c r="M52" i="19"/>
  <c r="N52" i="19" s="1"/>
  <c r="L52" i="19"/>
  <c r="K51" i="19"/>
  <c r="M51" i="19" s="1"/>
  <c r="M50" i="19"/>
  <c r="L50" i="19"/>
  <c r="K49" i="19"/>
  <c r="M49" i="19" s="1"/>
  <c r="M48" i="19"/>
  <c r="L48" i="19"/>
  <c r="K47" i="19"/>
  <c r="M47" i="19" s="1"/>
  <c r="M46" i="19"/>
  <c r="L46" i="19"/>
  <c r="M45" i="19"/>
  <c r="M43" i="19" s="1"/>
  <c r="L45" i="19"/>
  <c r="K44" i="19"/>
  <c r="L44" i="19" s="1"/>
  <c r="L43" i="19"/>
  <c r="M42" i="19"/>
  <c r="N42" i="19" s="1"/>
  <c r="L42" i="19"/>
  <c r="K41" i="19"/>
  <c r="M41" i="19" s="1"/>
  <c r="L40" i="19"/>
  <c r="K39" i="19"/>
  <c r="M39" i="19" s="1"/>
  <c r="M38" i="19"/>
  <c r="L38" i="19"/>
  <c r="K37" i="19"/>
  <c r="L37" i="19" s="1"/>
  <c r="M36" i="19"/>
  <c r="L36" i="19"/>
  <c r="L35" i="19"/>
  <c r="K35" i="19"/>
  <c r="M35" i="19" s="1"/>
  <c r="M34" i="19"/>
  <c r="L34" i="19"/>
  <c r="K33" i="19"/>
  <c r="M33" i="19" s="1"/>
  <c r="M32" i="19"/>
  <c r="L32" i="19"/>
  <c r="K31" i="19"/>
  <c r="M31" i="19" s="1"/>
  <c r="M30" i="19"/>
  <c r="L30" i="19"/>
  <c r="K29" i="19"/>
  <c r="L29" i="19" s="1"/>
  <c r="M28" i="19"/>
  <c r="L28" i="19"/>
  <c r="M27" i="19"/>
  <c r="N27" i="19" s="1"/>
  <c r="L27" i="19"/>
  <c r="M26" i="19"/>
  <c r="N26" i="19" s="1"/>
  <c r="L26" i="19"/>
  <c r="K25" i="19"/>
  <c r="L24" i="19"/>
  <c r="M23" i="19"/>
  <c r="K23" i="19"/>
  <c r="L23" i="19" s="1"/>
  <c r="M22" i="19"/>
  <c r="L22" i="19"/>
  <c r="M21" i="19"/>
  <c r="K21" i="19"/>
  <c r="L21" i="19" s="1"/>
  <c r="M20" i="19"/>
  <c r="L20" i="19"/>
  <c r="M19" i="19"/>
  <c r="N19" i="19" s="1"/>
  <c r="L19" i="19"/>
  <c r="K18" i="19"/>
  <c r="M18" i="19" s="1"/>
  <c r="L17" i="19"/>
  <c r="K16" i="19"/>
  <c r="L16" i="19" s="1"/>
  <c r="M15" i="19"/>
  <c r="L15" i="19"/>
  <c r="K14" i="19"/>
  <c r="M14" i="19" s="1"/>
  <c r="M13" i="19"/>
  <c r="L13" i="19"/>
  <c r="M12" i="19"/>
  <c r="N12" i="19" s="1"/>
  <c r="L12" i="19"/>
  <c r="K11" i="19"/>
  <c r="M11" i="19" s="1"/>
  <c r="L10" i="19"/>
  <c r="K9" i="19"/>
  <c r="L9" i="19" s="1"/>
  <c r="M8" i="19"/>
  <c r="L8" i="19"/>
  <c r="K7" i="19"/>
  <c r="L7" i="19" s="1"/>
  <c r="M6" i="19"/>
  <c r="L6" i="19"/>
  <c r="K5" i="19"/>
  <c r="M5" i="19" s="1"/>
  <c r="M4" i="19"/>
  <c r="L4" i="19"/>
  <c r="M44" i="19" l="1"/>
  <c r="L51" i="19"/>
  <c r="M7" i="19"/>
  <c r="M9" i="19"/>
  <c r="L14" i="19"/>
  <c r="M29" i="19"/>
  <c r="M37" i="19"/>
  <c r="L49" i="19"/>
  <c r="M16" i="19"/>
  <c r="N45" i="19"/>
  <c r="M40" i="19"/>
  <c r="M24" i="19"/>
  <c r="M25" i="19"/>
  <c r="M17" i="19"/>
  <c r="M10" i="19"/>
  <c r="L5" i="19"/>
  <c r="L33" i="19"/>
  <c r="L41" i="19"/>
  <c r="L47" i="19"/>
  <c r="L55" i="19"/>
  <c r="L11" i="19"/>
  <c r="L18" i="19"/>
  <c r="L25" i="19"/>
  <c r="L31" i="19"/>
  <c r="L39" i="19"/>
  <c r="K59" i="19"/>
  <c r="L59" i="19" s="1"/>
  <c r="O58" i="10"/>
  <c r="C29" i="18"/>
  <c r="D29" i="18" s="1"/>
  <c r="E29" i="18" s="1"/>
  <c r="B29" i="18"/>
  <c r="C28" i="18"/>
  <c r="D28" i="18" s="1"/>
  <c r="E28" i="18" s="1"/>
  <c r="B28" i="18"/>
  <c r="C27" i="18"/>
  <c r="D27" i="18" s="1"/>
  <c r="E27" i="18" s="1"/>
  <c r="B27" i="18"/>
  <c r="C26" i="18"/>
  <c r="D26" i="18" s="1"/>
  <c r="E26" i="18" s="1"/>
  <c r="B26" i="18"/>
  <c r="C24" i="18"/>
  <c r="D24" i="18" s="1"/>
  <c r="E24" i="18" s="1"/>
  <c r="B24" i="18"/>
  <c r="C23" i="18"/>
  <c r="D23" i="18" s="1"/>
  <c r="E23" i="18" s="1"/>
  <c r="B23" i="18"/>
  <c r="D20" i="18"/>
  <c r="E20" i="18" s="1"/>
  <c r="E19" i="18"/>
  <c r="D19" i="18"/>
  <c r="D18" i="18"/>
  <c r="E18" i="18" s="1"/>
  <c r="E15" i="18"/>
  <c r="E14" i="18"/>
  <c r="E13" i="18"/>
  <c r="E12" i="18"/>
  <c r="E11" i="18"/>
  <c r="E8" i="18"/>
  <c r="E7" i="18"/>
  <c r="E6" i="18"/>
  <c r="E5" i="18"/>
  <c r="M59" i="19" l="1"/>
  <c r="X26" i="14"/>
  <c r="X25" i="14"/>
  <c r="G58" i="12" l="1"/>
  <c r="E58" i="12"/>
  <c r="K58" i="12"/>
  <c r="G57" i="12"/>
  <c r="G46" i="12"/>
  <c r="G39" i="12"/>
  <c r="E39" i="12"/>
  <c r="A50" i="12"/>
  <c r="A51" i="12"/>
  <c r="A52" i="12" s="1"/>
  <c r="A53" i="12" s="1"/>
  <c r="A54" i="12" s="1"/>
  <c r="A55" i="12" s="1"/>
  <c r="A56" i="12" s="1"/>
  <c r="A57" i="12" s="1"/>
  <c r="L53" i="12"/>
  <c r="L54" i="12"/>
  <c r="L55" i="12"/>
  <c r="L56" i="12"/>
  <c r="L57" i="12"/>
  <c r="L52" i="12"/>
  <c r="L49" i="12" l="1"/>
  <c r="L50" i="12"/>
  <c r="L51" i="12"/>
  <c r="L47" i="12"/>
  <c r="L48" i="12"/>
  <c r="L46" i="12"/>
  <c r="K47" i="12"/>
  <c r="K48" i="12"/>
  <c r="K49" i="12"/>
  <c r="K50" i="12"/>
  <c r="K51" i="12"/>
  <c r="K52" i="12"/>
  <c r="K53" i="12"/>
  <c r="K54" i="12"/>
  <c r="K55" i="12"/>
  <c r="K56" i="12"/>
  <c r="K57" i="12"/>
  <c r="K46" i="12"/>
  <c r="F56" i="12"/>
  <c r="F54" i="12"/>
  <c r="F52" i="12"/>
  <c r="F50" i="12"/>
  <c r="AQ104" i="9"/>
  <c r="AQ105" i="9"/>
  <c r="AQ106" i="9"/>
  <c r="AQ107" i="9"/>
  <c r="AQ108" i="9"/>
  <c r="AQ109" i="9"/>
  <c r="AQ110" i="9"/>
  <c r="AQ111" i="9"/>
  <c r="AQ112" i="9"/>
  <c r="AQ113" i="9"/>
  <c r="AQ114" i="9"/>
  <c r="AQ103" i="9"/>
  <c r="F57" i="12"/>
  <c r="G55" i="12"/>
  <c r="G54" i="12"/>
  <c r="G53" i="12"/>
  <c r="F53" i="12"/>
  <c r="G52" i="12"/>
  <c r="G51" i="12"/>
  <c r="G50" i="12"/>
  <c r="AP104" i="9"/>
  <c r="AP105" i="9"/>
  <c r="AP106" i="9"/>
  <c r="AP107" i="9"/>
  <c r="AP108" i="9"/>
  <c r="AP109" i="9"/>
  <c r="AP110" i="9"/>
  <c r="AP111" i="9"/>
  <c r="AP112" i="9"/>
  <c r="AP113" i="9"/>
  <c r="AP114" i="9"/>
  <c r="AP103" i="9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28" i="12"/>
  <c r="G28" i="12"/>
  <c r="F22" i="12"/>
  <c r="G22" i="12"/>
  <c r="F21" i="12"/>
  <c r="G21" i="12"/>
  <c r="G20" i="12"/>
  <c r="F20" i="12"/>
  <c r="G5" i="12"/>
  <c r="F5" i="12"/>
  <c r="DB100" i="9"/>
  <c r="DB97" i="9"/>
  <c r="DB94" i="9"/>
  <c r="DB91" i="9"/>
  <c r="DB88" i="9"/>
  <c r="DB85" i="9"/>
  <c r="DB82" i="9"/>
  <c r="DB79" i="9"/>
  <c r="DB76" i="9"/>
  <c r="DB73" i="9"/>
  <c r="DB70" i="9"/>
  <c r="DB67" i="9"/>
  <c r="DB64" i="9"/>
  <c r="DB61" i="9"/>
  <c r="DB58" i="9"/>
  <c r="DB55" i="9"/>
  <c r="DB52" i="9"/>
  <c r="DB49" i="9"/>
  <c r="DB46" i="9"/>
  <c r="DB43" i="9"/>
  <c r="DB40" i="9"/>
  <c r="DB37" i="9"/>
  <c r="DB34" i="9"/>
  <c r="DB31" i="9"/>
  <c r="DB28" i="9"/>
  <c r="DB23" i="9"/>
  <c r="DB20" i="9"/>
  <c r="DB17" i="9"/>
  <c r="DB9" i="9"/>
  <c r="DB6" i="9"/>
  <c r="CZ28" i="9"/>
  <c r="CZ5" i="9"/>
  <c r="F55" i="12" l="1"/>
  <c r="G56" i="12"/>
  <c r="F51" i="12"/>
  <c r="CY38" i="9"/>
  <c r="CY39" i="9"/>
  <c r="CY40" i="9"/>
  <c r="CY41" i="9"/>
  <c r="CY42" i="9"/>
  <c r="CY43" i="9"/>
  <c r="CY44" i="9"/>
  <c r="CY45" i="9"/>
  <c r="CY47" i="9"/>
  <c r="CY48" i="9"/>
  <c r="CY49" i="9"/>
  <c r="CY50" i="9"/>
  <c r="CY51" i="9"/>
  <c r="CY52" i="9"/>
  <c r="CY53" i="9"/>
  <c r="CY54" i="9"/>
  <c r="CY55" i="9"/>
  <c r="CY56" i="9"/>
  <c r="CY57" i="9"/>
  <c r="CY58" i="9"/>
  <c r="CY59" i="9"/>
  <c r="CY60" i="9"/>
  <c r="CY61" i="9"/>
  <c r="CY62" i="9"/>
  <c r="CY63" i="9"/>
  <c r="CY64" i="9"/>
  <c r="CY65" i="9"/>
  <c r="CY66" i="9"/>
  <c r="CY67" i="9"/>
  <c r="CY68" i="9"/>
  <c r="CY69" i="9"/>
  <c r="CY70" i="9"/>
  <c r="CY71" i="9"/>
  <c r="CY72" i="9"/>
  <c r="CY73" i="9"/>
  <c r="CY74" i="9"/>
  <c r="CY75" i="9"/>
  <c r="CY76" i="9"/>
  <c r="CY77" i="9"/>
  <c r="CY78" i="9"/>
  <c r="CY79" i="9"/>
  <c r="CY80" i="9"/>
  <c r="CY81" i="9"/>
  <c r="CY82" i="9"/>
  <c r="CY83" i="9"/>
  <c r="CY84" i="9"/>
  <c r="CY85" i="9"/>
  <c r="CY86" i="9"/>
  <c r="CY87" i="9"/>
  <c r="CY88" i="9"/>
  <c r="CY89" i="9"/>
  <c r="CY90" i="9"/>
  <c r="CY91" i="9"/>
  <c r="CY92" i="9"/>
  <c r="CY93" i="9"/>
  <c r="CY94" i="9"/>
  <c r="CY95" i="9"/>
  <c r="CY96" i="9"/>
  <c r="CY97" i="9"/>
  <c r="CY98" i="9"/>
  <c r="CY99" i="9"/>
  <c r="CY100" i="9"/>
  <c r="CY27" i="9"/>
  <c r="CY28" i="9"/>
  <c r="CY29" i="9"/>
  <c r="CY30" i="9"/>
  <c r="CY31" i="9"/>
  <c r="CY32" i="9"/>
  <c r="CY33" i="9"/>
  <c r="CY34" i="9"/>
  <c r="CY35" i="9"/>
  <c r="CY36" i="9"/>
  <c r="CY37" i="9"/>
  <c r="CY26" i="9"/>
  <c r="CZ87" i="9"/>
  <c r="CZ89" i="9"/>
  <c r="CZ90" i="9"/>
  <c r="CZ92" i="9"/>
  <c r="CZ93" i="9"/>
  <c r="CZ94" i="9"/>
  <c r="CZ95" i="9"/>
  <c r="CZ96" i="9"/>
  <c r="CZ98" i="9"/>
  <c r="CZ99" i="9"/>
  <c r="CZ68" i="9"/>
  <c r="CZ69" i="9"/>
  <c r="CZ71" i="9"/>
  <c r="CZ72" i="9"/>
  <c r="CZ74" i="9"/>
  <c r="CZ75" i="9"/>
  <c r="CZ77" i="9"/>
  <c r="CZ78" i="9"/>
  <c r="CZ80" i="9"/>
  <c r="CZ81" i="9"/>
  <c r="CZ83" i="9"/>
  <c r="CZ84" i="9"/>
  <c r="CZ56" i="9"/>
  <c r="CZ57" i="9"/>
  <c r="CZ59" i="9"/>
  <c r="CZ60" i="9"/>
  <c r="CZ62" i="9"/>
  <c r="CZ63" i="9"/>
  <c r="CZ65" i="9"/>
  <c r="CZ66" i="9"/>
  <c r="CZ44" i="9"/>
  <c r="CZ45" i="9"/>
  <c r="CZ48" i="9"/>
  <c r="CZ51" i="9"/>
  <c r="CZ53" i="9"/>
  <c r="CZ54" i="9"/>
  <c r="CZ29" i="9"/>
  <c r="CZ30" i="9"/>
  <c r="CZ32" i="9"/>
  <c r="CZ33" i="9"/>
  <c r="CZ35" i="9"/>
  <c r="CZ36" i="9"/>
  <c r="CZ39" i="9"/>
  <c r="CZ41" i="9"/>
  <c r="CZ42" i="9"/>
  <c r="CZ27" i="9"/>
  <c r="CZ7" i="9"/>
  <c r="CZ8" i="9"/>
  <c r="CZ9" i="9"/>
  <c r="CY6" i="9"/>
  <c r="CY5" i="9"/>
  <c r="CC58" i="9" l="1"/>
  <c r="CU34" i="9" l="1"/>
  <c r="CX34" i="9"/>
  <c r="CC28" i="9" l="1"/>
  <c r="CL76" i="9" l="1"/>
  <c r="CL58" i="9"/>
  <c r="CF58" i="9"/>
  <c r="N26" i="10" l="1"/>
  <c r="J59" i="10"/>
  <c r="M27" i="10"/>
  <c r="N27" i="10" s="1"/>
  <c r="L27" i="10"/>
  <c r="M26" i="10"/>
  <c r="L26" i="10"/>
  <c r="M45" i="10"/>
  <c r="N45" i="10" s="1"/>
  <c r="L45" i="10"/>
  <c r="M19" i="10"/>
  <c r="N19" i="10" s="1"/>
  <c r="L19" i="10"/>
  <c r="M12" i="10"/>
  <c r="N12" i="10" s="1"/>
  <c r="L12" i="10"/>
  <c r="M42" i="10"/>
  <c r="N42" i="10" s="1"/>
  <c r="L42" i="10"/>
  <c r="CI97" i="9" l="1"/>
  <c r="DA7" i="9" l="1"/>
  <c r="DA8" i="9"/>
  <c r="DA9" i="9"/>
  <c r="DA10" i="9"/>
  <c r="DA11" i="9"/>
  <c r="DA13" i="9"/>
  <c r="DA14" i="9"/>
  <c r="DA15" i="9"/>
  <c r="DA16" i="9"/>
  <c r="DA17" i="9"/>
  <c r="DA18" i="9"/>
  <c r="DA19" i="9"/>
  <c r="DA21" i="9"/>
  <c r="DA22" i="9"/>
  <c r="DA23" i="9"/>
  <c r="DA24" i="9"/>
  <c r="DA25" i="9"/>
  <c r="DA27" i="9"/>
  <c r="DA29" i="9"/>
  <c r="DA30" i="9"/>
  <c r="DA32" i="9"/>
  <c r="DA33" i="9"/>
  <c r="DA35" i="9"/>
  <c r="DA36" i="9"/>
  <c r="DA39" i="9"/>
  <c r="DA41" i="9"/>
  <c r="DA42" i="9"/>
  <c r="DA44" i="9"/>
  <c r="DA45" i="9"/>
  <c r="DA48" i="9"/>
  <c r="DA51" i="9"/>
  <c r="DA53" i="9"/>
  <c r="DA54" i="9"/>
  <c r="DA56" i="9"/>
  <c r="DA57" i="9"/>
  <c r="DA59" i="9"/>
  <c r="DA60" i="9"/>
  <c r="DA62" i="9"/>
  <c r="DA63" i="9"/>
  <c r="DA65" i="9"/>
  <c r="DA66" i="9"/>
  <c r="DA68" i="9"/>
  <c r="DA69" i="9"/>
  <c r="DA71" i="9"/>
  <c r="DA72" i="9"/>
  <c r="DA74" i="9"/>
  <c r="DA75" i="9"/>
  <c r="DA77" i="9"/>
  <c r="DA78" i="9"/>
  <c r="DA80" i="9"/>
  <c r="DA81" i="9"/>
  <c r="DA83" i="9"/>
  <c r="DA84" i="9"/>
  <c r="DA87" i="9"/>
  <c r="DA89" i="9"/>
  <c r="DA90" i="9"/>
  <c r="DA92" i="9"/>
  <c r="DA93" i="9"/>
  <c r="DA94" i="9"/>
  <c r="DA95" i="9"/>
  <c r="DA96" i="9"/>
  <c r="DA98" i="9"/>
  <c r="DA99" i="9"/>
  <c r="DA5" i="9"/>
  <c r="CZ16" i="9"/>
  <c r="CZ17" i="9"/>
  <c r="CZ18" i="9"/>
  <c r="CZ19" i="9"/>
  <c r="CZ21" i="9"/>
  <c r="CZ22" i="9"/>
  <c r="CZ23" i="9"/>
  <c r="CZ15" i="9"/>
  <c r="CZ10" i="9"/>
  <c r="CZ11" i="9"/>
  <c r="CY16" i="9"/>
  <c r="CY17" i="9"/>
  <c r="CY18" i="9"/>
  <c r="CY19" i="9"/>
  <c r="CY20" i="9"/>
  <c r="CY21" i="9"/>
  <c r="CY22" i="9"/>
  <c r="CY23" i="9"/>
  <c r="CY15" i="9"/>
  <c r="CY7" i="9"/>
  <c r="CY8" i="9"/>
  <c r="CY9" i="9"/>
  <c r="CY10" i="9"/>
  <c r="CY11" i="9"/>
  <c r="CY12" i="9"/>
  <c r="M56" i="10"/>
  <c r="M54" i="10"/>
  <c r="M52" i="10"/>
  <c r="K57" i="10"/>
  <c r="M57" i="10" s="1"/>
  <c r="K55" i="10"/>
  <c r="L55" i="10" s="1"/>
  <c r="K53" i="10"/>
  <c r="L53" i="10" l="1"/>
  <c r="L57" i="10"/>
  <c r="M53" i="10"/>
  <c r="M55" i="10"/>
  <c r="AI89" i="16"/>
  <c r="R89" i="16"/>
  <c r="H89" i="16"/>
  <c r="T89" i="16"/>
  <c r="D89" i="16"/>
  <c r="AL89" i="16" s="1"/>
  <c r="AK3" i="16"/>
  <c r="AJ89" i="16"/>
  <c r="AH89" i="16"/>
  <c r="AF89" i="16"/>
  <c r="AE89" i="16"/>
  <c r="AD89" i="16"/>
  <c r="AC89" i="16"/>
  <c r="AB89" i="16"/>
  <c r="AA89" i="16"/>
  <c r="Z89" i="16"/>
  <c r="Y89" i="16"/>
  <c r="X89" i="16"/>
  <c r="W89" i="16"/>
  <c r="U89" i="16"/>
  <c r="S89" i="16"/>
  <c r="Q89" i="16"/>
  <c r="P89" i="16"/>
  <c r="O89" i="16"/>
  <c r="N89" i="16"/>
  <c r="M89" i="16"/>
  <c r="L89" i="16"/>
  <c r="K89" i="16"/>
  <c r="I89" i="16"/>
  <c r="G89" i="16"/>
  <c r="F89" i="16"/>
  <c r="AK88" i="16"/>
  <c r="AK87" i="16"/>
  <c r="AK86" i="16"/>
  <c r="AF85" i="16"/>
  <c r="AE85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P85" i="16"/>
  <c r="O85" i="16"/>
  <c r="N85" i="16"/>
  <c r="M85" i="16"/>
  <c r="K85" i="16"/>
  <c r="H85" i="16"/>
  <c r="AL85" i="16" s="1"/>
  <c r="G85" i="16"/>
  <c r="AK84" i="16"/>
  <c r="AK83" i="16"/>
  <c r="AF82" i="16"/>
  <c r="AE82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P82" i="16"/>
  <c r="O82" i="16"/>
  <c r="N82" i="16"/>
  <c r="M82" i="16"/>
  <c r="K82" i="16"/>
  <c r="H82" i="16"/>
  <c r="AL82" i="16" s="1"/>
  <c r="AK81" i="16"/>
  <c r="AK80" i="16"/>
  <c r="AF79" i="16"/>
  <c r="AE79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P79" i="16"/>
  <c r="O79" i="16"/>
  <c r="N79" i="16"/>
  <c r="M79" i="16"/>
  <c r="K79" i="16"/>
  <c r="H79" i="16"/>
  <c r="AL79" i="16" s="1"/>
  <c r="AK78" i="16"/>
  <c r="AK77" i="16"/>
  <c r="AF76" i="16"/>
  <c r="AE76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P76" i="16"/>
  <c r="O76" i="16"/>
  <c r="N76" i="16"/>
  <c r="M76" i="16"/>
  <c r="L76" i="16"/>
  <c r="K76" i="16"/>
  <c r="J76" i="16"/>
  <c r="I76" i="16"/>
  <c r="H76" i="16"/>
  <c r="AL76" i="16" s="1"/>
  <c r="AK75" i="16"/>
  <c r="AF74" i="16"/>
  <c r="AE74" i="16"/>
  <c r="AD74" i="16"/>
  <c r="AC74" i="16"/>
  <c r="AB74" i="16"/>
  <c r="AA74" i="16"/>
  <c r="Z74" i="16"/>
  <c r="Y74" i="16"/>
  <c r="X74" i="16"/>
  <c r="V74" i="16"/>
  <c r="U74" i="16"/>
  <c r="R74" i="16"/>
  <c r="P74" i="16"/>
  <c r="O74" i="16"/>
  <c r="N74" i="16"/>
  <c r="M74" i="16"/>
  <c r="L74" i="16"/>
  <c r="K74" i="16"/>
  <c r="AL74" i="16" s="1"/>
  <c r="J74" i="16"/>
  <c r="I74" i="16"/>
  <c r="AK73" i="16"/>
  <c r="AF72" i="16"/>
  <c r="AE72" i="16"/>
  <c r="AD72" i="16"/>
  <c r="AC72" i="16"/>
  <c r="AA72" i="16"/>
  <c r="Z72" i="16"/>
  <c r="Y72" i="16"/>
  <c r="X72" i="16"/>
  <c r="W72" i="16"/>
  <c r="V72" i="16"/>
  <c r="U72" i="16"/>
  <c r="T72" i="16"/>
  <c r="S72" i="16"/>
  <c r="AL72" i="16" s="1"/>
  <c r="R72" i="16"/>
  <c r="P72" i="16"/>
  <c r="K72" i="16"/>
  <c r="AK71" i="16"/>
  <c r="AK70" i="16"/>
  <c r="AF69" i="16"/>
  <c r="AE69" i="16"/>
  <c r="AD69" i="16"/>
  <c r="AC69" i="16"/>
  <c r="AB69" i="16"/>
  <c r="AA69" i="16"/>
  <c r="Z69" i="16"/>
  <c r="Y69" i="16"/>
  <c r="X69" i="16"/>
  <c r="W69" i="16"/>
  <c r="U69" i="16"/>
  <c r="S69" i="16"/>
  <c r="R69" i="16"/>
  <c r="P69" i="16"/>
  <c r="K69" i="16"/>
  <c r="I69" i="16"/>
  <c r="H69" i="16"/>
  <c r="G69" i="16"/>
  <c r="AL69" i="16" s="1"/>
  <c r="AK68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P67" i="16"/>
  <c r="O67" i="16"/>
  <c r="L67" i="16"/>
  <c r="K67" i="16"/>
  <c r="I67" i="16"/>
  <c r="H67" i="16"/>
  <c r="G67" i="16"/>
  <c r="AL67" i="16" s="1"/>
  <c r="AK66" i="16"/>
  <c r="AK65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P64" i="16"/>
  <c r="O64" i="16"/>
  <c r="N64" i="16"/>
  <c r="M64" i="16"/>
  <c r="L64" i="16"/>
  <c r="K64" i="16"/>
  <c r="I64" i="16"/>
  <c r="H64" i="16"/>
  <c r="F64" i="16"/>
  <c r="AL64" i="16" s="1"/>
  <c r="E64" i="16"/>
  <c r="D64" i="16"/>
  <c r="AN62" i="16" s="1"/>
  <c r="AK63" i="16"/>
  <c r="AK62" i="16"/>
  <c r="AO61" i="16"/>
  <c r="AN61" i="16"/>
  <c r="AK61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P60" i="16"/>
  <c r="O60" i="16"/>
  <c r="N60" i="16"/>
  <c r="M60" i="16"/>
  <c r="L60" i="16"/>
  <c r="K60" i="16"/>
  <c r="AL60" i="16" s="1"/>
  <c r="I60" i="16"/>
  <c r="E60" i="16"/>
  <c r="D60" i="16"/>
  <c r="AK59" i="16"/>
  <c r="AK58" i="16"/>
  <c r="AK57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P56" i="16"/>
  <c r="O56" i="16"/>
  <c r="N56" i="16"/>
  <c r="M56" i="16"/>
  <c r="L56" i="16"/>
  <c r="K56" i="16"/>
  <c r="J56" i="16"/>
  <c r="I56" i="16"/>
  <c r="H56" i="16"/>
  <c r="G56" i="16"/>
  <c r="F56" i="16"/>
  <c r="D56" i="16"/>
  <c r="AL56" i="16" s="1"/>
  <c r="AK55" i="16"/>
  <c r="AO54" i="16"/>
  <c r="AN54" i="16"/>
  <c r="AK54" i="16"/>
  <c r="AF53" i="16"/>
  <c r="AE53" i="16"/>
  <c r="AD53" i="16"/>
  <c r="AC53" i="16"/>
  <c r="AB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L53" i="16"/>
  <c r="K53" i="16"/>
  <c r="I53" i="16"/>
  <c r="H53" i="16"/>
  <c r="G53" i="16"/>
  <c r="F53" i="16"/>
  <c r="E53" i="16"/>
  <c r="D53" i="16"/>
  <c r="AN52" i="16" s="1"/>
  <c r="AK52" i="16"/>
  <c r="AN51" i="16"/>
  <c r="AK51" i="16"/>
  <c r="AE50" i="16"/>
  <c r="AD50" i="16"/>
  <c r="AC50" i="16"/>
  <c r="AB50" i="16"/>
  <c r="Z50" i="16"/>
  <c r="Y50" i="16"/>
  <c r="X50" i="16"/>
  <c r="W50" i="16"/>
  <c r="V50" i="16"/>
  <c r="U50" i="16"/>
  <c r="T50" i="16"/>
  <c r="S50" i="16"/>
  <c r="R50" i="16"/>
  <c r="P50" i="16"/>
  <c r="O50" i="16"/>
  <c r="N50" i="16"/>
  <c r="M50" i="16"/>
  <c r="K50" i="16"/>
  <c r="I50" i="16"/>
  <c r="AL50" i="16" s="1"/>
  <c r="H50" i="16"/>
  <c r="G50" i="16"/>
  <c r="AK49" i="16"/>
  <c r="AK48" i="16"/>
  <c r="AK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P46" i="16"/>
  <c r="O46" i="16"/>
  <c r="N46" i="16"/>
  <c r="M46" i="16"/>
  <c r="L46" i="16"/>
  <c r="K46" i="16"/>
  <c r="J46" i="16"/>
  <c r="I46" i="16"/>
  <c r="AL46" i="16" s="1"/>
  <c r="H46" i="16"/>
  <c r="G46" i="16"/>
  <c r="AK45" i="16"/>
  <c r="AK44" i="16"/>
  <c r="AK43" i="16"/>
  <c r="AJ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R42" i="16"/>
  <c r="P42" i="16"/>
  <c r="O42" i="16"/>
  <c r="N42" i="16"/>
  <c r="M42" i="16"/>
  <c r="L42" i="16"/>
  <c r="K42" i="16"/>
  <c r="I42" i="16"/>
  <c r="H42" i="16"/>
  <c r="G42" i="16"/>
  <c r="AL42" i="16" s="1"/>
  <c r="AK41" i="16"/>
  <c r="AK40" i="16"/>
  <c r="AK39" i="16"/>
  <c r="AJ38" i="16"/>
  <c r="AI38" i="16"/>
  <c r="AF38" i="16"/>
  <c r="AE38" i="16"/>
  <c r="AD38" i="16"/>
  <c r="AC38" i="16"/>
  <c r="AB38" i="16"/>
  <c r="Z38" i="16"/>
  <c r="Y38" i="16"/>
  <c r="X38" i="16"/>
  <c r="W38" i="16"/>
  <c r="V38" i="16"/>
  <c r="U38" i="16"/>
  <c r="T38" i="16"/>
  <c r="S38" i="16"/>
  <c r="R38" i="16"/>
  <c r="P38" i="16"/>
  <c r="O38" i="16"/>
  <c r="N38" i="16"/>
  <c r="M38" i="16"/>
  <c r="L38" i="16"/>
  <c r="K38" i="16"/>
  <c r="I38" i="16"/>
  <c r="H38" i="16"/>
  <c r="AN36" i="16" s="1"/>
  <c r="G38" i="16"/>
  <c r="AL38" i="16" s="1"/>
  <c r="AK37" i="16"/>
  <c r="AO36" i="16"/>
  <c r="AK36" i="16"/>
  <c r="AO35" i="16"/>
  <c r="AN35" i="16"/>
  <c r="AK35" i="16"/>
  <c r="AJ34" i="16"/>
  <c r="AI34" i="16"/>
  <c r="AH34" i="16"/>
  <c r="AF34" i="16"/>
  <c r="AE34" i="16"/>
  <c r="AD34" i="16"/>
  <c r="AC34" i="16"/>
  <c r="AB34" i="16"/>
  <c r="Z34" i="16"/>
  <c r="Y34" i="16"/>
  <c r="X34" i="16"/>
  <c r="W34" i="16"/>
  <c r="V34" i="16"/>
  <c r="U34" i="16"/>
  <c r="T34" i="16"/>
  <c r="R34" i="16"/>
  <c r="P34" i="16"/>
  <c r="O34" i="16"/>
  <c r="N34" i="16"/>
  <c r="M34" i="16"/>
  <c r="L34" i="16"/>
  <c r="K34" i="16"/>
  <c r="I34" i="16"/>
  <c r="H34" i="16"/>
  <c r="AL34" i="16" s="1"/>
  <c r="G34" i="16"/>
  <c r="AK33" i="16"/>
  <c r="AK32" i="16"/>
  <c r="AK31" i="16"/>
  <c r="AJ30" i="16"/>
  <c r="AI30" i="16"/>
  <c r="AH30" i="16"/>
  <c r="AG30" i="16"/>
  <c r="AF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AL30" i="16" s="1"/>
  <c r="K30" i="16"/>
  <c r="J30" i="16"/>
  <c r="I30" i="16"/>
  <c r="AK29" i="16"/>
  <c r="AK28" i="16"/>
  <c r="AK27" i="16"/>
  <c r="AJ26" i="16"/>
  <c r="AI26" i="16"/>
  <c r="AH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D26" i="16"/>
  <c r="AL26" i="16" s="1"/>
  <c r="AK25" i="16"/>
  <c r="AK24" i="16"/>
  <c r="AK23" i="16"/>
  <c r="AF22" i="16"/>
  <c r="AE22" i="16"/>
  <c r="AD22" i="16"/>
  <c r="AC22" i="16"/>
  <c r="AB22" i="16"/>
  <c r="AA22" i="16"/>
  <c r="Z22" i="16"/>
  <c r="X22" i="16"/>
  <c r="W22" i="16"/>
  <c r="V22" i="16"/>
  <c r="U22" i="16"/>
  <c r="T22" i="16"/>
  <c r="S22" i="16"/>
  <c r="R22" i="16"/>
  <c r="P22" i="16"/>
  <c r="O22" i="16"/>
  <c r="N22" i="16"/>
  <c r="M22" i="16"/>
  <c r="L22" i="16"/>
  <c r="K22" i="16"/>
  <c r="J22" i="16"/>
  <c r="I22" i="16"/>
  <c r="H22" i="16"/>
  <c r="G22" i="16"/>
  <c r="D22" i="16"/>
  <c r="AL22" i="16" s="1"/>
  <c r="AK21" i="16"/>
  <c r="AK20" i="16"/>
  <c r="AK19" i="16"/>
  <c r="AJ18" i="16"/>
  <c r="AI18" i="16"/>
  <c r="AH18" i="16"/>
  <c r="AG18" i="16"/>
  <c r="AF18" i="16"/>
  <c r="AE18" i="16"/>
  <c r="AD18" i="16"/>
  <c r="AC18" i="16"/>
  <c r="AB18" i="16"/>
  <c r="Z18" i="16"/>
  <c r="Y18" i="16"/>
  <c r="X18" i="16"/>
  <c r="W18" i="16"/>
  <c r="V18" i="16"/>
  <c r="U18" i="16"/>
  <c r="T18" i="16"/>
  <c r="S18" i="16"/>
  <c r="R18" i="16"/>
  <c r="P18" i="16"/>
  <c r="O18" i="16"/>
  <c r="N18" i="16"/>
  <c r="M18" i="16"/>
  <c r="L18" i="16"/>
  <c r="K18" i="16"/>
  <c r="I18" i="16"/>
  <c r="H18" i="16"/>
  <c r="G18" i="16"/>
  <c r="F18" i="16"/>
  <c r="AL18" i="16" s="1"/>
  <c r="E18" i="16"/>
  <c r="D18" i="16"/>
  <c r="AN16" i="16"/>
  <c r="AN18" i="16" s="1"/>
  <c r="AK17" i="16"/>
  <c r="AK16" i="16"/>
  <c r="AO15" i="16"/>
  <c r="AN15" i="16"/>
  <c r="AK15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K14" i="16"/>
  <c r="I14" i="16"/>
  <c r="H14" i="16"/>
  <c r="G14" i="16"/>
  <c r="AL14" i="16" s="1"/>
  <c r="AK13" i="16"/>
  <c r="AK12" i="16"/>
  <c r="AK11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P10" i="16"/>
  <c r="O10" i="16"/>
  <c r="N10" i="16"/>
  <c r="M10" i="16"/>
  <c r="K10" i="16"/>
  <c r="I10" i="16"/>
  <c r="H10" i="16"/>
  <c r="G10" i="16"/>
  <c r="E10" i="16"/>
  <c r="AL10" i="16" s="1"/>
  <c r="AK9" i="16"/>
  <c r="AK8" i="16"/>
  <c r="AK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P6" i="16"/>
  <c r="O6" i="16"/>
  <c r="N6" i="16"/>
  <c r="M6" i="16"/>
  <c r="L6" i="16"/>
  <c r="K6" i="16"/>
  <c r="I6" i="16"/>
  <c r="H6" i="16"/>
  <c r="F6" i="16"/>
  <c r="E6" i="16"/>
  <c r="D6" i="16"/>
  <c r="AN4" i="16" s="1"/>
  <c r="AK5" i="16"/>
  <c r="AK4" i="16"/>
  <c r="AO3" i="16"/>
  <c r="AN3" i="16"/>
  <c r="AO16" i="16" l="1"/>
  <c r="AO18" i="16" s="1"/>
  <c r="AN53" i="16"/>
  <c r="AN64" i="16"/>
  <c r="AL6" i="16"/>
  <c r="AL92" i="16" s="1"/>
  <c r="AL53" i="16"/>
  <c r="AK38" i="16"/>
  <c r="AM38" i="16" s="1"/>
  <c r="AK53" i="16"/>
  <c r="AM53" i="16" s="1"/>
  <c r="AK6" i="16"/>
  <c r="AK10" i="16"/>
  <c r="AM10" i="16" s="1"/>
  <c r="AK14" i="16"/>
  <c r="AM14" i="16" s="1"/>
  <c r="AK18" i="16"/>
  <c r="AM18" i="16" s="1"/>
  <c r="AK34" i="16"/>
  <c r="AM34" i="16" s="1"/>
  <c r="AO38" i="16"/>
  <c r="AK50" i="16"/>
  <c r="AM50" i="16" s="1"/>
  <c r="AN6" i="16"/>
  <c r="AK56" i="16"/>
  <c r="AM56" i="16" s="1"/>
  <c r="AK89" i="16"/>
  <c r="AM89" i="16" s="1"/>
  <c r="AK42" i="16"/>
  <c r="AM42" i="16" s="1"/>
  <c r="AO51" i="16"/>
  <c r="AO55" i="16"/>
  <c r="AO56" i="16" s="1"/>
  <c r="AK22" i="16"/>
  <c r="AM22" i="16" s="1"/>
  <c r="AK26" i="16"/>
  <c r="AM26" i="16" s="1"/>
  <c r="AK30" i="16"/>
  <c r="AM30" i="16" s="1"/>
  <c r="AK46" i="16"/>
  <c r="AM46" i="16" s="1"/>
  <c r="AO52" i="16"/>
  <c r="AO62" i="16"/>
  <c r="AO64" i="16" s="1"/>
  <c r="AK67" i="16"/>
  <c r="AM67" i="16" s="1"/>
  <c r="AK72" i="16"/>
  <c r="AM72" i="16" s="1"/>
  <c r="AK74" i="16"/>
  <c r="AM74" i="16" s="1"/>
  <c r="AK82" i="16"/>
  <c r="AM82" i="16" s="1"/>
  <c r="AO4" i="16"/>
  <c r="AO6" i="16" s="1"/>
  <c r="AN38" i="16"/>
  <c r="AN55" i="16"/>
  <c r="AN56" i="16" s="1"/>
  <c r="AK60" i="16"/>
  <c r="AM60" i="16" s="1"/>
  <c r="AK69" i="16"/>
  <c r="AM69" i="16" s="1"/>
  <c r="AK76" i="16"/>
  <c r="AM76" i="16" s="1"/>
  <c r="AK79" i="16"/>
  <c r="AM79" i="16" s="1"/>
  <c r="AK85" i="16"/>
  <c r="AM85" i="16" s="1"/>
  <c r="AO53" i="16"/>
  <c r="AK64" i="16"/>
  <c r="AM64" i="16" s="1"/>
  <c r="AS86" i="15"/>
  <c r="AS87" i="15"/>
  <c r="AS88" i="15"/>
  <c r="AS27" i="15"/>
  <c r="AS28" i="15"/>
  <c r="AS29" i="15"/>
  <c r="AS31" i="15"/>
  <c r="AS32" i="15"/>
  <c r="AS33" i="15"/>
  <c r="AS35" i="15"/>
  <c r="AS36" i="15"/>
  <c r="AS37" i="15"/>
  <c r="AS39" i="15"/>
  <c r="AS40" i="15"/>
  <c r="AS41" i="15"/>
  <c r="AS43" i="15"/>
  <c r="AS44" i="15"/>
  <c r="AS45" i="15"/>
  <c r="AS47" i="15"/>
  <c r="AS48" i="15"/>
  <c r="AS49" i="15"/>
  <c r="AS51" i="15"/>
  <c r="AS52" i="15"/>
  <c r="AS54" i="15"/>
  <c r="AS55" i="15"/>
  <c r="AS57" i="15"/>
  <c r="AS58" i="15"/>
  <c r="AS59" i="15"/>
  <c r="AS61" i="15"/>
  <c r="AS62" i="15"/>
  <c r="AS63" i="15"/>
  <c r="AS65" i="15"/>
  <c r="AS66" i="15"/>
  <c r="AS68" i="15"/>
  <c r="AS70" i="15"/>
  <c r="AS71" i="15"/>
  <c r="AS73" i="15"/>
  <c r="AS75" i="15"/>
  <c r="AS77" i="15"/>
  <c r="AS78" i="15"/>
  <c r="AS80" i="15"/>
  <c r="AS81" i="15"/>
  <c r="AS83" i="15"/>
  <c r="AS84" i="15"/>
  <c r="AS23" i="15"/>
  <c r="AS24" i="15"/>
  <c r="AS19" i="15"/>
  <c r="AS20" i="15"/>
  <c r="AS11" i="15"/>
  <c r="AS12" i="15"/>
  <c r="AS15" i="15"/>
  <c r="AS16" i="15"/>
  <c r="AS7" i="15"/>
  <c r="AS8" i="15"/>
  <c r="AS3" i="15"/>
  <c r="AS4" i="15"/>
  <c r="AS25" i="15"/>
  <c r="AS21" i="15"/>
  <c r="AO18" i="15"/>
  <c r="AS17" i="15"/>
  <c r="AS13" i="15"/>
  <c r="AS9" i="15"/>
  <c r="AS5" i="15"/>
  <c r="AK92" i="16" l="1"/>
  <c r="AM92" i="16" s="1"/>
  <c r="AM6" i="16"/>
  <c r="AQ18" i="15" l="1"/>
  <c r="AR18" i="15"/>
  <c r="AP18" i="15"/>
  <c r="U73" i="9" l="1"/>
  <c r="CZ73" i="9" s="1"/>
  <c r="CX82" i="9"/>
  <c r="CX31" i="9"/>
  <c r="CX85" i="9"/>
  <c r="CR88" i="9"/>
  <c r="DA73" i="9" l="1"/>
  <c r="CU82" i="9"/>
  <c r="CU85" i="9"/>
  <c r="CU31" i="9"/>
  <c r="CR34" i="9" l="1"/>
  <c r="CR82" i="9"/>
  <c r="CL61" i="9"/>
  <c r="CR85" i="9"/>
  <c r="AQ89" i="15" l="1"/>
  <c r="AR89" i="15"/>
  <c r="AP89" i="15"/>
  <c r="AR42" i="15"/>
  <c r="AR38" i="15"/>
  <c r="AQ38" i="15"/>
  <c r="AQ34" i="15"/>
  <c r="AR34" i="15"/>
  <c r="AP34" i="15"/>
  <c r="AP30" i="15"/>
  <c r="AQ30" i="15"/>
  <c r="AR30" i="15"/>
  <c r="AO30" i="15"/>
  <c r="AQ26" i="15"/>
  <c r="AR26" i="15"/>
  <c r="AP26" i="15"/>
  <c r="AP14" i="15"/>
  <c r="AQ14" i="15"/>
  <c r="AR14" i="15"/>
  <c r="AO14" i="15"/>
  <c r="CF97" i="9" l="1"/>
  <c r="CL97" i="9"/>
  <c r="CI61" i="9"/>
  <c r="CL52" i="9"/>
  <c r="CI52" i="9"/>
  <c r="BE76" i="9" l="1"/>
  <c r="CC76" i="9" l="1"/>
  <c r="CF70" i="9" l="1"/>
  <c r="CI70" i="9"/>
  <c r="CL31" i="9"/>
  <c r="CL82" i="9"/>
  <c r="CL85" i="9"/>
  <c r="CI85" i="9"/>
  <c r="CL34" i="9"/>
  <c r="CI88" i="9"/>
  <c r="CL88" i="9"/>
  <c r="BE82" i="9" l="1"/>
  <c r="CC85" i="9" l="1"/>
  <c r="CL46" i="9" l="1"/>
  <c r="CF100" i="9"/>
  <c r="CZ100" i="9" s="1"/>
  <c r="DA100" i="9" l="1"/>
  <c r="CI31" i="9"/>
  <c r="CF40" i="9"/>
  <c r="CL55" i="9"/>
  <c r="CF79" i="9"/>
  <c r="CI40" i="9"/>
  <c r="CI46" i="9"/>
  <c r="CI34" i="9"/>
  <c r="CL43" i="9"/>
  <c r="CL40" i="9"/>
  <c r="CI55" i="9"/>
  <c r="BZ34" i="9"/>
  <c r="CF34" i="9"/>
  <c r="CF52" i="9"/>
  <c r="BZ52" i="9"/>
  <c r="CL79" i="9"/>
  <c r="CF88" i="9"/>
  <c r="CC52" i="9"/>
  <c r="CC34" i="9"/>
  <c r="CF85" i="9"/>
  <c r="CI82" i="9"/>
  <c r="CI79" i="9"/>
  <c r="BN40" i="9" l="1"/>
  <c r="BN79" i="9"/>
  <c r="BN31" i="9"/>
  <c r="BN61" i="9"/>
  <c r="BN67" i="9" l="1"/>
  <c r="CZ67" i="9" s="1"/>
  <c r="BN58" i="9"/>
  <c r="BN46" i="9"/>
  <c r="BN52" i="9"/>
  <c r="BN82" i="9"/>
  <c r="BN34" i="9"/>
  <c r="BN85" i="9"/>
  <c r="BK97" i="9"/>
  <c r="BN97" i="9"/>
  <c r="BN43" i="9"/>
  <c r="BN28" i="9"/>
  <c r="DA67" i="9" l="1"/>
  <c r="CF46" i="9"/>
  <c r="CC88" i="9"/>
  <c r="CF55" i="9"/>
  <c r="CF31" i="9"/>
  <c r="CC31" i="9"/>
  <c r="CC61" i="9"/>
  <c r="CF76" i="9"/>
  <c r="CF82" i="9"/>
  <c r="BZ61" i="9"/>
  <c r="CI43" i="9"/>
  <c r="CF43" i="9"/>
  <c r="BZ43" i="9"/>
  <c r="CC43" i="9" l="1"/>
  <c r="P10" i="15" l="1"/>
  <c r="O14" i="15"/>
  <c r="P14" i="15"/>
  <c r="O10" i="15"/>
  <c r="CC46" i="9" l="1"/>
  <c r="CC97" i="9"/>
  <c r="CC40" i="9"/>
  <c r="CC79" i="9"/>
  <c r="CC70" i="9"/>
  <c r="CC82" i="9"/>
  <c r="CC55" i="9"/>
  <c r="BZ58" i="9"/>
  <c r="BZ70" i="9"/>
  <c r="BZ97" i="9"/>
  <c r="BZ82" i="9"/>
  <c r="BZ85" i="9"/>
  <c r="BZ40" i="9"/>
  <c r="BZ46" i="9"/>
  <c r="BW85" i="9"/>
  <c r="BW40" i="9"/>
  <c r="BW97" i="9"/>
  <c r="BT97" i="9"/>
  <c r="BQ97" i="9"/>
  <c r="BT40" i="9"/>
  <c r="BZ31" i="9" l="1"/>
  <c r="BZ88" i="9" l="1"/>
  <c r="BZ79" i="9"/>
  <c r="BZ28" i="9"/>
  <c r="BZ55" i="9"/>
  <c r="BW28" i="9"/>
  <c r="BW82" i="9"/>
  <c r="BW79" i="9"/>
  <c r="BW58" i="9"/>
  <c r="BT55" i="9"/>
  <c r="BT52" i="9"/>
  <c r="BT58" i="9"/>
  <c r="BQ52" i="9"/>
  <c r="BQ61" i="9"/>
  <c r="BQ46" i="9"/>
  <c r="CZ55" i="9" l="1"/>
  <c r="DA55" i="9"/>
  <c r="AL89" i="15"/>
  <c r="AM89" i="15"/>
  <c r="AN89" i="15"/>
  <c r="AO89" i="15"/>
  <c r="AL85" i="15"/>
  <c r="AM85" i="15"/>
  <c r="AN85" i="15"/>
  <c r="AO85" i="15"/>
  <c r="AQ85" i="15"/>
  <c r="AR85" i="15"/>
  <c r="AL82" i="15"/>
  <c r="AM82" i="15"/>
  <c r="AN82" i="15"/>
  <c r="AO82" i="15"/>
  <c r="AQ82" i="15"/>
  <c r="AR82" i="15"/>
  <c r="AL79" i="15"/>
  <c r="AM79" i="15"/>
  <c r="AN79" i="15"/>
  <c r="AO79" i="15"/>
  <c r="AQ79" i="15"/>
  <c r="AR79" i="15"/>
  <c r="AL76" i="15"/>
  <c r="AM76" i="15"/>
  <c r="AN76" i="15"/>
  <c r="AO76" i="15"/>
  <c r="AQ76" i="15"/>
  <c r="AR76" i="15"/>
  <c r="AK74" i="15"/>
  <c r="AL74" i="15"/>
  <c r="AM74" i="15"/>
  <c r="AN74" i="15"/>
  <c r="AO74" i="15"/>
  <c r="AQ74" i="15"/>
  <c r="AR74" i="15"/>
  <c r="AL72" i="15"/>
  <c r="AM72" i="15"/>
  <c r="AN72" i="15"/>
  <c r="AO72" i="15"/>
  <c r="AQ72" i="15"/>
  <c r="AR72" i="15"/>
  <c r="AK69" i="15"/>
  <c r="AL69" i="15"/>
  <c r="AM69" i="15"/>
  <c r="AN69" i="15"/>
  <c r="AO69" i="15"/>
  <c r="AQ69" i="15"/>
  <c r="AR69" i="15"/>
  <c r="AL67" i="15"/>
  <c r="AM67" i="15"/>
  <c r="AN67" i="15"/>
  <c r="AO67" i="15"/>
  <c r="AQ67" i="15"/>
  <c r="AR67" i="15"/>
  <c r="AL64" i="15"/>
  <c r="AM64" i="15"/>
  <c r="AN64" i="15"/>
  <c r="AO64" i="15"/>
  <c r="AQ64" i="15"/>
  <c r="AR64" i="15"/>
  <c r="AL60" i="15"/>
  <c r="AM60" i="15"/>
  <c r="AN60" i="15"/>
  <c r="AO60" i="15"/>
  <c r="AQ60" i="15"/>
  <c r="AR60" i="15"/>
  <c r="AK56" i="15"/>
  <c r="AL56" i="15"/>
  <c r="AM56" i="15"/>
  <c r="AN56" i="15"/>
  <c r="AO56" i="15"/>
  <c r="AQ56" i="15"/>
  <c r="AR56" i="15"/>
  <c r="AK53" i="15"/>
  <c r="AL53" i="15"/>
  <c r="AM53" i="15"/>
  <c r="AN53" i="15"/>
  <c r="AO53" i="15"/>
  <c r="AQ53" i="15"/>
  <c r="AR53" i="15"/>
  <c r="AK50" i="15"/>
  <c r="AL50" i="15"/>
  <c r="AM50" i="15"/>
  <c r="AN50" i="15"/>
  <c r="AO50" i="15"/>
  <c r="AQ50" i="15"/>
  <c r="AR50" i="15"/>
  <c r="AK46" i="15"/>
  <c r="AL46" i="15"/>
  <c r="AM46" i="15"/>
  <c r="AN46" i="15"/>
  <c r="AO46" i="15"/>
  <c r="AQ46" i="15"/>
  <c r="AR46" i="15"/>
  <c r="AK42" i="15"/>
  <c r="AL42" i="15"/>
  <c r="AM42" i="15"/>
  <c r="AN42" i="15"/>
  <c r="AO42" i="15"/>
  <c r="AQ42" i="15"/>
  <c r="AK38" i="15"/>
  <c r="AL38" i="15"/>
  <c r="AM38" i="15"/>
  <c r="AN38" i="15"/>
  <c r="AO38" i="15"/>
  <c r="AJ34" i="15"/>
  <c r="AK34" i="15"/>
  <c r="AL34" i="15"/>
  <c r="AM34" i="15"/>
  <c r="AN34" i="15"/>
  <c r="AO34" i="15"/>
  <c r="AK30" i="15"/>
  <c r="AL30" i="15"/>
  <c r="AM30" i="15"/>
  <c r="AN30" i="15"/>
  <c r="AJ26" i="15"/>
  <c r="AK26" i="15"/>
  <c r="AL26" i="15"/>
  <c r="AM26" i="15"/>
  <c r="AN26" i="15"/>
  <c r="AO26" i="15"/>
  <c r="AK22" i="15"/>
  <c r="AL22" i="15"/>
  <c r="AM22" i="15"/>
  <c r="AN22" i="15"/>
  <c r="AO22" i="15"/>
  <c r="AQ22" i="15"/>
  <c r="AR22" i="15"/>
  <c r="AK18" i="15"/>
  <c r="AL18" i="15"/>
  <c r="AM18" i="15"/>
  <c r="AN18" i="15"/>
  <c r="AK14" i="15"/>
  <c r="AL14" i="15"/>
  <c r="AM14" i="15"/>
  <c r="AN14" i="15"/>
  <c r="AJ10" i="15"/>
  <c r="AK10" i="15"/>
  <c r="AL10" i="15"/>
  <c r="AM10" i="15"/>
  <c r="AN10" i="15"/>
  <c r="AO10" i="15"/>
  <c r="AQ10" i="15"/>
  <c r="AR10" i="15"/>
  <c r="AK6" i="15"/>
  <c r="AL6" i="15"/>
  <c r="AM6" i="15"/>
  <c r="AN6" i="15"/>
  <c r="AO6" i="15"/>
  <c r="AQ6" i="15"/>
  <c r="AR6" i="15"/>
  <c r="BW61" i="9" l="1"/>
  <c r="BW31" i="9"/>
  <c r="BW46" i="9"/>
  <c r="BW43" i="9"/>
  <c r="BW88" i="9"/>
  <c r="BT34" i="9"/>
  <c r="BT46" i="9"/>
  <c r="BT88" i="9"/>
  <c r="BW70" i="9" l="1"/>
  <c r="BT70" i="9"/>
  <c r="BT79" i="9"/>
  <c r="BT31" i="9"/>
  <c r="BT82" i="9"/>
  <c r="BT85" i="9"/>
  <c r="BT28" i="9"/>
  <c r="BT43" i="9"/>
  <c r="BQ40" i="9" l="1"/>
  <c r="BQ82" i="9"/>
  <c r="BQ43" i="9"/>
  <c r="BQ88" i="9"/>
  <c r="BQ31" i="9"/>
  <c r="BQ85" i="9"/>
  <c r="BQ79" i="9"/>
  <c r="BQ34" i="9"/>
  <c r="BQ28" i="9"/>
  <c r="BQ70" i="9"/>
  <c r="BQ76" i="9"/>
  <c r="BN88" i="9" l="1"/>
  <c r="BN70" i="9"/>
  <c r="BK43" i="9"/>
  <c r="BK28" i="9"/>
  <c r="BK76" i="9"/>
  <c r="CZ76" i="9" s="1"/>
  <c r="BK61" i="9"/>
  <c r="BK31" i="9"/>
  <c r="BK79" i="9"/>
  <c r="BK88" i="9"/>
  <c r="BK40" i="9"/>
  <c r="BK85" i="9"/>
  <c r="BK58" i="9"/>
  <c r="BK82" i="9"/>
  <c r="BK46" i="9"/>
  <c r="BK52" i="9"/>
  <c r="BH88" i="9"/>
  <c r="BH43" i="9"/>
  <c r="BH85" i="9"/>
  <c r="BH61" i="9"/>
  <c r="CZ61" i="9" s="1"/>
  <c r="BH31" i="9"/>
  <c r="BH79" i="9"/>
  <c r="BH28" i="9"/>
  <c r="BH97" i="9"/>
  <c r="CZ97" i="9" s="1"/>
  <c r="BH58" i="9"/>
  <c r="CZ58" i="9" s="1"/>
  <c r="BH40" i="9"/>
  <c r="BH82" i="9"/>
  <c r="BH70" i="9"/>
  <c r="BE88" i="9"/>
  <c r="CZ88" i="9" s="1"/>
  <c r="BE34" i="9"/>
  <c r="CZ34" i="9" s="1"/>
  <c r="BE31" i="9"/>
  <c r="BE79" i="9"/>
  <c r="BE43" i="9"/>
  <c r="CZ43" i="9" s="1"/>
  <c r="BE52" i="9"/>
  <c r="BE28" i="9"/>
  <c r="BE85" i="9"/>
  <c r="BE40" i="9"/>
  <c r="CZ31" i="9" l="1"/>
  <c r="DA58" i="9"/>
  <c r="DA97" i="9"/>
  <c r="DA61" i="9"/>
  <c r="DA43" i="9"/>
  <c r="DA88" i="9"/>
  <c r="DA28" i="9"/>
  <c r="DA31" i="9"/>
  <c r="DA34" i="9"/>
  <c r="DA76" i="9"/>
  <c r="AV91" i="9"/>
  <c r="AD89" i="15" l="1"/>
  <c r="AE89" i="15"/>
  <c r="AF89" i="15"/>
  <c r="AG89" i="15"/>
  <c r="AH89" i="15"/>
  <c r="AI89" i="15"/>
  <c r="AJ89" i="15"/>
  <c r="AK89" i="15"/>
  <c r="AC89" i="15"/>
  <c r="AD85" i="15"/>
  <c r="AE85" i="15"/>
  <c r="AF85" i="15"/>
  <c r="AG85" i="15"/>
  <c r="AH85" i="15"/>
  <c r="AI85" i="15"/>
  <c r="AJ85" i="15"/>
  <c r="AK85" i="15"/>
  <c r="AC85" i="15"/>
  <c r="AD82" i="15"/>
  <c r="AE82" i="15"/>
  <c r="AF82" i="15"/>
  <c r="AG82" i="15"/>
  <c r="AH82" i="15"/>
  <c r="AI82" i="15"/>
  <c r="AJ82" i="15"/>
  <c r="AK82" i="15"/>
  <c r="AC82" i="15"/>
  <c r="AD79" i="15"/>
  <c r="AE79" i="15"/>
  <c r="AF79" i="15"/>
  <c r="AG79" i="15"/>
  <c r="AH79" i="15"/>
  <c r="AI79" i="15"/>
  <c r="AJ79" i="15"/>
  <c r="AK79" i="15"/>
  <c r="AC79" i="15"/>
  <c r="AD76" i="15"/>
  <c r="AE76" i="15"/>
  <c r="AF76" i="15"/>
  <c r="AG76" i="15"/>
  <c r="AH76" i="15"/>
  <c r="AI76" i="15"/>
  <c r="AJ76" i="15"/>
  <c r="AK76" i="15"/>
  <c r="AC76" i="15"/>
  <c r="AD74" i="15"/>
  <c r="AE74" i="15"/>
  <c r="AF74" i="15"/>
  <c r="AG74" i="15"/>
  <c r="AH74" i="15"/>
  <c r="AI74" i="15"/>
  <c r="AJ74" i="15"/>
  <c r="AD72" i="15"/>
  <c r="AE72" i="15"/>
  <c r="AF72" i="15"/>
  <c r="AG72" i="15"/>
  <c r="AH72" i="15"/>
  <c r="AI72" i="15"/>
  <c r="AJ72" i="15"/>
  <c r="AK72" i="15"/>
  <c r="AD69" i="15"/>
  <c r="AE69" i="15"/>
  <c r="AF69" i="15"/>
  <c r="AG69" i="15"/>
  <c r="AH69" i="15"/>
  <c r="AI69" i="15"/>
  <c r="AJ69" i="15"/>
  <c r="AC74" i="15"/>
  <c r="AC72" i="15"/>
  <c r="AC69" i="15"/>
  <c r="AD67" i="15"/>
  <c r="AE67" i="15"/>
  <c r="AF67" i="15"/>
  <c r="AG67" i="15"/>
  <c r="AH67" i="15"/>
  <c r="AI67" i="15"/>
  <c r="AJ67" i="15"/>
  <c r="AK67" i="15"/>
  <c r="AC67" i="15"/>
  <c r="AD64" i="15"/>
  <c r="AE64" i="15"/>
  <c r="AF64" i="15"/>
  <c r="AG64" i="15"/>
  <c r="AH64" i="15"/>
  <c r="AI64" i="15"/>
  <c r="AJ64" i="15"/>
  <c r="AK64" i="15"/>
  <c r="AC64" i="15"/>
  <c r="AD60" i="15"/>
  <c r="AE60" i="15"/>
  <c r="AF60" i="15"/>
  <c r="AG60" i="15"/>
  <c r="AH60" i="15"/>
  <c r="AI60" i="15"/>
  <c r="AJ60" i="15"/>
  <c r="AK60" i="15"/>
  <c r="AC60" i="15"/>
  <c r="AD56" i="15"/>
  <c r="AE56" i="15"/>
  <c r="AF56" i="15"/>
  <c r="AG56" i="15"/>
  <c r="AH56" i="15"/>
  <c r="AI56" i="15"/>
  <c r="AJ56" i="15"/>
  <c r="AC56" i="15"/>
  <c r="AD53" i="15"/>
  <c r="AE53" i="15"/>
  <c r="AF53" i="15"/>
  <c r="AG53" i="15"/>
  <c r="AH53" i="15"/>
  <c r="AI53" i="15"/>
  <c r="AJ53" i="15"/>
  <c r="AC53" i="15"/>
  <c r="AD50" i="15"/>
  <c r="AE50" i="15"/>
  <c r="AF50" i="15"/>
  <c r="AG50" i="15"/>
  <c r="AH50" i="15"/>
  <c r="AI50" i="15"/>
  <c r="AJ50" i="15"/>
  <c r="AC50" i="15"/>
  <c r="AD46" i="15"/>
  <c r="AE46" i="15"/>
  <c r="AF46" i="15"/>
  <c r="AG46" i="15"/>
  <c r="AH46" i="15"/>
  <c r="AI46" i="15"/>
  <c r="AJ46" i="15"/>
  <c r="AC46" i="15"/>
  <c r="AD42" i="15"/>
  <c r="AE42" i="15"/>
  <c r="AF42" i="15"/>
  <c r="AG42" i="15"/>
  <c r="AH42" i="15"/>
  <c r="AI42" i="15"/>
  <c r="AJ42" i="15"/>
  <c r="AC42" i="15"/>
  <c r="AD34" i="15"/>
  <c r="AE34" i="15"/>
  <c r="AF34" i="15"/>
  <c r="AG34" i="15"/>
  <c r="AH34" i="15"/>
  <c r="AI34" i="15"/>
  <c r="AC34" i="15"/>
  <c r="AD30" i="15"/>
  <c r="AE30" i="15"/>
  <c r="AF30" i="15"/>
  <c r="AG30" i="15"/>
  <c r="AH30" i="15"/>
  <c r="AI30" i="15"/>
  <c r="AJ30" i="15"/>
  <c r="AC30" i="15"/>
  <c r="AD26" i="15"/>
  <c r="AE26" i="15"/>
  <c r="AF26" i="15"/>
  <c r="AG26" i="15"/>
  <c r="AH26" i="15"/>
  <c r="AI26" i="15"/>
  <c r="AC26" i="15"/>
  <c r="AD22" i="15"/>
  <c r="AE22" i="15"/>
  <c r="AF22" i="15"/>
  <c r="AG22" i="15"/>
  <c r="AH22" i="15"/>
  <c r="AI22" i="15"/>
  <c r="AJ22" i="15"/>
  <c r="AC22" i="15"/>
  <c r="AD18" i="15"/>
  <c r="AE18" i="15"/>
  <c r="AF18" i="15"/>
  <c r="AG18" i="15"/>
  <c r="AH18" i="15"/>
  <c r="AI18" i="15"/>
  <c r="AJ18" i="15"/>
  <c r="AC18" i="15"/>
  <c r="AD14" i="15"/>
  <c r="AE14" i="15"/>
  <c r="AF14" i="15"/>
  <c r="AG14" i="15"/>
  <c r="AH14" i="15"/>
  <c r="AI14" i="15"/>
  <c r="AJ14" i="15"/>
  <c r="AC14" i="15"/>
  <c r="AE10" i="15"/>
  <c r="AF10" i="15"/>
  <c r="AG10" i="15"/>
  <c r="AH10" i="15"/>
  <c r="AI10" i="15"/>
  <c r="AD10" i="15"/>
  <c r="AC10" i="15"/>
  <c r="AD6" i="15"/>
  <c r="AE6" i="15"/>
  <c r="AF6" i="15"/>
  <c r="AG6" i="15"/>
  <c r="AH6" i="15"/>
  <c r="AI6" i="15"/>
  <c r="AJ6" i="15"/>
  <c r="AC6" i="15"/>
  <c r="AH38" i="15" l="1"/>
  <c r="AI38" i="15"/>
  <c r="AJ38" i="15"/>
  <c r="AY50" i="9"/>
  <c r="AB89" i="15" l="1"/>
  <c r="T6" i="15" l="1"/>
  <c r="Z89" i="15"/>
  <c r="AA89" i="15"/>
  <c r="Y89" i="15"/>
  <c r="X89" i="15"/>
  <c r="V22" i="15"/>
  <c r="W22" i="15"/>
  <c r="X22" i="15"/>
  <c r="Y22" i="15"/>
  <c r="Z22" i="15"/>
  <c r="AA22" i="15"/>
  <c r="AB22" i="15"/>
  <c r="Y6" i="15"/>
  <c r="Y10" i="15"/>
  <c r="Y14" i="15"/>
  <c r="Y18" i="15"/>
  <c r="Y26" i="15"/>
  <c r="Y30" i="15"/>
  <c r="Y34" i="15"/>
  <c r="Y38" i="15"/>
  <c r="Y42" i="15"/>
  <c r="Y46" i="15"/>
  <c r="Y50" i="15"/>
  <c r="Y53" i="15"/>
  <c r="Y56" i="15"/>
  <c r="W89" i="15" l="1"/>
  <c r="I89" i="15"/>
  <c r="K99" i="15" l="1"/>
  <c r="L97" i="15"/>
  <c r="L96" i="15"/>
  <c r="T89" i="15" l="1"/>
  <c r="U89" i="15"/>
  <c r="S89" i="15"/>
  <c r="V89" i="15" l="1"/>
  <c r="Q89" i="15"/>
  <c r="P89" i="15"/>
  <c r="O89" i="15"/>
  <c r="N89" i="15"/>
  <c r="L40" i="9" l="1"/>
  <c r="L38" i="9"/>
  <c r="X79" i="9"/>
  <c r="U40" i="9"/>
  <c r="U64" i="9"/>
  <c r="CZ64" i="9" s="1"/>
  <c r="U70" i="9"/>
  <c r="U46" i="9"/>
  <c r="U82" i="9"/>
  <c r="U91" i="9"/>
  <c r="CZ91" i="9" s="1"/>
  <c r="R40" i="9"/>
  <c r="R70" i="9"/>
  <c r="O70" i="9"/>
  <c r="O40" i="9"/>
  <c r="U86" i="9"/>
  <c r="CZ86" i="9" s="1"/>
  <c r="R52" i="9"/>
  <c r="U50" i="9"/>
  <c r="O52" i="9"/>
  <c r="X46" i="9"/>
  <c r="DA38" i="9" l="1"/>
  <c r="CZ38" i="9"/>
  <c r="DA86" i="9"/>
  <c r="DA91" i="9"/>
  <c r="DA64" i="9"/>
  <c r="L52" i="9"/>
  <c r="O22" i="15" l="1"/>
  <c r="P22" i="15"/>
  <c r="Q22" i="15"/>
  <c r="R22" i="15"/>
  <c r="S22" i="15"/>
  <c r="T22" i="15"/>
  <c r="U22" i="15"/>
  <c r="I22" i="15"/>
  <c r="L70" i="9" l="1"/>
  <c r="CZ70" i="9" s="1"/>
  <c r="L26" i="9"/>
  <c r="CZ26" i="9" s="1"/>
  <c r="F52" i="9"/>
  <c r="CZ52" i="9" s="1"/>
  <c r="CZ50" i="9"/>
  <c r="L47" i="9"/>
  <c r="CZ47" i="9" s="1"/>
  <c r="O49" i="9"/>
  <c r="O20" i="9"/>
  <c r="U79" i="9"/>
  <c r="R82" i="9"/>
  <c r="CZ82" i="9" s="1"/>
  <c r="R12" i="9"/>
  <c r="O12" i="9"/>
  <c r="R49" i="9"/>
  <c r="R79" i="9"/>
  <c r="O37" i="9"/>
  <c r="CZ49" i="9" l="1"/>
  <c r="DA37" i="9"/>
  <c r="CZ37" i="9"/>
  <c r="DA20" i="9"/>
  <c r="CZ20" i="9"/>
  <c r="DA52" i="9"/>
  <c r="DA50" i="9"/>
  <c r="DA26" i="9"/>
  <c r="DA49" i="9"/>
  <c r="DA82" i="9"/>
  <c r="DA47" i="9"/>
  <c r="DA70" i="9"/>
  <c r="F85" i="9"/>
  <c r="CZ85" i="9" s="1"/>
  <c r="F79" i="9"/>
  <c r="CZ79" i="9" s="1"/>
  <c r="F46" i="9"/>
  <c r="CZ46" i="9" s="1"/>
  <c r="F40" i="9"/>
  <c r="F12" i="9"/>
  <c r="F6" i="9"/>
  <c r="CZ6" i="9" s="1"/>
  <c r="DA40" i="9" l="1"/>
  <c r="CZ40" i="9"/>
  <c r="DA6" i="9"/>
  <c r="DA79" i="9"/>
  <c r="CZ12" i="9"/>
  <c r="DA12" i="9"/>
  <c r="DA85" i="9"/>
  <c r="DA46" i="9"/>
  <c r="P85" i="15"/>
  <c r="S85" i="15"/>
  <c r="U85" i="15"/>
  <c r="V85" i="15"/>
  <c r="W85" i="15"/>
  <c r="X85" i="15"/>
  <c r="Y85" i="15"/>
  <c r="Z85" i="15"/>
  <c r="AA85" i="15"/>
  <c r="AB85" i="15"/>
  <c r="O85" i="15"/>
  <c r="P82" i="15"/>
  <c r="S82" i="15"/>
  <c r="U82" i="15"/>
  <c r="V82" i="15"/>
  <c r="W82" i="15"/>
  <c r="X82" i="15"/>
  <c r="Y82" i="15"/>
  <c r="Z82" i="15"/>
  <c r="AA82" i="15"/>
  <c r="AB82" i="15"/>
  <c r="P79" i="15"/>
  <c r="S79" i="15"/>
  <c r="U79" i="15"/>
  <c r="V79" i="15"/>
  <c r="W79" i="15"/>
  <c r="X79" i="15"/>
  <c r="Y79" i="15"/>
  <c r="Z79" i="15"/>
  <c r="AA79" i="15"/>
  <c r="AB79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S72" i="15"/>
  <c r="AS72" i="15" s="1"/>
  <c r="W72" i="15"/>
  <c r="X72" i="15"/>
  <c r="Y72" i="15"/>
  <c r="Z72" i="15"/>
  <c r="AA72" i="15"/>
  <c r="AB72" i="15"/>
  <c r="P69" i="15"/>
  <c r="Q69" i="15"/>
  <c r="S69" i="15"/>
  <c r="W69" i="15"/>
  <c r="X69" i="15"/>
  <c r="Y69" i="15"/>
  <c r="Z69" i="15"/>
  <c r="AA69" i="15"/>
  <c r="AB69" i="15"/>
  <c r="O69" i="15"/>
  <c r="AS69" i="15" s="1"/>
  <c r="P67" i="15"/>
  <c r="Q67" i="15"/>
  <c r="S67" i="15"/>
  <c r="T67" i="15"/>
  <c r="W67" i="15"/>
  <c r="X67" i="15"/>
  <c r="Y67" i="15"/>
  <c r="Z67" i="15"/>
  <c r="AA67" i="15"/>
  <c r="AB67" i="15"/>
  <c r="O67" i="15"/>
  <c r="F64" i="15"/>
  <c r="G64" i="15"/>
  <c r="H64" i="15"/>
  <c r="I64" i="15"/>
  <c r="J64" i="15"/>
  <c r="K64" i="15"/>
  <c r="L64" i="15"/>
  <c r="M64" i="15"/>
  <c r="N64" i="15"/>
  <c r="P64" i="15"/>
  <c r="Q64" i="15"/>
  <c r="S64" i="15"/>
  <c r="T64" i="15"/>
  <c r="U64" i="15"/>
  <c r="V64" i="15"/>
  <c r="W64" i="15"/>
  <c r="X64" i="15"/>
  <c r="Y64" i="15"/>
  <c r="Z64" i="15"/>
  <c r="AA64" i="15"/>
  <c r="AB64" i="15"/>
  <c r="Q60" i="15"/>
  <c r="S60" i="15"/>
  <c r="T60" i="15"/>
  <c r="U60" i="15"/>
  <c r="V60" i="15"/>
  <c r="W60" i="15"/>
  <c r="X60" i="15"/>
  <c r="Y60" i="15"/>
  <c r="Z60" i="15"/>
  <c r="AA60" i="15"/>
  <c r="AB60" i="15"/>
  <c r="M60" i="15"/>
  <c r="I60" i="15"/>
  <c r="N56" i="15"/>
  <c r="O56" i="15"/>
  <c r="P56" i="15"/>
  <c r="Q56" i="15"/>
  <c r="R56" i="15"/>
  <c r="S56" i="15"/>
  <c r="T56" i="15"/>
  <c r="U56" i="15"/>
  <c r="V56" i="15"/>
  <c r="W56" i="15"/>
  <c r="X56" i="15"/>
  <c r="Z56" i="15"/>
  <c r="AA56" i="15"/>
  <c r="AB56" i="15"/>
  <c r="O53" i="15"/>
  <c r="P53" i="15"/>
  <c r="Q53" i="15"/>
  <c r="S53" i="15"/>
  <c r="T53" i="15"/>
  <c r="U53" i="15"/>
  <c r="V53" i="15"/>
  <c r="W53" i="15"/>
  <c r="X53" i="15"/>
  <c r="Z53" i="15"/>
  <c r="AA53" i="15"/>
  <c r="AB53" i="15"/>
  <c r="N53" i="15"/>
  <c r="M53" i="15"/>
  <c r="P50" i="15"/>
  <c r="Q50" i="15"/>
  <c r="S50" i="15"/>
  <c r="U50" i="15"/>
  <c r="V50" i="15"/>
  <c r="W50" i="15"/>
  <c r="X50" i="15"/>
  <c r="Z50" i="15"/>
  <c r="AA50" i="15"/>
  <c r="AB50" i="15"/>
  <c r="O50" i="15"/>
  <c r="AS50" i="15" s="1"/>
  <c r="P46" i="15"/>
  <c r="Q46" i="15"/>
  <c r="R46" i="15"/>
  <c r="S46" i="15"/>
  <c r="T46" i="15"/>
  <c r="U46" i="15"/>
  <c r="V46" i="15"/>
  <c r="W46" i="15"/>
  <c r="X46" i="15"/>
  <c r="Z46" i="15"/>
  <c r="AA46" i="15"/>
  <c r="AB46" i="15"/>
  <c r="O46" i="15"/>
  <c r="P42" i="15"/>
  <c r="Q42" i="15"/>
  <c r="S42" i="15"/>
  <c r="T42" i="15"/>
  <c r="U42" i="15"/>
  <c r="V42" i="15"/>
  <c r="W42" i="15"/>
  <c r="X42" i="15"/>
  <c r="Z42" i="15"/>
  <c r="AA42" i="15"/>
  <c r="AB42" i="15"/>
  <c r="O42" i="15"/>
  <c r="P38" i="15"/>
  <c r="Q38" i="15"/>
  <c r="S38" i="15"/>
  <c r="T38" i="15"/>
  <c r="U38" i="15"/>
  <c r="V38" i="15"/>
  <c r="W38" i="15"/>
  <c r="X38" i="15"/>
  <c r="Z38" i="15"/>
  <c r="AA38" i="15"/>
  <c r="AB38" i="15"/>
  <c r="AC38" i="15"/>
  <c r="AD38" i="15"/>
  <c r="AE38" i="15"/>
  <c r="AF38" i="15"/>
  <c r="AG38" i="15"/>
  <c r="O38" i="15"/>
  <c r="P34" i="15"/>
  <c r="Q34" i="15"/>
  <c r="R34" i="15"/>
  <c r="S34" i="15"/>
  <c r="T34" i="15"/>
  <c r="U34" i="15"/>
  <c r="V34" i="15"/>
  <c r="W34" i="15"/>
  <c r="X34" i="15"/>
  <c r="Z34" i="15"/>
  <c r="AA34" i="15"/>
  <c r="AB34" i="15"/>
  <c r="O34" i="15"/>
  <c r="Q30" i="15"/>
  <c r="R30" i="15"/>
  <c r="S30" i="15"/>
  <c r="T30" i="15"/>
  <c r="U30" i="15"/>
  <c r="V30" i="15"/>
  <c r="W30" i="15"/>
  <c r="X30" i="15"/>
  <c r="Z30" i="15"/>
  <c r="AA30" i="15"/>
  <c r="AB30" i="15"/>
  <c r="O26" i="15"/>
  <c r="P26" i="15"/>
  <c r="Q26" i="15"/>
  <c r="R26" i="15"/>
  <c r="S26" i="15"/>
  <c r="T26" i="15"/>
  <c r="U26" i="15"/>
  <c r="V26" i="15"/>
  <c r="W26" i="15"/>
  <c r="X26" i="15"/>
  <c r="Z26" i="15"/>
  <c r="AA26" i="15"/>
  <c r="AB26" i="15"/>
  <c r="N26" i="15"/>
  <c r="I26" i="15"/>
  <c r="I18" i="15"/>
  <c r="J18" i="15"/>
  <c r="K18" i="15"/>
  <c r="L18" i="15"/>
  <c r="M18" i="15"/>
  <c r="N18" i="15"/>
  <c r="O18" i="15"/>
  <c r="P18" i="15"/>
  <c r="Q18" i="15"/>
  <c r="S18" i="15"/>
  <c r="T18" i="15"/>
  <c r="U18" i="15"/>
  <c r="V18" i="15"/>
  <c r="W18" i="15"/>
  <c r="X18" i="15"/>
  <c r="Z18" i="15"/>
  <c r="AA18" i="15"/>
  <c r="AB18" i="15"/>
  <c r="Q14" i="15"/>
  <c r="S14" i="15"/>
  <c r="U14" i="15"/>
  <c r="V14" i="15"/>
  <c r="W14" i="15"/>
  <c r="X14" i="15"/>
  <c r="Z14" i="15"/>
  <c r="AA14" i="15"/>
  <c r="AB14" i="15"/>
  <c r="Q10" i="15"/>
  <c r="S10" i="15"/>
  <c r="U10" i="15"/>
  <c r="V10" i="15"/>
  <c r="W10" i="15"/>
  <c r="X10" i="15"/>
  <c r="Z10" i="15"/>
  <c r="AA10" i="15"/>
  <c r="AB10" i="15"/>
  <c r="M10" i="15"/>
  <c r="E6" i="15"/>
  <c r="F6" i="15"/>
  <c r="G6" i="15"/>
  <c r="H6" i="15"/>
  <c r="I6" i="15"/>
  <c r="J6" i="15"/>
  <c r="K6" i="15"/>
  <c r="L6" i="15"/>
  <c r="M6" i="15"/>
  <c r="N6" i="15"/>
  <c r="P6" i="15"/>
  <c r="Q6" i="15"/>
  <c r="S6" i="15"/>
  <c r="U6" i="15"/>
  <c r="V6" i="15"/>
  <c r="W6" i="15"/>
  <c r="X6" i="15"/>
  <c r="Z6" i="15"/>
  <c r="AA6" i="15"/>
  <c r="AB6" i="15"/>
  <c r="G18" i="15"/>
  <c r="AS76" i="15" l="1"/>
  <c r="AS85" i="15"/>
  <c r="AS30" i="15"/>
  <c r="AS34" i="15"/>
  <c r="AS67" i="15"/>
  <c r="AS82" i="15"/>
  <c r="AS42" i="15"/>
  <c r="AS46" i="15"/>
  <c r="AS79" i="15"/>
  <c r="AS60" i="15"/>
  <c r="I56" i="15"/>
  <c r="AS56" i="15" s="1"/>
  <c r="I53" i="15"/>
  <c r="E64" i="15"/>
  <c r="D64" i="15"/>
  <c r="AS64" i="15" s="1"/>
  <c r="E18" i="15"/>
  <c r="F18" i="15"/>
  <c r="H18" i="15"/>
  <c r="D18" i="15"/>
  <c r="D6" i="15"/>
  <c r="AS6" i="15" s="1"/>
  <c r="Y24" i="14" l="1"/>
  <c r="Y25" i="14"/>
  <c r="Z25" i="14" s="1"/>
  <c r="Y26" i="14"/>
  <c r="Y23" i="14"/>
  <c r="Z26" i="14" l="1"/>
  <c r="F49" i="12" l="1"/>
  <c r="G49" i="12" l="1"/>
  <c r="G48" i="12"/>
  <c r="F47" i="12"/>
  <c r="F46" i="12"/>
  <c r="A47" i="12"/>
  <c r="A48" i="12" s="1"/>
  <c r="A49" i="12" s="1"/>
  <c r="F48" i="12" l="1"/>
  <c r="G47" i="12"/>
  <c r="H5" i="17"/>
  <c r="I5" i="17" s="1"/>
  <c r="F9" i="17"/>
  <c r="H9" i="17" s="1"/>
  <c r="I9" i="17" s="1"/>
  <c r="F8" i="17"/>
  <c r="H8" i="17" s="1"/>
  <c r="F6" i="17"/>
  <c r="H6" i="17" s="1"/>
  <c r="I6" i="17" s="1"/>
  <c r="F5" i="17"/>
  <c r="F3" i="17"/>
  <c r="H3" i="17" s="1"/>
  <c r="I3" i="17" s="1"/>
  <c r="F2" i="17"/>
  <c r="H2" i="17" s="1"/>
  <c r="I2" i="17" s="1"/>
  <c r="Q54" i="10"/>
  <c r="Q56" i="10"/>
  <c r="Q52" i="10"/>
  <c r="P57" i="10"/>
  <c r="Q57" i="10" s="1"/>
  <c r="P55" i="10"/>
  <c r="Q55" i="10" s="1"/>
  <c r="P53" i="10"/>
  <c r="Q53" i="10" s="1"/>
  <c r="H11" i="17" l="1"/>
  <c r="I8" i="17"/>
  <c r="I11" i="17" s="1"/>
  <c r="K39" i="12"/>
  <c r="G26" i="12" l="1"/>
  <c r="G25" i="12"/>
  <c r="G24" i="12"/>
  <c r="G23" i="12"/>
  <c r="G19" i="12"/>
  <c r="G18" i="12"/>
  <c r="G17" i="12"/>
  <c r="G16" i="12"/>
  <c r="G37" i="12"/>
  <c r="G38" i="12"/>
  <c r="G35" i="12"/>
  <c r="G36" i="12"/>
  <c r="G33" i="12"/>
  <c r="G34" i="12"/>
  <c r="G31" i="12"/>
  <c r="G32" i="12"/>
  <c r="G29" i="12"/>
  <c r="G30" i="12"/>
  <c r="G27" i="12"/>
  <c r="G4" i="12"/>
  <c r="M58" i="10"/>
  <c r="M50" i="10"/>
  <c r="M48" i="10"/>
  <c r="M46" i="10"/>
  <c r="M43" i="10"/>
  <c r="M40" i="10"/>
  <c r="M38" i="10"/>
  <c r="M36" i="10"/>
  <c r="M34" i="10"/>
  <c r="M32" i="10"/>
  <c r="M30" i="10"/>
  <c r="M28" i="10"/>
  <c r="M24" i="10"/>
  <c r="M22" i="10"/>
  <c r="M20" i="10"/>
  <c r="M17" i="10"/>
  <c r="M15" i="10"/>
  <c r="M13" i="10"/>
  <c r="M10" i="10"/>
  <c r="M8" i="10"/>
  <c r="M6" i="10"/>
  <c r="N6" i="10" s="1"/>
  <c r="M4" i="10"/>
  <c r="N4" i="10" s="1"/>
  <c r="X24" i="14" l="1"/>
  <c r="Z24" i="14" s="1"/>
  <c r="X23" i="14"/>
  <c r="Z23" i="14" s="1"/>
  <c r="V16" i="14"/>
  <c r="X16" i="14" s="1"/>
  <c r="V17" i="14"/>
  <c r="X17" i="14" s="1"/>
  <c r="V15" i="14"/>
  <c r="X15" i="14" s="1"/>
  <c r="V14" i="14"/>
  <c r="X14" i="14" s="1"/>
  <c r="V6" i="14"/>
  <c r="X6" i="14" s="1"/>
  <c r="V7" i="14"/>
  <c r="X7" i="14" s="1"/>
  <c r="V8" i="14"/>
  <c r="X8" i="14" s="1"/>
  <c r="V9" i="14"/>
  <c r="X9" i="14" s="1"/>
  <c r="V10" i="14"/>
  <c r="X10" i="14" s="1"/>
  <c r="V11" i="14"/>
  <c r="X11" i="14" s="1"/>
  <c r="V12" i="14"/>
  <c r="X12" i="14" s="1"/>
  <c r="V13" i="14"/>
  <c r="X13" i="14" s="1"/>
  <c r="V5" i="14"/>
  <c r="X5" i="14" s="1"/>
  <c r="V4" i="14"/>
  <c r="X4" i="14" s="1"/>
  <c r="F16" i="12" l="1"/>
  <c r="F30" i="12"/>
  <c r="F29" i="12"/>
  <c r="F32" i="12"/>
  <c r="F31" i="12"/>
  <c r="F34" i="12"/>
  <c r="F33" i="12"/>
  <c r="F36" i="12"/>
  <c r="F35" i="12"/>
  <c r="F38" i="12"/>
  <c r="F37" i="12"/>
  <c r="F27" i="12" l="1"/>
  <c r="F4" i="12"/>
  <c r="N50" i="10" l="1"/>
  <c r="N48" i="10"/>
  <c r="K51" i="10" l="1"/>
  <c r="M51" i="10" s="1"/>
  <c r="L50" i="10"/>
  <c r="K49" i="10"/>
  <c r="M49" i="10" s="1"/>
  <c r="L48" i="10"/>
  <c r="L30" i="10"/>
  <c r="K9" i="10"/>
  <c r="M9" i="10" s="1"/>
  <c r="L6" i="10"/>
  <c r="N15" i="10"/>
  <c r="K14" i="10"/>
  <c r="M14" i="10" s="1"/>
  <c r="N51" i="10" l="1"/>
  <c r="L51" i="10"/>
  <c r="N49" i="10"/>
  <c r="L49" i="10"/>
  <c r="K31" i="10"/>
  <c r="M31" i="10" s="1"/>
  <c r="N30" i="10"/>
  <c r="L9" i="10"/>
  <c r="N9" i="10"/>
  <c r="L8" i="10"/>
  <c r="N8" i="10"/>
  <c r="K7" i="10"/>
  <c r="M7" i="10" s="1"/>
  <c r="N7" i="10" s="1"/>
  <c r="K5" i="10"/>
  <c r="L4" i="10"/>
  <c r="L13" i="10"/>
  <c r="N13" i="10"/>
  <c r="K16" i="10"/>
  <c r="M16" i="10" s="1"/>
  <c r="L15" i="10"/>
  <c r="N14" i="10"/>
  <c r="L14" i="10"/>
  <c r="M5" i="10" l="1"/>
  <c r="N5" i="10" s="1"/>
  <c r="N31" i="10"/>
  <c r="L31" i="10"/>
  <c r="L7" i="10"/>
  <c r="L5" i="10"/>
  <c r="N16" i="10"/>
  <c r="L16" i="10"/>
  <c r="AA74" i="15" l="1"/>
  <c r="AB74" i="15"/>
  <c r="AT89" i="15" l="1"/>
  <c r="AS89" i="15" l="1"/>
  <c r="AU89" i="15" s="1"/>
  <c r="AV61" i="15" l="1"/>
  <c r="AW61" i="15"/>
  <c r="Q74" i="15"/>
  <c r="R74" i="15"/>
  <c r="S74" i="15"/>
  <c r="T74" i="15"/>
  <c r="U74" i="15"/>
  <c r="V74" i="15"/>
  <c r="W74" i="15"/>
  <c r="X74" i="15"/>
  <c r="Y74" i="15"/>
  <c r="Z74" i="15"/>
  <c r="AW15" i="15"/>
  <c r="AV15" i="15"/>
  <c r="AV35" i="15"/>
  <c r="AT38" i="15"/>
  <c r="AT56" i="15"/>
  <c r="AT69" i="15"/>
  <c r="AT6" i="15"/>
  <c r="AV3" i="15"/>
  <c r="AW3" i="15"/>
  <c r="AW54" i="15"/>
  <c r="AV54" i="15"/>
  <c r="AV51" i="15"/>
  <c r="AW35" i="15"/>
  <c r="AT60" i="15"/>
  <c r="AT53" i="15"/>
  <c r="AT34" i="15"/>
  <c r="AT26" i="15"/>
  <c r="AT30" i="15"/>
  <c r="AT18" i="15"/>
  <c r="AT85" i="15"/>
  <c r="AT82" i="15"/>
  <c r="AT79" i="15"/>
  <c r="AT76" i="15"/>
  <c r="AT74" i="15"/>
  <c r="AT72" i="15"/>
  <c r="AT67" i="15"/>
  <c r="AT64" i="15"/>
  <c r="AT50" i="15"/>
  <c r="AT46" i="15"/>
  <c r="AT42" i="15"/>
  <c r="AT22" i="15"/>
  <c r="AT14" i="15"/>
  <c r="AT10" i="15"/>
  <c r="E38" i="15"/>
  <c r="F38" i="15"/>
  <c r="D38" i="15"/>
  <c r="AS38" i="15" s="1"/>
  <c r="E53" i="15"/>
  <c r="F53" i="15"/>
  <c r="D53" i="15"/>
  <c r="AS53" i="15" s="1"/>
  <c r="AS74" i="15" l="1"/>
  <c r="AT92" i="15"/>
  <c r="AW62" i="15"/>
  <c r="AW64" i="15" s="1"/>
  <c r="AV62" i="15"/>
  <c r="AV64" i="15" s="1"/>
  <c r="AU85" i="15"/>
  <c r="AW52" i="15"/>
  <c r="AU56" i="15"/>
  <c r="AV16" i="15"/>
  <c r="AV18" i="15" s="1"/>
  <c r="AS14" i="15"/>
  <c r="AU14" i="15" s="1"/>
  <c r="AU46" i="15"/>
  <c r="AW16" i="15"/>
  <c r="AW18" i="15" s="1"/>
  <c r="AU76" i="15"/>
  <c r="AU34" i="15"/>
  <c r="AS26" i="15"/>
  <c r="AU26" i="15" s="1"/>
  <c r="AW55" i="15"/>
  <c r="AW56" i="15" s="1"/>
  <c r="AU69" i="15"/>
  <c r="AU72" i="15"/>
  <c r="AU74" i="15"/>
  <c r="AU82" i="15"/>
  <c r="AW4" i="15"/>
  <c r="AW6" i="15" s="1"/>
  <c r="AW51" i="15"/>
  <c r="AU60" i="15"/>
  <c r="AU67" i="15"/>
  <c r="AV55" i="15"/>
  <c r="AV56" i="15" s="1"/>
  <c r="AV4" i="15"/>
  <c r="AV6" i="15" s="1"/>
  <c r="AV36" i="15"/>
  <c r="AV38" i="15" s="1"/>
  <c r="AU38" i="15"/>
  <c r="AU53" i="15"/>
  <c r="AS22" i="15"/>
  <c r="AU22" i="15" s="1"/>
  <c r="AU50" i="15"/>
  <c r="AU30" i="15"/>
  <c r="AS18" i="15"/>
  <c r="AU18" i="15" s="1"/>
  <c r="AU64" i="15"/>
  <c r="AW36" i="15"/>
  <c r="AW38" i="15" s="1"/>
  <c r="AV52" i="15"/>
  <c r="AV53" i="15" s="1"/>
  <c r="AS10" i="15"/>
  <c r="AU10" i="15" s="1"/>
  <c r="AU42" i="15"/>
  <c r="AU79" i="15"/>
  <c r="AU6" i="15" l="1"/>
  <c r="AS92" i="15"/>
  <c r="AU92" i="15" s="1"/>
  <c r="AW53" i="15"/>
  <c r="A5" i="14" l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F17" i="12"/>
  <c r="F18" i="12"/>
  <c r="F19" i="12"/>
  <c r="F23" i="12"/>
  <c r="F24" i="12"/>
  <c r="F25" i="12"/>
  <c r="F26" i="12"/>
  <c r="H12" i="14" l="1"/>
  <c r="L12" i="14" s="1"/>
  <c r="H11" i="14"/>
  <c r="L11" i="14" s="1"/>
  <c r="H10" i="14"/>
  <c r="L10" i="14" s="1"/>
  <c r="H9" i="14"/>
  <c r="J9" i="14" s="1"/>
  <c r="H8" i="14"/>
  <c r="L8" i="14" s="1"/>
  <c r="H7" i="14"/>
  <c r="H6" i="14"/>
  <c r="L6" i="14" s="1"/>
  <c r="H5" i="14"/>
  <c r="L5" i="14" s="1"/>
  <c r="H4" i="14"/>
  <c r="L9" i="14" l="1"/>
  <c r="M9" i="14" s="1"/>
  <c r="O9" i="14" s="1"/>
  <c r="J10" i="14"/>
  <c r="M10" i="14" s="1"/>
  <c r="L4" i="14"/>
  <c r="J4" i="14"/>
  <c r="J6" i="14"/>
  <c r="M6" i="14" s="1"/>
  <c r="J12" i="14"/>
  <c r="M12" i="14" s="1"/>
  <c r="J11" i="14"/>
  <c r="M11" i="14" s="1"/>
  <c r="L7" i="14"/>
  <c r="J7" i="14"/>
  <c r="J5" i="14"/>
  <c r="M5" i="14" s="1"/>
  <c r="J8" i="14"/>
  <c r="M8" i="14" s="1"/>
  <c r="Q9" i="14" l="1"/>
  <c r="Q10" i="14"/>
  <c r="O10" i="14"/>
  <c r="O8" i="14"/>
  <c r="Q8" i="14"/>
  <c r="O5" i="14"/>
  <c r="Q5" i="14"/>
  <c r="O12" i="14"/>
  <c r="Q12" i="14"/>
  <c r="M7" i="14"/>
  <c r="O6" i="14"/>
  <c r="Q6" i="14"/>
  <c r="Q11" i="14"/>
  <c r="O11" i="14"/>
  <c r="M4" i="14"/>
  <c r="O4" i="14" l="1"/>
  <c r="Q4" i="14"/>
  <c r="Q7" i="14"/>
  <c r="O7" i="14"/>
  <c r="N32" i="10" l="1"/>
  <c r="N17" i="10"/>
  <c r="L17" i="10" l="1"/>
  <c r="N54" i="10"/>
  <c r="N52" i="10"/>
  <c r="N24" i="10"/>
  <c r="N46" i="10"/>
  <c r="N28" i="10"/>
  <c r="K33" i="10"/>
  <c r="M33" i="10" s="1"/>
  <c r="N22" i="10"/>
  <c r="N10" i="10" l="1"/>
  <c r="N58" i="10"/>
  <c r="K35" i="10"/>
  <c r="M35" i="10" s="1"/>
  <c r="N34" i="10"/>
  <c r="N56" i="10"/>
  <c r="L10" i="10"/>
  <c r="K25" i="10"/>
  <c r="M25" i="10" s="1"/>
  <c r="L36" i="10"/>
  <c r="N36" i="10"/>
  <c r="L40" i="10"/>
  <c r="N40" i="10"/>
  <c r="K44" i="10"/>
  <c r="M44" i="10" s="1"/>
  <c r="N43" i="10"/>
  <c r="K39" i="10"/>
  <c r="M39" i="10" s="1"/>
  <c r="N38" i="10"/>
  <c r="L33" i="10"/>
  <c r="N33" i="10"/>
  <c r="L28" i="10"/>
  <c r="L22" i="10"/>
  <c r="K21" i="10"/>
  <c r="M21" i="10" s="1"/>
  <c r="N20" i="10"/>
  <c r="K47" i="10"/>
  <c r="M47" i="10" s="1"/>
  <c r="K11" i="10"/>
  <c r="K18" i="10"/>
  <c r="M18" i="10" s="1"/>
  <c r="L54" i="10"/>
  <c r="L56" i="10"/>
  <c r="L58" i="10"/>
  <c r="L24" i="10"/>
  <c r="K41" i="10"/>
  <c r="M41" i="10" s="1"/>
  <c r="L46" i="10"/>
  <c r="K37" i="10"/>
  <c r="M37" i="10" s="1"/>
  <c r="L43" i="10"/>
  <c r="L38" i="10"/>
  <c r="K29" i="10"/>
  <c r="M29" i="10" s="1"/>
  <c r="L34" i="10"/>
  <c r="L20" i="10"/>
  <c r="K23" i="10"/>
  <c r="M23" i="10" s="1"/>
  <c r="L32" i="10"/>
  <c r="L52" i="10"/>
  <c r="K59" i="10" l="1"/>
  <c r="L59" i="10" s="1"/>
  <c r="M11" i="10"/>
  <c r="N53" i="10"/>
  <c r="L11" i="10"/>
  <c r="L35" i="10"/>
  <c r="N35" i="10"/>
  <c r="N57" i="10"/>
  <c r="N55" i="10"/>
  <c r="L25" i="10"/>
  <c r="N25" i="10"/>
  <c r="L37" i="10"/>
  <c r="N37" i="10"/>
  <c r="L41" i="10"/>
  <c r="N41" i="10"/>
  <c r="L44" i="10"/>
  <c r="N44" i="10"/>
  <c r="L39" i="10"/>
  <c r="N39" i="10"/>
  <c r="L18" i="10"/>
  <c r="N18" i="10"/>
  <c r="L29" i="10"/>
  <c r="N29" i="10"/>
  <c r="L23" i="10"/>
  <c r="N23" i="10"/>
  <c r="L21" i="10"/>
  <c r="N21" i="10"/>
  <c r="L47" i="10"/>
  <c r="N47" i="10"/>
  <c r="M59" i="10" l="1"/>
  <c r="N11" i="10"/>
  <c r="N59" i="10" s="1"/>
</calcChain>
</file>

<file path=xl/sharedStrings.xml><?xml version="1.0" encoding="utf-8"?>
<sst xmlns="http://schemas.openxmlformats.org/spreadsheetml/2006/main" count="737" uniqueCount="283">
  <si>
    <t>трава</t>
  </si>
  <si>
    <t>зерно</t>
  </si>
  <si>
    <t>№п/п</t>
  </si>
  <si>
    <t>ФИО</t>
  </si>
  <si>
    <t>Мосейчук О.К.</t>
  </si>
  <si>
    <t>Итого</t>
  </si>
  <si>
    <t>Гл. экономист</t>
  </si>
  <si>
    <t>Антоновский В.И.</t>
  </si>
  <si>
    <t>Ковалевич С.М.</t>
  </si>
  <si>
    <t>Лысюк А.В.</t>
  </si>
  <si>
    <t>Токарчук П.В.</t>
  </si>
  <si>
    <t>Малыцицкий М.Н.</t>
  </si>
  <si>
    <t>Малыцицкий Н.Н.</t>
  </si>
  <si>
    <t>Протасюк С.М.</t>
  </si>
  <si>
    <t>Дубина А.П.</t>
  </si>
  <si>
    <t>Савило А.М.</t>
  </si>
  <si>
    <t xml:space="preserve">рапс </t>
  </si>
  <si>
    <t>з/боб</t>
  </si>
  <si>
    <t>Левша А.П.</t>
  </si>
  <si>
    <t xml:space="preserve">з/пл </t>
  </si>
  <si>
    <t>таб.№</t>
  </si>
  <si>
    <t>Колесникович А.И.</t>
  </si>
  <si>
    <t>отработано дней</t>
  </si>
  <si>
    <t>среднедневная зарплата</t>
  </si>
  <si>
    <t>Труш О.С.</t>
  </si>
  <si>
    <t>люпин</t>
  </si>
  <si>
    <t>Ф.И.О.</t>
  </si>
  <si>
    <t>итого</t>
  </si>
  <si>
    <t>тонн</t>
  </si>
  <si>
    <t>сумма</t>
  </si>
  <si>
    <t>6501В9</t>
  </si>
  <si>
    <t>Маз 457043/Газ3309</t>
  </si>
  <si>
    <t>Каравайчик Д.В.</t>
  </si>
  <si>
    <t>трава/рапс</t>
  </si>
  <si>
    <t>рапс</t>
  </si>
  <si>
    <t>Калюта Ю.Г.</t>
  </si>
  <si>
    <t>Главный агроном</t>
  </si>
  <si>
    <t>Пикун А.В.</t>
  </si>
  <si>
    <t>Агроном по семеноводству</t>
  </si>
  <si>
    <t>Инженер по обслуживанию оборудования зернотоков</t>
  </si>
  <si>
    <t>Протасовицкий С.А.</t>
  </si>
  <si>
    <t>Начальник пр.участка № 1</t>
  </si>
  <si>
    <t>Чечун К.К.</t>
  </si>
  <si>
    <t>Начальник пр.участка № 2</t>
  </si>
  <si>
    <t>Начальник пр.участка № 3</t>
  </si>
  <si>
    <t>Кравец В.Н.</t>
  </si>
  <si>
    <t>Начальник пр.участка № 4</t>
  </si>
  <si>
    <t>Шевчик В.М.</t>
  </si>
  <si>
    <t>Начальник пр.участка № 5</t>
  </si>
  <si>
    <t>Пикун Е.А.</t>
  </si>
  <si>
    <t>Начальник пр.участка № 6</t>
  </si>
  <si>
    <t>Пашкевич А.В.</t>
  </si>
  <si>
    <t>2019 год</t>
  </si>
  <si>
    <t>Труш А.В.</t>
  </si>
  <si>
    <t>Кравец И.Н.</t>
  </si>
  <si>
    <t>з/пл  на уборке</t>
  </si>
  <si>
    <t>оклад</t>
  </si>
  <si>
    <t>з/п за месяц</t>
  </si>
  <si>
    <t>2 оклада</t>
  </si>
  <si>
    <t>всего з/п с премией</t>
  </si>
  <si>
    <t>отраб. дней</t>
  </si>
  <si>
    <t>ср.з/пл.</t>
  </si>
  <si>
    <t>М.Л. Жарун</t>
  </si>
  <si>
    <t>Кременский О.И.</t>
  </si>
  <si>
    <t>Кравец И.Н./Антоновский В.И.</t>
  </si>
  <si>
    <t>Ковалевич С.М. / Малыщицкий Д.В.</t>
  </si>
  <si>
    <t>Каравайчик Д.Н./Трубин А.В.</t>
  </si>
  <si>
    <t>Малыщицкий Н..Н</t>
  </si>
  <si>
    <t>Малыщицкий М..Н</t>
  </si>
  <si>
    <t>Протасюк С.М</t>
  </si>
  <si>
    <t>Шпаковский С.Н./Козинский С.Н.</t>
  </si>
  <si>
    <t>Среднедневная</t>
  </si>
  <si>
    <t>Токарь С.Г.              трава</t>
  </si>
  <si>
    <t>Свирид А.А.            трава</t>
  </si>
  <si>
    <t xml:space="preserve">      сумма</t>
  </si>
  <si>
    <t xml:space="preserve">  сумма</t>
  </si>
  <si>
    <t>Евтух П.В.               трава</t>
  </si>
  <si>
    <t>Антоновский В.И.    трава</t>
  </si>
  <si>
    <t>Бонцевич Андр.В.     трава</t>
  </si>
  <si>
    <t xml:space="preserve"> Козинский С.Н.        трава</t>
  </si>
  <si>
    <t>Бонит В.П.                трава</t>
  </si>
  <si>
    <t>Бондаренко М.А.       трава</t>
  </si>
  <si>
    <t>Протосовицкий П.Л. трава</t>
  </si>
  <si>
    <t xml:space="preserve"> Бут-Гусаим С.С.       трава</t>
  </si>
  <si>
    <t>Трубин А.В.               трава</t>
  </si>
  <si>
    <t>Малыщицкий Д.В.    трава</t>
  </si>
  <si>
    <t xml:space="preserve"> Гаркович Г.Г.           трава</t>
  </si>
  <si>
    <t>Володкевич Н.Г.       трава</t>
  </si>
  <si>
    <t>Среднедневная за траву</t>
  </si>
  <si>
    <t>Среднедневная за зерно</t>
  </si>
  <si>
    <t>Дни</t>
  </si>
  <si>
    <t xml:space="preserve"> Бондарчук С.В.        зерно</t>
  </si>
  <si>
    <t xml:space="preserve">      зерно</t>
  </si>
  <si>
    <t>Сатишур С.С.            трава</t>
  </si>
  <si>
    <t>Чирко Л.И.                трава</t>
  </si>
  <si>
    <t xml:space="preserve">  зерно</t>
  </si>
  <si>
    <t>Веренич С.В.</t>
  </si>
  <si>
    <t xml:space="preserve">Козинский С.Н.    </t>
  </si>
  <si>
    <t>Шпаковский С.Н.</t>
  </si>
  <si>
    <t xml:space="preserve">Бонцевич Ан.В </t>
  </si>
  <si>
    <t xml:space="preserve"> Драбович В.В.</t>
  </si>
  <si>
    <t xml:space="preserve">Бонит В.П. </t>
  </si>
  <si>
    <t>Токарь С.Г.</t>
  </si>
  <si>
    <t>Ильючик М.Ф.</t>
  </si>
  <si>
    <t>Свирид А.А.</t>
  </si>
  <si>
    <t>Ребковец Р.А.</t>
  </si>
  <si>
    <t xml:space="preserve">Евтух П.В.    </t>
  </si>
  <si>
    <t xml:space="preserve">Бондаренко М.А.  </t>
  </si>
  <si>
    <t>Бонцевич Ал-др.В</t>
  </si>
  <si>
    <t>Протосовицкий П.Л.</t>
  </si>
  <si>
    <t>Бут-Гусаим С.С.</t>
  </si>
  <si>
    <t>Трубин А.В.</t>
  </si>
  <si>
    <t xml:space="preserve">Малыщицкий Д.В. </t>
  </si>
  <si>
    <t>Гордеев  В.А.</t>
  </si>
  <si>
    <t>Чечун М.С.</t>
  </si>
  <si>
    <t>Дубина Ф.В.</t>
  </si>
  <si>
    <t>Бондарчук С.В.</t>
  </si>
  <si>
    <t>Хоцевич А.Н.</t>
  </si>
  <si>
    <t>Е.А.Ребковец</t>
  </si>
  <si>
    <t>Е.А. Ребковец</t>
  </si>
  <si>
    <t>Агроном по защите растений</t>
  </si>
  <si>
    <t>Дубина Е.П.</t>
  </si>
  <si>
    <t>Начальник КЗСВ-100</t>
  </si>
  <si>
    <t>Коржич Д. А.</t>
  </si>
  <si>
    <t>Инженер-гидротехник</t>
  </si>
  <si>
    <t>Хомич Ю.Л.</t>
  </si>
  <si>
    <t>Кладовщик зернотока №1</t>
  </si>
  <si>
    <t>Аскалепова Е.И.</t>
  </si>
  <si>
    <t>Кладовщик зернотока №2</t>
  </si>
  <si>
    <t>Чечун В.М.</t>
  </si>
  <si>
    <t>Весовщики з/т2</t>
  </si>
  <si>
    <t>Весовщики КЗСВ</t>
  </si>
  <si>
    <t>Ткач И.А.</t>
  </si>
  <si>
    <t>Лаборанты</t>
  </si>
  <si>
    <t>Лысенок, Пекун, Ващилко</t>
  </si>
  <si>
    <t>з/п с премией</t>
  </si>
  <si>
    <t>з/пл</t>
  </si>
  <si>
    <t>Премия за уборку 80%</t>
  </si>
  <si>
    <t>сумма премии 80%</t>
  </si>
  <si>
    <t xml:space="preserve">сумма премии           </t>
  </si>
  <si>
    <t>Уборка зерновых</t>
  </si>
  <si>
    <t>Расчет премии специалистам ОАО "Парохонское" на уборке зерновых урожая 2021 года</t>
  </si>
  <si>
    <t>прем</t>
  </si>
  <si>
    <t>Чирко Л.И.</t>
  </si>
  <si>
    <t>Кожун А.И.</t>
  </si>
  <si>
    <t>Володкевич Н.Г.</t>
  </si>
  <si>
    <t>Белоус М.Н.</t>
  </si>
  <si>
    <t>Сатишур С.С.</t>
  </si>
  <si>
    <t>Кулеш И.Л.</t>
  </si>
  <si>
    <t>З/пл 08 м-ц</t>
  </si>
  <si>
    <t>З/пл 07 м-ц</t>
  </si>
  <si>
    <t>Премия 80%</t>
  </si>
  <si>
    <t>З/пл за намолот</t>
  </si>
  <si>
    <t>Прочие (соревнования)</t>
  </si>
  <si>
    <t>Трухановец</t>
  </si>
  <si>
    <t>К выдаче</t>
  </si>
  <si>
    <t>Начисленнная сумма</t>
  </si>
  <si>
    <t>Бут-Гусаим С.А.</t>
  </si>
  <si>
    <t>Оклад</t>
  </si>
  <si>
    <t>Премия</t>
  </si>
  <si>
    <t>Доплата</t>
  </si>
  <si>
    <t>З/плата за месяц</t>
  </si>
  <si>
    <t>З/плата с доплатой</t>
  </si>
  <si>
    <t>Доплата 2020 год</t>
  </si>
  <si>
    <t>22.07 - 15.08</t>
  </si>
  <si>
    <t>Гордеев В.А./Шпаковский С.П.</t>
  </si>
  <si>
    <t>Труш О.С.  /  Труш А.В.</t>
  </si>
  <si>
    <t>Анализ заработной платы на уборке зерновых урожая 2022 года</t>
  </si>
  <si>
    <t>Веренич С.В.           трава</t>
  </si>
  <si>
    <t>Мовчан В.А.   трава</t>
  </si>
  <si>
    <t>Шпаковский С.П.    трава</t>
  </si>
  <si>
    <t xml:space="preserve">           зерно</t>
  </si>
  <si>
    <t>Чечун М.С.               трава</t>
  </si>
  <si>
    <t>Ребковец Р.А.       зерно</t>
  </si>
  <si>
    <t xml:space="preserve">              зерно</t>
  </si>
  <si>
    <t xml:space="preserve"> Бурчук И.М.             зерно</t>
  </si>
  <si>
    <t xml:space="preserve"> Труш А.В.                трава</t>
  </si>
  <si>
    <t>2022 год</t>
  </si>
  <si>
    <t>Шпаковский П.П    трава</t>
  </si>
  <si>
    <t>Солоневич А.М.</t>
  </si>
  <si>
    <t>Хромин В.И.</t>
  </si>
  <si>
    <t>Авдей Е.А.</t>
  </si>
  <si>
    <t xml:space="preserve">Труш О.С.  </t>
  </si>
  <si>
    <t>Шпак</t>
  </si>
  <si>
    <t>Ребковец С.А.</t>
  </si>
  <si>
    <t>Палий М.В.</t>
  </si>
  <si>
    <t>Мокей Г.Г.</t>
  </si>
  <si>
    <t>Герасимович П.С.</t>
  </si>
  <si>
    <t>Билиба П.П.</t>
  </si>
  <si>
    <t>Ефремов И.И.</t>
  </si>
  <si>
    <t xml:space="preserve">                                 рапс</t>
  </si>
  <si>
    <t>с 1.08</t>
  </si>
  <si>
    <t>ОПБ</t>
  </si>
  <si>
    <t>Шепелевич СС</t>
  </si>
  <si>
    <t>Кирей</t>
  </si>
  <si>
    <t>Малыщицкий вв</t>
  </si>
  <si>
    <t>Ребковец В.В.</t>
  </si>
  <si>
    <t xml:space="preserve"> </t>
  </si>
  <si>
    <t>Евтух Г.В.</t>
  </si>
  <si>
    <t>бобы</t>
  </si>
  <si>
    <t>одн.</t>
  </si>
  <si>
    <t>Кременский О.Ж.</t>
  </si>
  <si>
    <t>Расчет премии на уборке зерновых урожая 2022 года комбайнерам (05.07.2022 г. - 18.08.2022 г.)</t>
  </si>
  <si>
    <t>Наривончик Д.С.</t>
  </si>
  <si>
    <t>Чечун М.М.</t>
  </si>
  <si>
    <t>Козел С.А</t>
  </si>
  <si>
    <t>Быкович В.В.</t>
  </si>
  <si>
    <t>Мовчан В.А.</t>
  </si>
  <si>
    <t>Антоновский С.И.</t>
  </si>
  <si>
    <t>Драбович П.В.</t>
  </si>
  <si>
    <t>Гаркович Г.Г                      Мокей А.Ю.</t>
  </si>
  <si>
    <t xml:space="preserve">Шпаковский С.П. </t>
  </si>
  <si>
    <t>Полховский М.П.</t>
  </si>
  <si>
    <t>Жидаль М.А.</t>
  </si>
  <si>
    <t>Бурчук И.М.</t>
  </si>
  <si>
    <t>Шпаковский П.П.</t>
  </si>
  <si>
    <t>дни</t>
  </si>
  <si>
    <t>Сатишур С.С.                        Кулеш И.Л.</t>
  </si>
  <si>
    <t>Чирко Л.И.                            Кожун А.И.</t>
  </si>
  <si>
    <t>Володкевич Н.Г..                   Белоус М.Н.</t>
  </si>
  <si>
    <t>Яковец А.А.</t>
  </si>
  <si>
    <t>Козинский С.Н.</t>
  </si>
  <si>
    <t>19</t>
  </si>
  <si>
    <t>22</t>
  </si>
  <si>
    <t>25</t>
  </si>
  <si>
    <t>28</t>
  </si>
  <si>
    <t>31</t>
  </si>
  <si>
    <t>3</t>
  </si>
  <si>
    <t>6</t>
  </si>
  <si>
    <t>9</t>
  </si>
  <si>
    <t>12</t>
  </si>
  <si>
    <t>15</t>
  </si>
  <si>
    <t>18</t>
  </si>
  <si>
    <t>Гурский В.В.</t>
  </si>
  <si>
    <t>17</t>
  </si>
  <si>
    <t>14</t>
  </si>
  <si>
    <t>20</t>
  </si>
  <si>
    <t>23</t>
  </si>
  <si>
    <t>26</t>
  </si>
  <si>
    <t>29</t>
  </si>
  <si>
    <t>1</t>
  </si>
  <si>
    <t>4</t>
  </si>
  <si>
    <t>7</t>
  </si>
  <si>
    <t>10</t>
  </si>
  <si>
    <t>11</t>
  </si>
  <si>
    <t>Чемерев А.В.</t>
  </si>
  <si>
    <t>Дордюк В.И.</t>
  </si>
  <si>
    <t>Гончар А.А.</t>
  </si>
  <si>
    <t>Тимошевич В.А.</t>
  </si>
  <si>
    <t>Расчет премии на перевозке зерновых урожая 2022 года водителям (05.07.2022 г. - 18.08.2022 г.)</t>
  </si>
  <si>
    <t>Шпаковский С.П.</t>
  </si>
  <si>
    <t>май</t>
  </si>
  <si>
    <t>авг</t>
  </si>
  <si>
    <t xml:space="preserve">Расчет премии водителям ОАО "Парохонское" на охране пожарной безопасности на уборке зерновых урожая 2022 года </t>
  </si>
  <si>
    <t>Мокей Г.П., Лавренчук И.В., Евтух В.А.</t>
  </si>
  <si>
    <t>Шепелевич А.А.</t>
  </si>
  <si>
    <t>Расчет премии на доработке зерна урожая 2022 года</t>
  </si>
  <si>
    <t>июль</t>
  </si>
  <si>
    <t>август</t>
  </si>
  <si>
    <t>Начисленная заработная плата, руб</t>
  </si>
  <si>
    <t xml:space="preserve">Сумма премии </t>
  </si>
  <si>
    <t>КЗСВ-100</t>
  </si>
  <si>
    <t>Шепелевич С.Г.</t>
  </si>
  <si>
    <t>Приловский А.В.</t>
  </si>
  <si>
    <t>Шоломицкий И.Р.</t>
  </si>
  <si>
    <t>Зельман Ю.В.</t>
  </si>
  <si>
    <t>Барчук В.А.</t>
  </si>
  <si>
    <t>Борисевич А.З.</t>
  </si>
  <si>
    <t>Хомич Р.Г.</t>
  </si>
  <si>
    <t>Полуян</t>
  </si>
  <si>
    <t>Мокей Ст.А.</t>
  </si>
  <si>
    <t>Зерноток №1</t>
  </si>
  <si>
    <t>Тельпук В.М.</t>
  </si>
  <si>
    <t>Доберчук Ф.В</t>
  </si>
  <si>
    <t>Герасимчук А.Н.</t>
  </si>
  <si>
    <t>Зерноток №2</t>
  </si>
  <si>
    <t>Тельпук Е.Н.</t>
  </si>
  <si>
    <t>Синиченко В.Г.</t>
  </si>
  <si>
    <t>Дубина П.П.</t>
  </si>
  <si>
    <t>Синиченко Р.В.</t>
  </si>
  <si>
    <t>Лавренчук С.С.</t>
  </si>
  <si>
    <t>Шпаковский В.М.</t>
  </si>
  <si>
    <t>Среднедневная з/плата с премией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</si>
</sst>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B_r_-;\-* #,##0.00\ _B_r_-;_-* &quot;-&quot;??\ _B_r_-;_-@_-"/>
    <numFmt numFmtId="164" formatCode="0.0"/>
    <numFmt numFmtId="165" formatCode="0.00000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680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/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7" fillId="0" borderId="20" xfId="0" applyFont="1" applyBorder="1"/>
    <xf numFmtId="0" fontId="9" fillId="0" borderId="2" xfId="0" applyFont="1" applyBorder="1" applyAlignment="1">
      <alignment horizontal="center" vertical="center" wrapText="1"/>
    </xf>
    <xf numFmtId="0" fontId="0" fillId="0" borderId="1" xfId="0" applyBorder="1"/>
    <xf numFmtId="0" fontId="14" fillId="0" borderId="0" xfId="0" applyFont="1"/>
    <xf numFmtId="0" fontId="14" fillId="0" borderId="3" xfId="0" applyFont="1" applyFill="1" applyBorder="1"/>
    <xf numFmtId="0" fontId="16" fillId="0" borderId="25" xfId="0" applyFont="1" applyFill="1" applyBorder="1"/>
    <xf numFmtId="0" fontId="16" fillId="0" borderId="21" xfId="0" applyFont="1" applyFill="1" applyBorder="1"/>
    <xf numFmtId="0" fontId="8" fillId="0" borderId="21" xfId="0" applyFont="1" applyFill="1" applyBorder="1"/>
    <xf numFmtId="2" fontId="16" fillId="0" borderId="25" xfId="0" applyNumberFormat="1" applyFont="1" applyFill="1" applyBorder="1"/>
    <xf numFmtId="2" fontId="16" fillId="0" borderId="21" xfId="0" applyNumberFormat="1" applyFont="1" applyFill="1" applyBorder="1"/>
    <xf numFmtId="0" fontId="14" fillId="0" borderId="0" xfId="0" applyFont="1" applyFill="1"/>
    <xf numFmtId="0" fontId="0" fillId="0" borderId="0" xfId="0" applyFill="1"/>
    <xf numFmtId="0" fontId="12" fillId="0" borderId="0" xfId="0" applyFont="1" applyFill="1"/>
    <xf numFmtId="0" fontId="14" fillId="0" borderId="1" xfId="0" applyFont="1" applyFill="1" applyBorder="1"/>
    <xf numFmtId="0" fontId="16" fillId="0" borderId="7" xfId="0" applyFont="1" applyFill="1" applyBorder="1"/>
    <xf numFmtId="2" fontId="14" fillId="0" borderId="3" xfId="0" applyNumberFormat="1" applyFont="1" applyFill="1" applyBorder="1"/>
    <xf numFmtId="2" fontId="0" fillId="0" borderId="0" xfId="0" applyNumberFormat="1" applyFill="1"/>
    <xf numFmtId="164" fontId="0" fillId="0" borderId="0" xfId="0" applyNumberFormat="1" applyFill="1"/>
    <xf numFmtId="2" fontId="16" fillId="0" borderId="7" xfId="0" applyNumberFormat="1" applyFont="1" applyFill="1" applyBorder="1"/>
    <xf numFmtId="0" fontId="16" fillId="0" borderId="26" xfId="0" applyFont="1" applyFill="1" applyBorder="1"/>
    <xf numFmtId="0" fontId="16" fillId="0" borderId="27" xfId="0" applyFont="1" applyFill="1" applyBorder="1"/>
    <xf numFmtId="2" fontId="16" fillId="0" borderId="26" xfId="0" applyNumberFormat="1" applyFont="1" applyFill="1" applyBorder="1"/>
    <xf numFmtId="2" fontId="16" fillId="0" borderId="27" xfId="0" applyNumberFormat="1" applyFont="1" applyFill="1" applyBorder="1"/>
    <xf numFmtId="0" fontId="16" fillId="0" borderId="28" xfId="0" applyFont="1" applyFill="1" applyBorder="1"/>
    <xf numFmtId="0" fontId="16" fillId="0" borderId="29" xfId="0" applyFont="1" applyFill="1" applyBorder="1"/>
    <xf numFmtId="0" fontId="16" fillId="0" borderId="30" xfId="0" applyFont="1" applyFill="1" applyBorder="1"/>
    <xf numFmtId="0" fontId="4" fillId="0" borderId="7" xfId="0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6" fillId="0" borderId="37" xfId="0" applyFont="1" applyFill="1" applyBorder="1"/>
    <xf numFmtId="0" fontId="16" fillId="0" borderId="34" xfId="0" applyFont="1" applyFill="1" applyBorder="1"/>
    <xf numFmtId="0" fontId="14" fillId="0" borderId="4" xfId="0" applyFont="1" applyFill="1" applyBorder="1"/>
    <xf numFmtId="1" fontId="16" fillId="0" borderId="7" xfId="0" applyNumberFormat="1" applyFont="1" applyFill="1" applyBorder="1"/>
    <xf numFmtId="1" fontId="1" fillId="0" borderId="7" xfId="0" applyNumberFormat="1" applyFont="1" applyFill="1" applyBorder="1"/>
    <xf numFmtId="0" fontId="18" fillId="0" borderId="7" xfId="0" applyFont="1" applyFill="1" applyBorder="1"/>
    <xf numFmtId="0" fontId="18" fillId="0" borderId="37" xfId="0" applyFont="1" applyFill="1" applyBorder="1"/>
    <xf numFmtId="0" fontId="4" fillId="0" borderId="7" xfId="0" applyFont="1" applyFill="1" applyBorder="1"/>
    <xf numFmtId="0" fontId="4" fillId="0" borderId="37" xfId="0" applyFont="1" applyFill="1" applyBorder="1"/>
    <xf numFmtId="0" fontId="10" fillId="0" borderId="1" xfId="0" applyFont="1" applyBorder="1"/>
    <xf numFmtId="0" fontId="19" fillId="0" borderId="1" xfId="0" applyFont="1" applyBorder="1" applyAlignment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2" fontId="14" fillId="0" borderId="1" xfId="0" applyNumberFormat="1" applyFont="1" applyFill="1" applyBorder="1"/>
    <xf numFmtId="0" fontId="4" fillId="0" borderId="1" xfId="0" applyFont="1" applyBorder="1"/>
    <xf numFmtId="0" fontId="10" fillId="0" borderId="1" xfId="0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/>
    <xf numFmtId="0" fontId="13" fillId="0" borderId="2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2" fontId="16" fillId="0" borderId="1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2" xfId="0" applyFont="1" applyBorder="1"/>
    <xf numFmtId="0" fontId="4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43" fontId="1" fillId="0" borderId="1" xfId="1" applyFont="1" applyBorder="1"/>
    <xf numFmtId="0" fontId="9" fillId="0" borderId="2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2" fontId="5" fillId="0" borderId="1" xfId="0" applyNumberFormat="1" applyFont="1" applyBorder="1" applyAlignment="1">
      <alignment horizontal="right"/>
    </xf>
    <xf numFmtId="0" fontId="20" fillId="0" borderId="0" xfId="0" applyFont="1" applyAlignment="1"/>
    <xf numFmtId="2" fontId="11" fillId="0" borderId="1" xfId="0" applyNumberFormat="1" applyFont="1" applyBorder="1" applyAlignment="1">
      <alignment horizontal="center"/>
    </xf>
    <xf numFmtId="0" fontId="4" fillId="0" borderId="40" xfId="0" applyFont="1" applyBorder="1" applyAlignment="1">
      <alignment horizontal="center" wrapText="1"/>
    </xf>
    <xf numFmtId="43" fontId="1" fillId="0" borderId="24" xfId="1" applyFont="1" applyBorder="1" applyAlignment="1">
      <alignment horizontal="center"/>
    </xf>
    <xf numFmtId="43" fontId="1" fillId="0" borderId="30" xfId="1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0" fontId="17" fillId="0" borderId="25" xfId="0" applyFont="1" applyFill="1" applyBorder="1" applyAlignment="1">
      <alignment horizontal="right" wrapText="1"/>
    </xf>
    <xf numFmtId="0" fontId="14" fillId="0" borderId="0" xfId="0" applyFont="1" applyFill="1" applyBorder="1"/>
    <xf numFmtId="0" fontId="14" fillId="0" borderId="37" xfId="0" applyFont="1" applyFill="1" applyBorder="1"/>
    <xf numFmtId="0" fontId="14" fillId="0" borderId="34" xfId="0" applyFont="1" applyFill="1" applyBorder="1"/>
    <xf numFmtId="0" fontId="14" fillId="0" borderId="20" xfId="0" applyFont="1" applyFill="1" applyBorder="1" applyAlignment="1">
      <alignment horizontal="center"/>
    </xf>
    <xf numFmtId="0" fontId="16" fillId="0" borderId="51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0" fontId="8" fillId="0" borderId="50" xfId="0" applyFont="1" applyFill="1" applyBorder="1" applyAlignment="1">
      <alignment horizontal="center"/>
    </xf>
    <xf numFmtId="0" fontId="8" fillId="0" borderId="50" xfId="0" applyFont="1" applyFill="1" applyBorder="1" applyAlignment="1">
      <alignment horizontal="center" wrapText="1"/>
    </xf>
    <xf numFmtId="0" fontId="16" fillId="0" borderId="18" xfId="0" applyFont="1" applyFill="1" applyBorder="1" applyAlignment="1">
      <alignment horizontal="center"/>
    </xf>
    <xf numFmtId="0" fontId="14" fillId="0" borderId="53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6" fillId="0" borderId="54" xfId="0" applyFont="1" applyFill="1" applyBorder="1" applyAlignment="1">
      <alignment horizontal="center"/>
    </xf>
    <xf numFmtId="0" fontId="14" fillId="0" borderId="46" xfId="0" applyFont="1" applyFill="1" applyBorder="1"/>
    <xf numFmtId="0" fontId="16" fillId="0" borderId="47" xfId="0" applyFont="1" applyFill="1" applyBorder="1"/>
    <xf numFmtId="0" fontId="8" fillId="0" borderId="56" xfId="0" applyFont="1" applyFill="1" applyBorder="1"/>
    <xf numFmtId="2" fontId="16" fillId="0" borderId="47" xfId="0" applyNumberFormat="1" applyFont="1" applyFill="1" applyBorder="1"/>
    <xf numFmtId="2" fontId="16" fillId="0" borderId="8" xfId="0" applyNumberFormat="1" applyFont="1" applyFill="1" applyBorder="1"/>
    <xf numFmtId="2" fontId="16" fillId="0" borderId="57" xfId="0" applyNumberFormat="1" applyFont="1" applyFill="1" applyBorder="1"/>
    <xf numFmtId="0" fontId="4" fillId="0" borderId="8" xfId="0" applyNumberFormat="1" applyFont="1" applyFill="1" applyBorder="1"/>
    <xf numFmtId="2" fontId="16" fillId="0" borderId="58" xfId="0" applyNumberFormat="1" applyFont="1" applyFill="1" applyBorder="1"/>
    <xf numFmtId="2" fontId="16" fillId="0" borderId="56" xfId="0" applyNumberFormat="1" applyFont="1" applyFill="1" applyBorder="1"/>
    <xf numFmtId="1" fontId="16" fillId="0" borderId="8" xfId="0" applyNumberFormat="1" applyFont="1" applyFill="1" applyBorder="1"/>
    <xf numFmtId="1" fontId="1" fillId="0" borderId="8" xfId="0" applyNumberFormat="1" applyFont="1" applyFill="1" applyBorder="1"/>
    <xf numFmtId="2" fontId="18" fillId="0" borderId="8" xfId="0" applyNumberFormat="1" applyFont="1" applyFill="1" applyBorder="1"/>
    <xf numFmtId="2" fontId="4" fillId="0" borderId="8" xfId="0" applyNumberFormat="1" applyFont="1" applyFill="1" applyBorder="1"/>
    <xf numFmtId="0" fontId="14" fillId="0" borderId="38" xfId="0" applyFont="1" applyFill="1" applyBorder="1"/>
    <xf numFmtId="0" fontId="16" fillId="0" borderId="59" xfId="0" applyFont="1" applyFill="1" applyBorder="1"/>
    <xf numFmtId="0" fontId="16" fillId="0" borderId="32" xfId="0" applyFont="1" applyFill="1" applyBorder="1"/>
    <xf numFmtId="0" fontId="16" fillId="0" borderId="23" xfId="0" applyFont="1" applyFill="1" applyBorder="1"/>
    <xf numFmtId="0" fontId="8" fillId="0" borderId="23" xfId="0" applyFont="1" applyFill="1" applyBorder="1"/>
    <xf numFmtId="0" fontId="16" fillId="0" borderId="22" xfId="0" applyFont="1" applyFill="1" applyBorder="1"/>
    <xf numFmtId="0" fontId="16" fillId="0" borderId="24" xfId="0" applyFont="1" applyFill="1" applyBorder="1"/>
    <xf numFmtId="1" fontId="1" fillId="0" borderId="59" xfId="0" applyNumberFormat="1" applyFont="1" applyFill="1" applyBorder="1"/>
    <xf numFmtId="0" fontId="18" fillId="0" borderId="59" xfId="0" applyFont="1" applyFill="1" applyBorder="1"/>
    <xf numFmtId="2" fontId="16" fillId="0" borderId="29" xfId="0" applyNumberFormat="1" applyFont="1" applyFill="1" applyBorder="1"/>
    <xf numFmtId="0" fontId="8" fillId="0" borderId="29" xfId="0" applyFont="1" applyFill="1" applyBorder="1"/>
    <xf numFmtId="2" fontId="16" fillId="0" borderId="34" xfId="0" applyNumberFormat="1" applyFont="1" applyFill="1" applyBorder="1"/>
    <xf numFmtId="1" fontId="16" fillId="0" borderId="37" xfId="0" applyNumberFormat="1" applyFont="1" applyFill="1" applyBorder="1"/>
    <xf numFmtId="1" fontId="1" fillId="0" borderId="37" xfId="0" applyNumberFormat="1" applyFont="1" applyFill="1" applyBorder="1"/>
    <xf numFmtId="0" fontId="14" fillId="0" borderId="43" xfId="0" applyFont="1" applyFill="1" applyBorder="1"/>
    <xf numFmtId="0" fontId="16" fillId="0" borderId="44" xfId="0" applyFont="1" applyFill="1" applyBorder="1"/>
    <xf numFmtId="0" fontId="16" fillId="0" borderId="45" xfId="0" applyFont="1" applyFill="1" applyBorder="1"/>
    <xf numFmtId="0" fontId="14" fillId="0" borderId="61" xfId="0" applyFont="1" applyFill="1" applyBorder="1"/>
    <xf numFmtId="0" fontId="16" fillId="0" borderId="62" xfId="0" applyFont="1" applyFill="1" applyBorder="1"/>
    <xf numFmtId="0" fontId="8" fillId="0" borderId="62" xfId="0" applyFont="1" applyFill="1" applyBorder="1"/>
    <xf numFmtId="0" fontId="16" fillId="0" borderId="63" xfId="0" applyFont="1" applyFill="1" applyBorder="1"/>
    <xf numFmtId="0" fontId="4" fillId="0" borderId="44" xfId="0" applyNumberFormat="1" applyFont="1" applyFill="1" applyBorder="1"/>
    <xf numFmtId="0" fontId="16" fillId="0" borderId="64" xfId="0" applyFont="1" applyFill="1" applyBorder="1"/>
    <xf numFmtId="1" fontId="1" fillId="0" borderId="44" xfId="0" applyNumberFormat="1" applyFont="1" applyFill="1" applyBorder="1"/>
    <xf numFmtId="0" fontId="18" fillId="0" borderId="44" xfId="0" applyFont="1" applyFill="1" applyBorder="1"/>
    <xf numFmtId="2" fontId="14" fillId="0" borderId="65" xfId="0" applyNumberFormat="1" applyFont="1" applyFill="1" applyBorder="1"/>
    <xf numFmtId="0" fontId="17" fillId="0" borderId="32" xfId="0" applyFont="1" applyFill="1" applyBorder="1" applyAlignment="1">
      <alignment horizontal="right" wrapText="1"/>
    </xf>
    <xf numFmtId="2" fontId="16" fillId="0" borderId="32" xfId="0" applyNumberFormat="1" applyFont="1" applyFill="1" applyBorder="1"/>
    <xf numFmtId="1" fontId="16" fillId="0" borderId="59" xfId="0" applyNumberFormat="1" applyFont="1" applyFill="1" applyBorder="1"/>
    <xf numFmtId="0" fontId="4" fillId="0" borderId="59" xfId="0" applyFont="1" applyFill="1" applyBorder="1"/>
    <xf numFmtId="0" fontId="17" fillId="0" borderId="34" xfId="0" applyFont="1" applyFill="1" applyBorder="1" applyAlignment="1">
      <alignment horizontal="right" wrapText="1"/>
    </xf>
    <xf numFmtId="2" fontId="16" fillId="0" borderId="23" xfId="0" applyNumberFormat="1" applyFont="1" applyFill="1" applyBorder="1"/>
    <xf numFmtId="0" fontId="14" fillId="0" borderId="68" xfId="0" applyFont="1" applyFill="1" applyBorder="1"/>
    <xf numFmtId="0" fontId="0" fillId="0" borderId="68" xfId="0" applyFill="1" applyBorder="1"/>
    <xf numFmtId="0" fontId="0" fillId="0" borderId="39" xfId="0" applyFill="1" applyBorder="1"/>
    <xf numFmtId="1" fontId="0" fillId="0" borderId="66" xfId="0" applyNumberFormat="1" applyFont="1" applyFill="1" applyBorder="1"/>
    <xf numFmtId="2" fontId="16" fillId="0" borderId="30" xfId="0" applyNumberFormat="1" applyFont="1" applyFill="1" applyBorder="1"/>
    <xf numFmtId="0" fontId="14" fillId="0" borderId="52" xfId="0" applyFont="1" applyFill="1" applyBorder="1"/>
    <xf numFmtId="0" fontId="16" fillId="0" borderId="0" xfId="0" applyFont="1" applyFill="1" applyBorder="1"/>
    <xf numFmtId="1" fontId="1" fillId="0" borderId="0" xfId="0" applyNumberFormat="1" applyFont="1" applyFill="1" applyBorder="1"/>
    <xf numFmtId="2" fontId="16" fillId="0" borderId="0" xfId="0" applyNumberFormat="1" applyFont="1" applyFill="1" applyBorder="1"/>
    <xf numFmtId="0" fontId="4" fillId="0" borderId="0" xfId="0" applyFont="1" applyFill="1" applyBorder="1"/>
    <xf numFmtId="2" fontId="14" fillId="0" borderId="0" xfId="0" applyNumberFormat="1" applyFont="1" applyFill="1" applyBorder="1"/>
    <xf numFmtId="0" fontId="14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4" fillId="0" borderId="0" xfId="0" applyNumberFormat="1" applyFont="1" applyFill="1" applyBorder="1"/>
    <xf numFmtId="1" fontId="16" fillId="0" borderId="0" xfId="0" applyNumberFormat="1" applyFont="1" applyFill="1" applyBorder="1"/>
    <xf numFmtId="0" fontId="18" fillId="0" borderId="0" xfId="0" applyFont="1" applyFill="1" applyBorder="1"/>
    <xf numFmtId="2" fontId="16" fillId="0" borderId="59" xfId="0" applyNumberFormat="1" applyFont="1" applyFill="1" applyBorder="1"/>
    <xf numFmtId="0" fontId="14" fillId="0" borderId="22" xfId="0" applyFont="1" applyFill="1" applyBorder="1"/>
    <xf numFmtId="0" fontId="14" fillId="0" borderId="26" xfId="0" applyFont="1" applyFill="1" applyBorder="1"/>
    <xf numFmtId="0" fontId="8" fillId="0" borderId="1" xfId="0" applyFont="1" applyFill="1" applyBorder="1"/>
    <xf numFmtId="0" fontId="8" fillId="0" borderId="6" xfId="0" applyFont="1" applyFill="1" applyBorder="1"/>
    <xf numFmtId="0" fontId="12" fillId="0" borderId="5" xfId="0" applyFont="1" applyFill="1" applyBorder="1"/>
    <xf numFmtId="0" fontId="0" fillId="0" borderId="34" xfId="0" applyFill="1" applyBorder="1"/>
    <xf numFmtId="0" fontId="8" fillId="0" borderId="2" xfId="0" applyFont="1" applyFill="1" applyBorder="1"/>
    <xf numFmtId="0" fontId="8" fillId="0" borderId="5" xfId="0" applyFont="1" applyFill="1" applyBorder="1"/>
    <xf numFmtId="0" fontId="14" fillId="0" borderId="28" xfId="0" applyFont="1" applyFill="1" applyBorder="1"/>
    <xf numFmtId="0" fontId="14" fillId="0" borderId="26" xfId="0" applyFont="1" applyFill="1" applyBorder="1" applyAlignment="1">
      <alignment wrapText="1"/>
    </xf>
    <xf numFmtId="0" fontId="16" fillId="0" borderId="31" xfId="0" applyFont="1" applyFill="1" applyBorder="1"/>
    <xf numFmtId="0" fontId="16" fillId="0" borderId="49" xfId="0" applyFont="1" applyFill="1" applyBorder="1"/>
    <xf numFmtId="0" fontId="14" fillId="0" borderId="69" xfId="0" applyFont="1" applyFill="1" applyBorder="1"/>
    <xf numFmtId="0" fontId="14" fillId="0" borderId="48" xfId="0" applyFont="1" applyFill="1" applyBorder="1"/>
    <xf numFmtId="2" fontId="16" fillId="0" borderId="49" xfId="0" applyNumberFormat="1" applyFont="1" applyFill="1" applyBorder="1"/>
    <xf numFmtId="0" fontId="17" fillId="0" borderId="47" xfId="0" applyFont="1" applyFill="1" applyBorder="1" applyAlignment="1">
      <alignment horizontal="right" wrapText="1"/>
    </xf>
    <xf numFmtId="0" fontId="14" fillId="0" borderId="53" xfId="0" applyFont="1" applyFill="1" applyBorder="1"/>
    <xf numFmtId="0" fontId="17" fillId="0" borderId="51" xfId="0" applyFont="1" applyFill="1" applyBorder="1" applyAlignment="1">
      <alignment horizontal="right" wrapText="1"/>
    </xf>
    <xf numFmtId="2" fontId="16" fillId="0" borderId="51" xfId="0" applyNumberFormat="1" applyFont="1" applyFill="1" applyBorder="1"/>
    <xf numFmtId="0" fontId="8" fillId="0" borderId="19" xfId="0" applyFont="1" applyFill="1" applyBorder="1"/>
    <xf numFmtId="0" fontId="14" fillId="0" borderId="22" xfId="0" applyFont="1" applyFill="1" applyBorder="1" applyAlignment="1"/>
    <xf numFmtId="2" fontId="22" fillId="0" borderId="34" xfId="0" applyNumberFormat="1" applyFont="1" applyFill="1" applyBorder="1"/>
    <xf numFmtId="0" fontId="1" fillId="0" borderId="0" xfId="0" applyFont="1" applyFill="1"/>
    <xf numFmtId="0" fontId="1" fillId="0" borderId="6" xfId="0" applyFont="1" applyFill="1" applyBorder="1"/>
    <xf numFmtId="2" fontId="24" fillId="0" borderId="5" xfId="0" applyNumberFormat="1" applyFont="1" applyFill="1" applyBorder="1"/>
    <xf numFmtId="1" fontId="0" fillId="0" borderId="0" xfId="0" applyNumberFormat="1"/>
    <xf numFmtId="0" fontId="1" fillId="0" borderId="1" xfId="0" applyFont="1" applyFill="1" applyBorder="1"/>
    <xf numFmtId="2" fontId="24" fillId="0" borderId="1" xfId="0" applyNumberFormat="1" applyFont="1" applyFill="1" applyBorder="1"/>
    <xf numFmtId="0" fontId="3" fillId="0" borderId="0" xfId="0" applyFont="1" applyAlignment="1">
      <alignment wrapText="1"/>
    </xf>
    <xf numFmtId="2" fontId="0" fillId="0" borderId="0" xfId="0" applyNumberFormat="1"/>
    <xf numFmtId="0" fontId="26" fillId="0" borderId="0" xfId="0" applyFont="1"/>
    <xf numFmtId="0" fontId="25" fillId="0" borderId="0" xfId="0" applyFont="1"/>
    <xf numFmtId="2" fontId="25" fillId="0" borderId="0" xfId="0" applyNumberFormat="1" applyFo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" fontId="4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25" fillId="0" borderId="1" xfId="0" applyFont="1" applyBorder="1"/>
    <xf numFmtId="0" fontId="10" fillId="0" borderId="1" xfId="0" applyFont="1" applyBorder="1" applyAlignment="1">
      <alignment horizontal="center"/>
    </xf>
    <xf numFmtId="0" fontId="1" fillId="0" borderId="14" xfId="0" applyFont="1" applyFill="1" applyBorder="1"/>
    <xf numFmtId="2" fontId="24" fillId="0" borderId="2" xfId="0" applyNumberFormat="1" applyFont="1" applyFill="1" applyBorder="1"/>
    <xf numFmtId="16" fontId="1" fillId="0" borderId="14" xfId="0" applyNumberFormat="1" applyFont="1" applyFill="1" applyBorder="1"/>
    <xf numFmtId="16" fontId="1" fillId="0" borderId="12" xfId="0" applyNumberFormat="1" applyFont="1" applyFill="1" applyBorder="1"/>
    <xf numFmtId="1" fontId="25" fillId="0" borderId="0" xfId="0" applyNumberFormat="1" applyFont="1"/>
    <xf numFmtId="2" fontId="1" fillId="0" borderId="2" xfId="0" applyNumberFormat="1" applyFont="1" applyFill="1" applyBorder="1"/>
    <xf numFmtId="0" fontId="14" fillId="0" borderId="68" xfId="0" applyFont="1" applyFill="1" applyBorder="1" applyAlignment="1">
      <alignment horizontal="center"/>
    </xf>
    <xf numFmtId="2" fontId="27" fillId="0" borderId="34" xfId="0" applyNumberFormat="1" applyFont="1" applyFill="1" applyBorder="1"/>
    <xf numFmtId="2" fontId="16" fillId="0" borderId="22" xfId="0" applyNumberFormat="1" applyFont="1" applyFill="1" applyBorder="1"/>
    <xf numFmtId="0" fontId="4" fillId="0" borderId="59" xfId="0" applyNumberFormat="1" applyFont="1" applyFill="1" applyBorder="1"/>
    <xf numFmtId="2" fontId="16" fillId="0" borderId="24" xfId="0" applyNumberFormat="1" applyFont="1" applyFill="1" applyBorder="1"/>
    <xf numFmtId="2" fontId="16" fillId="0" borderId="28" xfId="0" applyNumberFormat="1" applyFont="1" applyFill="1" applyBorder="1"/>
    <xf numFmtId="0" fontId="4" fillId="0" borderId="37" xfId="0" applyNumberFormat="1" applyFont="1" applyFill="1" applyBorder="1"/>
    <xf numFmtId="2" fontId="16" fillId="0" borderId="37" xfId="0" applyNumberFormat="1" applyFont="1" applyFill="1" applyBorder="1"/>
    <xf numFmtId="2" fontId="14" fillId="0" borderId="28" xfId="0" applyNumberFormat="1" applyFont="1" applyFill="1" applyBorder="1"/>
    <xf numFmtId="2" fontId="14" fillId="0" borderId="22" xfId="0" applyNumberFormat="1" applyFont="1" applyFill="1" applyBorder="1"/>
    <xf numFmtId="2" fontId="14" fillId="0" borderId="26" xfId="0" applyNumberFormat="1" applyFont="1" applyFill="1" applyBorder="1"/>
    <xf numFmtId="0" fontId="28" fillId="0" borderId="68" xfId="0" applyFont="1" applyFill="1" applyBorder="1"/>
    <xf numFmtId="1" fontId="16" fillId="0" borderId="23" xfId="0" applyNumberFormat="1" applyFont="1" applyFill="1" applyBorder="1"/>
    <xf numFmtId="0" fontId="14" fillId="0" borderId="29" xfId="0" applyFont="1" applyFill="1" applyBorder="1"/>
    <xf numFmtId="0" fontId="14" fillId="0" borderId="21" xfId="0" applyFont="1" applyFill="1" applyBorder="1"/>
    <xf numFmtId="2" fontId="14" fillId="0" borderId="29" xfId="0" applyNumberFormat="1" applyFont="1" applyFill="1" applyBorder="1"/>
    <xf numFmtId="1" fontId="14" fillId="0" borderId="37" xfId="0" applyNumberFormat="1" applyFont="1" applyFill="1" applyBorder="1"/>
    <xf numFmtId="2" fontId="14" fillId="0" borderId="34" xfId="0" applyNumberFormat="1" applyFont="1" applyFill="1" applyBorder="1"/>
    <xf numFmtId="2" fontId="14" fillId="0" borderId="23" xfId="0" applyNumberFormat="1" applyFont="1" applyFill="1" applyBorder="1"/>
    <xf numFmtId="1" fontId="14" fillId="0" borderId="59" xfId="0" applyNumberFormat="1" applyFont="1" applyFill="1" applyBorder="1"/>
    <xf numFmtId="2" fontId="14" fillId="0" borderId="24" xfId="0" applyNumberFormat="1" applyFont="1" applyFill="1" applyBorder="1"/>
    <xf numFmtId="2" fontId="14" fillId="0" borderId="21" xfId="0" applyNumberFormat="1" applyFont="1" applyFill="1" applyBorder="1"/>
    <xf numFmtId="1" fontId="14" fillId="0" borderId="7" xfId="0" applyNumberFormat="1" applyFont="1" applyFill="1" applyBorder="1"/>
    <xf numFmtId="2" fontId="14" fillId="0" borderId="27" xfId="0" applyNumberFormat="1" applyFont="1" applyFill="1" applyBorder="1"/>
    <xf numFmtId="2" fontId="14" fillId="0" borderId="37" xfId="0" applyNumberFormat="1" applyFont="1" applyFill="1" applyBorder="1"/>
    <xf numFmtId="0" fontId="14" fillId="0" borderId="23" xfId="0" applyFont="1" applyFill="1" applyBorder="1"/>
    <xf numFmtId="0" fontId="14" fillId="0" borderId="27" xfId="0" applyFont="1" applyFill="1" applyBorder="1"/>
    <xf numFmtId="2" fontId="14" fillId="0" borderId="30" xfId="0" applyNumberFormat="1" applyFont="1" applyFill="1" applyBorder="1"/>
    <xf numFmtId="2" fontId="14" fillId="0" borderId="7" xfId="0" applyNumberFormat="1" applyFont="1" applyFill="1" applyBorder="1"/>
    <xf numFmtId="0" fontId="14" fillId="0" borderId="7" xfId="0" applyFont="1" applyFill="1" applyBorder="1"/>
    <xf numFmtId="2" fontId="1" fillId="0" borderId="1" xfId="0" applyNumberFormat="1" applyFont="1" applyFill="1" applyBorder="1"/>
    <xf numFmtId="2" fontId="27" fillId="0" borderId="39" xfId="0" applyNumberFormat="1" applyFont="1" applyFill="1" applyBorder="1"/>
    <xf numFmtId="164" fontId="16" fillId="0" borderId="24" xfId="0" applyNumberFormat="1" applyFont="1" applyFill="1" applyBorder="1"/>
    <xf numFmtId="164" fontId="16" fillId="0" borderId="27" xfId="0" applyNumberFormat="1" applyFont="1" applyFill="1" applyBorder="1"/>
    <xf numFmtId="1" fontId="14" fillId="0" borderId="66" xfId="0" applyNumberFormat="1" applyFont="1" applyFill="1" applyBorder="1"/>
    <xf numFmtId="2" fontId="16" fillId="0" borderId="39" xfId="0" applyNumberFormat="1" applyFont="1" applyFill="1" applyBorder="1"/>
    <xf numFmtId="1" fontId="2" fillId="0" borderId="7" xfId="0" applyNumberFormat="1" applyFont="1" applyFill="1" applyBorder="1"/>
    <xf numFmtId="0" fontId="15" fillId="0" borderId="0" xfId="0" applyFont="1" applyFill="1" applyAlignment="1">
      <alignment wrapText="1"/>
    </xf>
    <xf numFmtId="164" fontId="14" fillId="0" borderId="37" xfId="0" applyNumberFormat="1" applyFont="1" applyFill="1" applyBorder="1"/>
    <xf numFmtId="2" fontId="14" fillId="0" borderId="25" xfId="0" applyNumberFormat="1" applyFont="1" applyFill="1" applyBorder="1"/>
    <xf numFmtId="0" fontId="1" fillId="2" borderId="1" xfId="0" applyFont="1" applyFill="1" applyBorder="1"/>
    <xf numFmtId="0" fontId="14" fillId="0" borderId="24" xfId="0" applyFont="1" applyFill="1" applyBorder="1"/>
    <xf numFmtId="0" fontId="14" fillId="0" borderId="30" xfId="0" applyFont="1" applyFill="1" applyBorder="1"/>
    <xf numFmtId="2" fontId="14" fillId="0" borderId="32" xfId="0" applyNumberFormat="1" applyFont="1" applyFill="1" applyBorder="1"/>
    <xf numFmtId="2" fontId="14" fillId="0" borderId="59" xfId="0" applyNumberFormat="1" applyFont="1" applyFill="1" applyBorder="1"/>
    <xf numFmtId="2" fontId="16" fillId="3" borderId="26" xfId="0" applyNumberFormat="1" applyFont="1" applyFill="1" applyBorder="1"/>
    <xf numFmtId="2" fontId="14" fillId="3" borderId="28" xfId="0" applyNumberFormat="1" applyFont="1" applyFill="1" applyBorder="1"/>
    <xf numFmtId="2" fontId="16" fillId="3" borderId="22" xfId="0" applyNumberFormat="1" applyFont="1" applyFill="1" applyBorder="1"/>
    <xf numFmtId="2" fontId="14" fillId="3" borderId="26" xfId="0" applyNumberFormat="1" applyFont="1" applyFill="1" applyBorder="1"/>
    <xf numFmtId="2" fontId="14" fillId="3" borderId="22" xfId="0" applyNumberFormat="1" applyFont="1" applyFill="1" applyBorder="1"/>
    <xf numFmtId="164" fontId="0" fillId="0" borderId="0" xfId="0" applyNumberFormat="1"/>
    <xf numFmtId="165" fontId="14" fillId="0" borderId="22" xfId="0" applyNumberFormat="1" applyFont="1" applyFill="1" applyBorder="1"/>
    <xf numFmtId="165" fontId="8" fillId="0" borderId="6" xfId="0" applyNumberFormat="1" applyFont="1" applyFill="1" applyBorder="1"/>
    <xf numFmtId="165" fontId="16" fillId="0" borderId="32" xfId="0" applyNumberFormat="1" applyFont="1" applyFill="1" applyBorder="1"/>
    <xf numFmtId="165" fontId="16" fillId="0" borderId="22" xfId="0" applyNumberFormat="1" applyFont="1" applyFill="1" applyBorder="1"/>
    <xf numFmtId="165" fontId="16" fillId="0" borderId="23" xfId="0" applyNumberFormat="1" applyFont="1" applyFill="1" applyBorder="1"/>
    <xf numFmtId="165" fontId="14" fillId="0" borderId="59" xfId="0" applyNumberFormat="1" applyFont="1" applyFill="1" applyBorder="1"/>
    <xf numFmtId="165" fontId="14" fillId="0" borderId="24" xfId="0" applyNumberFormat="1" applyFont="1" applyFill="1" applyBorder="1"/>
    <xf numFmtId="165" fontId="1" fillId="0" borderId="59" xfId="0" applyNumberFormat="1" applyFont="1" applyFill="1" applyBorder="1"/>
    <xf numFmtId="2" fontId="16" fillId="0" borderId="70" xfId="0" applyNumberFormat="1" applyFont="1" applyFill="1" applyBorder="1"/>
    <xf numFmtId="0" fontId="9" fillId="0" borderId="20" xfId="0" applyFont="1" applyBorder="1" applyAlignment="1">
      <alignment horizontal="center" wrapText="1"/>
    </xf>
    <xf numFmtId="0" fontId="10" fillId="0" borderId="1" xfId="0" applyFont="1" applyBorder="1" applyAlignment="1"/>
    <xf numFmtId="0" fontId="10" fillId="0" borderId="2" xfId="0" applyFont="1" applyFill="1" applyBorder="1"/>
    <xf numFmtId="0" fontId="10" fillId="0" borderId="2" xfId="0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13" fillId="0" borderId="2" xfId="0" applyNumberFormat="1" applyFont="1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2" fontId="16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14" fillId="0" borderId="18" xfId="0" applyNumberFormat="1" applyFont="1" applyFill="1" applyBorder="1" applyAlignment="1">
      <alignment horizontal="center"/>
    </xf>
    <xf numFmtId="2" fontId="16" fillId="0" borderId="2" xfId="0" applyNumberFormat="1" applyFont="1" applyBorder="1" applyAlignment="1">
      <alignment horizontal="right"/>
    </xf>
    <xf numFmtId="2" fontId="14" fillId="0" borderId="2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2" fontId="7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2" fontId="14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6" fillId="0" borderId="1" xfId="0" applyNumberFormat="1" applyFont="1" applyBorder="1"/>
    <xf numFmtId="0" fontId="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top"/>
    </xf>
    <xf numFmtId="0" fontId="0" fillId="0" borderId="6" xfId="0" applyBorder="1"/>
    <xf numFmtId="2" fontId="0" fillId="0" borderId="25" xfId="0" applyNumberFormat="1" applyBorder="1" applyAlignment="1">
      <alignment horizontal="center" vertical="top"/>
    </xf>
    <xf numFmtId="2" fontId="0" fillId="0" borderId="25" xfId="0" applyNumberForma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2" fontId="0" fillId="0" borderId="34" xfId="0" applyNumberForma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8" xfId="0" applyBorder="1" applyAlignment="1">
      <alignment vertical="top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vertical="top"/>
    </xf>
    <xf numFmtId="2" fontId="0" fillId="0" borderId="32" xfId="0" applyNumberFormat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0" xfId="0" applyAlignment="1">
      <alignment vertical="top"/>
    </xf>
    <xf numFmtId="0" fontId="1" fillId="3" borderId="6" xfId="0" applyFont="1" applyFill="1" applyBorder="1"/>
    <xf numFmtId="0" fontId="1" fillId="3" borderId="1" xfId="0" applyFont="1" applyFill="1" applyBorder="1"/>
    <xf numFmtId="2" fontId="24" fillId="3" borderId="2" xfId="0" applyNumberFormat="1" applyFont="1" applyFill="1" applyBorder="1"/>
    <xf numFmtId="0" fontId="1" fillId="0" borderId="16" xfId="0" applyFont="1" applyFill="1" applyBorder="1"/>
    <xf numFmtId="2" fontId="24" fillId="0" borderId="36" xfId="0" applyNumberFormat="1" applyFont="1" applyFill="1" applyBorder="1"/>
    <xf numFmtId="2" fontId="24" fillId="0" borderId="20" xfId="0" applyNumberFormat="1" applyFont="1" applyFill="1" applyBorder="1"/>
    <xf numFmtId="0" fontId="13" fillId="0" borderId="9" xfId="0" applyFont="1" applyBorder="1" applyAlignment="1">
      <alignment horizontal="center" vertical="center"/>
    </xf>
    <xf numFmtId="0" fontId="13" fillId="0" borderId="41" xfId="0" applyFont="1" applyBorder="1"/>
    <xf numFmtId="0" fontId="13" fillId="0" borderId="60" xfId="0" applyFont="1" applyBorder="1" applyAlignment="1">
      <alignment horizontal="right"/>
    </xf>
    <xf numFmtId="0" fontId="23" fillId="0" borderId="42" xfId="0" applyFont="1" applyBorder="1" applyAlignment="1">
      <alignment horizontal="right"/>
    </xf>
    <xf numFmtId="0" fontId="13" fillId="0" borderId="72" xfId="0" applyFont="1" applyBorder="1" applyAlignment="1">
      <alignment horizontal="right"/>
    </xf>
    <xf numFmtId="0" fontId="13" fillId="0" borderId="73" xfId="0" applyFont="1" applyBorder="1"/>
    <xf numFmtId="164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8" fillId="2" borderId="5" xfId="0" applyFont="1" applyFill="1" applyBorder="1"/>
    <xf numFmtId="2" fontId="16" fillId="2" borderId="34" xfId="0" applyNumberFormat="1" applyFont="1" applyFill="1" applyBorder="1"/>
    <xf numFmtId="0" fontId="14" fillId="2" borderId="4" xfId="0" applyFont="1" applyFill="1" applyBorder="1"/>
    <xf numFmtId="0" fontId="8" fillId="2" borderId="6" xfId="0" applyFont="1" applyFill="1" applyBorder="1"/>
    <xf numFmtId="2" fontId="16" fillId="2" borderId="32" xfId="0" applyNumberFormat="1" applyFont="1" applyFill="1" applyBorder="1"/>
    <xf numFmtId="0" fontId="14" fillId="2" borderId="34" xfId="0" applyFont="1" applyFill="1" applyBorder="1"/>
    <xf numFmtId="0" fontId="8" fillId="2" borderId="1" xfId="0" applyFont="1" applyFill="1" applyBorder="1"/>
    <xf numFmtId="2" fontId="16" fillId="2" borderId="25" xfId="0" applyNumberFormat="1" applyFont="1" applyFill="1" applyBorder="1"/>
    <xf numFmtId="0" fontId="8" fillId="3" borderId="1" xfId="0" applyFont="1" applyFill="1" applyBorder="1"/>
    <xf numFmtId="2" fontId="16" fillId="3" borderId="25" xfId="0" applyNumberFormat="1" applyFont="1" applyFill="1" applyBorder="1"/>
    <xf numFmtId="0" fontId="8" fillId="2" borderId="29" xfId="0" applyFont="1" applyFill="1" applyBorder="1"/>
    <xf numFmtId="0" fontId="16" fillId="2" borderId="34" xfId="0" applyFont="1" applyFill="1" applyBorder="1"/>
    <xf numFmtId="0" fontId="12" fillId="2" borderId="5" xfId="0" applyFont="1" applyFill="1" applyBorder="1"/>
    <xf numFmtId="2" fontId="27" fillId="2" borderId="34" xfId="0" applyNumberFormat="1" applyFont="1" applyFill="1" applyBorder="1"/>
    <xf numFmtId="0" fontId="0" fillId="2" borderId="34" xfId="0" applyFill="1" applyBorder="1"/>
    <xf numFmtId="0" fontId="14" fillId="2" borderId="38" xfId="0" applyFont="1" applyFill="1" applyBorder="1"/>
    <xf numFmtId="0" fontId="14" fillId="2" borderId="3" xfId="0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1" xfId="0" applyNumberFormat="1" applyFont="1" applyFill="1" applyBorder="1"/>
    <xf numFmtId="2" fontId="16" fillId="2" borderId="49" xfId="0" applyNumberFormat="1" applyFont="1" applyFill="1" applyBorder="1"/>
    <xf numFmtId="2" fontId="14" fillId="0" borderId="74" xfId="0" applyNumberFormat="1" applyFont="1" applyFill="1" applyBorder="1"/>
    <xf numFmtId="0" fontId="4" fillId="0" borderId="31" xfId="0" applyNumberFormat="1" applyFont="1" applyFill="1" applyBorder="1"/>
    <xf numFmtId="2" fontId="16" fillId="0" borderId="75" xfId="0" applyNumberFormat="1" applyFont="1" applyFill="1" applyBorder="1"/>
    <xf numFmtId="1" fontId="14" fillId="0" borderId="31" xfId="0" applyNumberFormat="1" applyFont="1" applyFill="1" applyBorder="1"/>
    <xf numFmtId="1" fontId="1" fillId="0" borderId="31" xfId="0" applyNumberFormat="1" applyFont="1" applyFill="1" applyBorder="1"/>
    <xf numFmtId="2" fontId="14" fillId="3" borderId="74" xfId="0" applyNumberFormat="1" applyFont="1" applyFill="1" applyBorder="1"/>
    <xf numFmtId="0" fontId="14" fillId="0" borderId="50" xfId="0" applyFont="1" applyFill="1" applyBorder="1"/>
    <xf numFmtId="0" fontId="14" fillId="0" borderId="14" xfId="0" applyFont="1" applyFill="1" applyBorder="1"/>
    <xf numFmtId="0" fontId="14" fillId="0" borderId="60" xfId="0" applyFont="1" applyFill="1" applyBorder="1"/>
    <xf numFmtId="0" fontId="14" fillId="0" borderId="72" xfId="0" applyFont="1" applyFill="1" applyBorder="1"/>
    <xf numFmtId="0" fontId="14" fillId="0" borderId="16" xfId="0" applyFont="1" applyFill="1" applyBorder="1"/>
    <xf numFmtId="0" fontId="14" fillId="0" borderId="73" xfId="0" applyFont="1" applyFill="1" applyBorder="1"/>
    <xf numFmtId="0" fontId="14" fillId="0" borderId="2" xfId="0" applyFont="1" applyFill="1" applyBorder="1"/>
    <xf numFmtId="2" fontId="14" fillId="0" borderId="2" xfId="0" applyNumberFormat="1" applyFont="1" applyFill="1" applyBorder="1"/>
    <xf numFmtId="0" fontId="8" fillId="0" borderId="76" xfId="0" applyFont="1" applyFill="1" applyBorder="1"/>
    <xf numFmtId="2" fontId="16" fillId="0" borderId="1" xfId="0" applyNumberFormat="1" applyFont="1" applyFill="1" applyBorder="1"/>
    <xf numFmtId="0" fontId="14" fillId="0" borderId="51" xfId="0" applyFont="1" applyFill="1" applyBorder="1"/>
    <xf numFmtId="0" fontId="14" fillId="0" borderId="49" xfId="0" applyFont="1" applyFill="1" applyBorder="1"/>
    <xf numFmtId="0" fontId="14" fillId="0" borderId="55" xfId="0" applyFont="1" applyFill="1" applyBorder="1"/>
    <xf numFmtId="0" fontId="14" fillId="0" borderId="76" xfId="0" applyFont="1" applyFill="1" applyBorder="1"/>
    <xf numFmtId="2" fontId="16" fillId="0" borderId="76" xfId="0" applyNumberFormat="1" applyFont="1" applyFill="1" applyBorder="1"/>
    <xf numFmtId="0" fontId="4" fillId="0" borderId="76" xfId="0" applyNumberFormat="1" applyFont="1" applyFill="1" applyBorder="1"/>
    <xf numFmtId="1" fontId="16" fillId="0" borderId="76" xfId="0" applyNumberFormat="1" applyFont="1" applyFill="1" applyBorder="1"/>
    <xf numFmtId="1" fontId="1" fillId="0" borderId="76" xfId="0" applyNumberFormat="1" applyFont="1" applyFill="1" applyBorder="1"/>
    <xf numFmtId="1" fontId="8" fillId="0" borderId="76" xfId="0" applyNumberFormat="1" applyFont="1" applyFill="1" applyBorder="1"/>
    <xf numFmtId="2" fontId="16" fillId="0" borderId="5" xfId="0" applyNumberFormat="1" applyFont="1" applyFill="1" applyBorder="1"/>
    <xf numFmtId="0" fontId="14" fillId="0" borderId="5" xfId="0" applyFont="1" applyFill="1" applyBorder="1"/>
    <xf numFmtId="0" fontId="14" fillId="0" borderId="36" xfId="0" applyFont="1" applyFill="1" applyBorder="1"/>
    <xf numFmtId="0" fontId="14" fillId="2" borderId="36" xfId="0" applyFont="1" applyFill="1" applyBorder="1"/>
    <xf numFmtId="0" fontId="8" fillId="0" borderId="7" xfId="0" applyFont="1" applyFill="1" applyBorder="1"/>
    <xf numFmtId="0" fontId="8" fillId="0" borderId="37" xfId="0" applyFont="1" applyFill="1" applyBorder="1"/>
    <xf numFmtId="0" fontId="8" fillId="0" borderId="8" xfId="0" applyFont="1" applyFill="1" applyBorder="1"/>
    <xf numFmtId="0" fontId="4" fillId="0" borderId="28" xfId="0" applyFont="1" applyFill="1" applyBorder="1"/>
    <xf numFmtId="0" fontId="5" fillId="0" borderId="22" xfId="0" applyFont="1" applyFill="1" applyBorder="1"/>
    <xf numFmtId="0" fontId="5" fillId="0" borderId="26" xfId="0" applyFont="1" applyFill="1" applyBorder="1"/>
    <xf numFmtId="2" fontId="5" fillId="0" borderId="22" xfId="0" applyNumberFormat="1" applyFont="1" applyFill="1" applyBorder="1"/>
    <xf numFmtId="2" fontId="5" fillId="0" borderId="26" xfId="0" applyNumberFormat="1" applyFont="1" applyFill="1" applyBorder="1"/>
    <xf numFmtId="0" fontId="5" fillId="0" borderId="28" xfId="0" applyFont="1" applyFill="1" applyBorder="1"/>
    <xf numFmtId="2" fontId="4" fillId="0" borderId="28" xfId="0" applyNumberFormat="1" applyFont="1" applyFill="1" applyBorder="1"/>
    <xf numFmtId="2" fontId="4" fillId="0" borderId="22" xfId="0" applyNumberFormat="1" applyFont="1" applyFill="1" applyBorder="1"/>
    <xf numFmtId="2" fontId="4" fillId="0" borderId="26" xfId="0" applyNumberFormat="1" applyFont="1" applyFill="1" applyBorder="1"/>
    <xf numFmtId="0" fontId="4" fillId="0" borderId="26" xfId="0" applyFont="1" applyFill="1" applyBorder="1"/>
    <xf numFmtId="0" fontId="16" fillId="0" borderId="20" xfId="0" applyFont="1" applyFill="1" applyBorder="1" applyAlignment="1">
      <alignment horizontal="right"/>
    </xf>
    <xf numFmtId="0" fontId="16" fillId="0" borderId="2" xfId="0" applyFont="1" applyFill="1" applyBorder="1" applyAlignment="1">
      <alignment horizontal="right"/>
    </xf>
    <xf numFmtId="2" fontId="16" fillId="0" borderId="2" xfId="0" applyNumberFormat="1" applyFont="1" applyFill="1" applyBorder="1"/>
    <xf numFmtId="0" fontId="4" fillId="0" borderId="2" xfId="0" applyNumberFormat="1" applyFont="1" applyFill="1" applyBorder="1"/>
    <xf numFmtId="1" fontId="16" fillId="0" borderId="2" xfId="0" applyNumberFormat="1" applyFont="1" applyFill="1" applyBorder="1"/>
    <xf numFmtId="1" fontId="16" fillId="0" borderId="18" xfId="0" applyNumberFormat="1" applyFont="1" applyFill="1" applyBorder="1"/>
    <xf numFmtId="1" fontId="1" fillId="0" borderId="2" xfId="0" applyNumberFormat="1" applyFont="1" applyFill="1" applyBorder="1"/>
    <xf numFmtId="2" fontId="29" fillId="0" borderId="2" xfId="0" applyNumberFormat="1" applyFont="1" applyFill="1" applyBorder="1"/>
    <xf numFmtId="1" fontId="30" fillId="0" borderId="2" xfId="0" applyNumberFormat="1" applyFont="1" applyFill="1" applyBorder="1"/>
    <xf numFmtId="1" fontId="8" fillId="0" borderId="2" xfId="0" applyNumberFormat="1" applyFont="1" applyFill="1" applyBorder="1"/>
    <xf numFmtId="0" fontId="16" fillId="2" borderId="37" xfId="0" applyFont="1" applyFill="1" applyBorder="1"/>
    <xf numFmtId="0" fontId="16" fillId="2" borderId="30" xfId="0" applyFont="1" applyFill="1" applyBorder="1"/>
    <xf numFmtId="1" fontId="16" fillId="2" borderId="37" xfId="0" applyNumberFormat="1" applyFont="1" applyFill="1" applyBorder="1"/>
    <xf numFmtId="2" fontId="16" fillId="2" borderId="29" xfId="0" applyNumberFormat="1" applyFont="1" applyFill="1" applyBorder="1"/>
    <xf numFmtId="2" fontId="16" fillId="2" borderId="30" xfId="0" applyNumberFormat="1" applyFont="1" applyFill="1" applyBorder="1"/>
    <xf numFmtId="0" fontId="4" fillId="2" borderId="37" xfId="0" applyNumberFormat="1" applyFont="1" applyFill="1" applyBorder="1"/>
    <xf numFmtId="0" fontId="4" fillId="2" borderId="31" xfId="0" applyNumberFormat="1" applyFont="1" applyFill="1" applyBorder="1"/>
    <xf numFmtId="2" fontId="16" fillId="2" borderId="0" xfId="0" applyNumberFormat="1" applyFont="1" applyFill="1" applyBorder="1"/>
    <xf numFmtId="0" fontId="4" fillId="2" borderId="7" xfId="0" applyNumberFormat="1" applyFont="1" applyFill="1" applyBorder="1"/>
    <xf numFmtId="2" fontId="16" fillId="2" borderId="21" xfId="0" applyNumberFormat="1" applyFont="1" applyFill="1" applyBorder="1"/>
    <xf numFmtId="1" fontId="14" fillId="2" borderId="7" xfId="0" applyNumberFormat="1" applyFont="1" applyFill="1" applyBorder="1"/>
    <xf numFmtId="2" fontId="14" fillId="2" borderId="21" xfId="0" applyNumberFormat="1" applyFont="1" applyFill="1" applyBorder="1"/>
    <xf numFmtId="0" fontId="4" fillId="2" borderId="1" xfId="0" applyNumberFormat="1" applyFont="1" applyFill="1" applyBorder="1"/>
    <xf numFmtId="0" fontId="14" fillId="2" borderId="37" xfId="0" applyFont="1" applyFill="1" applyBorder="1"/>
    <xf numFmtId="0" fontId="14" fillId="2" borderId="21" xfId="0" applyFont="1" applyFill="1" applyBorder="1"/>
    <xf numFmtId="0" fontId="14" fillId="2" borderId="7" xfId="0" applyFont="1" applyFill="1" applyBorder="1"/>
    <xf numFmtId="2" fontId="4" fillId="2" borderId="28" xfId="0" applyNumberFormat="1" applyFont="1" applyFill="1" applyBorder="1"/>
    <xf numFmtId="0" fontId="4" fillId="2" borderId="5" xfId="0" applyNumberFormat="1" applyFont="1" applyFill="1" applyBorder="1"/>
    <xf numFmtId="2" fontId="16" fillId="2" borderId="37" xfId="0" applyNumberFormat="1" applyFont="1" applyFill="1" applyBorder="1"/>
    <xf numFmtId="0" fontId="16" fillId="2" borderId="37" xfId="0" applyNumberFormat="1" applyFont="1" applyFill="1" applyBorder="1"/>
    <xf numFmtId="1" fontId="14" fillId="2" borderId="37" xfId="0" applyNumberFormat="1" applyFont="1" applyFill="1" applyBorder="1"/>
    <xf numFmtId="0" fontId="16" fillId="2" borderId="29" xfId="0" applyFont="1" applyFill="1" applyBorder="1"/>
    <xf numFmtId="1" fontId="16" fillId="2" borderId="7" xfId="0" applyNumberFormat="1" applyFont="1" applyFill="1" applyBorder="1"/>
    <xf numFmtId="0" fontId="16" fillId="2" borderId="21" xfId="0" applyFont="1" applyFill="1" applyBorder="1"/>
    <xf numFmtId="0" fontId="0" fillId="2" borderId="68" xfId="0" applyFont="1" applyFill="1" applyBorder="1"/>
    <xf numFmtId="1" fontId="0" fillId="2" borderId="66" xfId="0" applyNumberFormat="1" applyFill="1" applyBorder="1"/>
    <xf numFmtId="0" fontId="14" fillId="2" borderId="22" xfId="0" applyNumberFormat="1" applyFont="1" applyFill="1" applyBorder="1"/>
    <xf numFmtId="0" fontId="16" fillId="2" borderId="23" xfId="0" applyNumberFormat="1" applyFont="1" applyFill="1" applyBorder="1"/>
    <xf numFmtId="2" fontId="16" fillId="2" borderId="27" xfId="0" applyNumberFormat="1" applyFont="1" applyFill="1" applyBorder="1"/>
    <xf numFmtId="2" fontId="16" fillId="3" borderId="27" xfId="0" applyNumberFormat="1" applyFont="1" applyFill="1" applyBorder="1"/>
    <xf numFmtId="2" fontId="16" fillId="2" borderId="75" xfId="0" applyNumberFormat="1" applyFont="1" applyFill="1" applyBorder="1"/>
    <xf numFmtId="1" fontId="14" fillId="2" borderId="31" xfId="0" applyNumberFormat="1" applyFont="1" applyFill="1" applyBorder="1"/>
    <xf numFmtId="0" fontId="16" fillId="2" borderId="59" xfId="0" applyNumberFormat="1" applyFont="1" applyFill="1" applyBorder="1"/>
    <xf numFmtId="0" fontId="22" fillId="2" borderId="34" xfId="0" applyFont="1" applyFill="1" applyBorder="1"/>
    <xf numFmtId="0" fontId="22" fillId="2" borderId="67" xfId="0" applyFont="1" applyFill="1" applyBorder="1"/>
    <xf numFmtId="0" fontId="16" fillId="2" borderId="27" xfId="0" applyFont="1" applyFill="1" applyBorder="1"/>
    <xf numFmtId="0" fontId="14" fillId="0" borderId="28" xfId="0" applyNumberFormat="1" applyFont="1" applyFill="1" applyBorder="1"/>
    <xf numFmtId="0" fontId="14" fillId="2" borderId="28" xfId="0" applyNumberFormat="1" applyFont="1" applyFill="1" applyBorder="1"/>
    <xf numFmtId="1" fontId="14" fillId="3" borderId="7" xfId="0" applyNumberFormat="1" applyFont="1" applyFill="1" applyBorder="1"/>
    <xf numFmtId="1" fontId="14" fillId="2" borderId="66" xfId="0" applyNumberFormat="1" applyFont="1" applyFill="1" applyBorder="1"/>
    <xf numFmtId="2" fontId="16" fillId="2" borderId="39" xfId="0" applyNumberFormat="1" applyFont="1" applyFill="1" applyBorder="1"/>
    <xf numFmtId="1" fontId="1" fillId="2" borderId="37" xfId="0" applyNumberFormat="1" applyFont="1" applyFill="1" applyBorder="1"/>
    <xf numFmtId="1" fontId="1" fillId="2" borderId="31" xfId="0" applyNumberFormat="1" applyFont="1" applyFill="1" applyBorder="1"/>
    <xf numFmtId="2" fontId="31" fillId="0" borderId="28" xfId="0" applyNumberFormat="1" applyFont="1" applyFill="1" applyBorder="1"/>
    <xf numFmtId="0" fontId="16" fillId="0" borderId="50" xfId="0" applyFont="1" applyFill="1" applyBorder="1" applyAlignment="1">
      <alignment horizontal="center"/>
    </xf>
    <xf numFmtId="0" fontId="0" fillId="0" borderId="67" xfId="0" applyFill="1" applyBorder="1"/>
    <xf numFmtId="0" fontId="14" fillId="3" borderId="38" xfId="0" applyFont="1" applyFill="1" applyBorder="1"/>
    <xf numFmtId="0" fontId="8" fillId="3" borderId="6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0" fontId="8" fillId="3" borderId="5" xfId="0" applyFont="1" applyFill="1" applyBorder="1"/>
    <xf numFmtId="0" fontId="14" fillId="3" borderId="22" xfId="0" applyFont="1" applyFill="1" applyBorder="1"/>
    <xf numFmtId="0" fontId="14" fillId="3" borderId="26" xfId="0" applyFont="1" applyFill="1" applyBorder="1"/>
    <xf numFmtId="0" fontId="0" fillId="3" borderId="68" xfId="0" applyFill="1" applyBorder="1"/>
    <xf numFmtId="0" fontId="12" fillId="3" borderId="5" xfId="0" applyFont="1" applyFill="1" applyBorder="1"/>
    <xf numFmtId="0" fontId="14" fillId="3" borderId="48" xfId="0" applyFont="1" applyFill="1" applyBorder="1"/>
    <xf numFmtId="0" fontId="8" fillId="3" borderId="19" xfId="0" applyFont="1" applyFill="1" applyBorder="1"/>
    <xf numFmtId="0" fontId="14" fillId="3" borderId="76" xfId="0" applyFont="1" applyFill="1" applyBorder="1"/>
    <xf numFmtId="0" fontId="8" fillId="3" borderId="76" xfId="0" applyFont="1" applyFill="1" applyBorder="1"/>
    <xf numFmtId="0" fontId="14" fillId="3" borderId="2" xfId="0" applyFont="1" applyFill="1" applyBorder="1"/>
    <xf numFmtId="0" fontId="8" fillId="3" borderId="2" xfId="0" applyFont="1" applyFill="1" applyBorder="1"/>
    <xf numFmtId="0" fontId="14" fillId="3" borderId="68" xfId="0" applyFont="1" applyFill="1" applyBorder="1"/>
    <xf numFmtId="0" fontId="13" fillId="0" borderId="60" xfId="0" applyFont="1" applyBorder="1" applyAlignment="1">
      <alignment horizontal="left"/>
    </xf>
    <xf numFmtId="2" fontId="24" fillId="4" borderId="14" xfId="0" applyNumberFormat="1" applyFont="1" applyFill="1" applyBorder="1"/>
    <xf numFmtId="0" fontId="14" fillId="0" borderId="37" xfId="0" applyNumberFormat="1" applyFont="1" applyFill="1" applyBorder="1"/>
    <xf numFmtId="2" fontId="16" fillId="3" borderId="30" xfId="0" applyNumberFormat="1" applyFont="1" applyFill="1" applyBorder="1"/>
    <xf numFmtId="0" fontId="14" fillId="3" borderId="37" xfId="0" applyNumberFormat="1" applyFont="1" applyFill="1" applyBorder="1"/>
    <xf numFmtId="1" fontId="16" fillId="0" borderId="29" xfId="0" applyNumberFormat="1" applyFont="1" applyFill="1" applyBorder="1"/>
    <xf numFmtId="0" fontId="16" fillId="0" borderId="29" xfId="0" applyNumberFormat="1" applyFont="1" applyFill="1" applyBorder="1"/>
    <xf numFmtId="0" fontId="16" fillId="0" borderId="37" xfId="0" applyNumberFormat="1" applyFont="1" applyFill="1" applyBorder="1"/>
    <xf numFmtId="16" fontId="1" fillId="2" borderId="71" xfId="0" applyNumberFormat="1" applyFont="1" applyFill="1" applyBorder="1"/>
    <xf numFmtId="16" fontId="1" fillId="2" borderId="12" xfId="0" applyNumberFormat="1" applyFont="1" applyFill="1" applyBorder="1"/>
    <xf numFmtId="2" fontId="24" fillId="2" borderId="14" xfId="0" applyNumberFormat="1" applyFont="1" applyFill="1" applyBorder="1"/>
    <xf numFmtId="0" fontId="1" fillId="0" borderId="11" xfId="0" applyFont="1" applyFill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31" fillId="0" borderId="38" xfId="0" applyFont="1" applyFill="1" applyBorder="1"/>
    <xf numFmtId="0" fontId="32" fillId="0" borderId="5" xfId="0" applyFont="1" applyFill="1" applyBorder="1"/>
    <xf numFmtId="2" fontId="33" fillId="0" borderId="34" xfId="0" applyNumberFormat="1" applyFont="1" applyFill="1" applyBorder="1"/>
    <xf numFmtId="0" fontId="32" fillId="0" borderId="6" xfId="0" applyFont="1" applyFill="1" applyBorder="1"/>
    <xf numFmtId="2" fontId="33" fillId="0" borderId="32" xfId="0" applyNumberFormat="1" applyFont="1" applyFill="1" applyBorder="1"/>
    <xf numFmtId="0" fontId="32" fillId="0" borderId="1" xfId="0" applyFont="1" applyFill="1" applyBorder="1"/>
    <xf numFmtId="2" fontId="33" fillId="0" borderId="25" xfId="0" applyNumberFormat="1" applyFont="1" applyFill="1" applyBorder="1"/>
    <xf numFmtId="1" fontId="34" fillId="0" borderId="37" xfId="0" applyNumberFormat="1" applyFont="1" applyFill="1" applyBorder="1"/>
    <xf numFmtId="2" fontId="31" fillId="0" borderId="30" xfId="0" applyNumberFormat="1" applyFont="1" applyFill="1" applyBorder="1"/>
    <xf numFmtId="2" fontId="31" fillId="3" borderId="28" xfId="0" applyNumberFormat="1" applyFont="1" applyFill="1" applyBorder="1"/>
    <xf numFmtId="2" fontId="13" fillId="0" borderId="22" xfId="0" applyNumberFormat="1" applyFont="1" applyFill="1" applyBorder="1"/>
    <xf numFmtId="2" fontId="13" fillId="0" borderId="26" xfId="0" applyNumberFormat="1" applyFont="1" applyFill="1" applyBorder="1"/>
    <xf numFmtId="2" fontId="13" fillId="0" borderId="28" xfId="0" applyNumberFormat="1" applyFont="1" applyFill="1" applyBorder="1"/>
    <xf numFmtId="0" fontId="13" fillId="0" borderId="4" xfId="0" applyFont="1" applyFill="1" applyBorder="1"/>
    <xf numFmtId="0" fontId="35" fillId="0" borderId="5" xfId="0" applyFont="1" applyFill="1" applyBorder="1"/>
    <xf numFmtId="2" fontId="11" fillId="0" borderId="34" xfId="0" applyNumberFormat="1" applyFont="1" applyFill="1" applyBorder="1"/>
    <xf numFmtId="2" fontId="36" fillId="0" borderId="34" xfId="0" applyNumberFormat="1" applyFont="1" applyFill="1" applyBorder="1"/>
    <xf numFmtId="1" fontId="7" fillId="2" borderId="37" xfId="0" applyNumberFormat="1" applyFont="1" applyFill="1" applyBorder="1"/>
    <xf numFmtId="2" fontId="11" fillId="2" borderId="30" xfId="0" applyNumberFormat="1" applyFont="1" applyFill="1" applyBorder="1"/>
    <xf numFmtId="0" fontId="13" fillId="0" borderId="38" xfId="0" applyFont="1" applyFill="1" applyBorder="1"/>
    <xf numFmtId="0" fontId="13" fillId="0" borderId="3" xfId="0" applyFont="1" applyFill="1" applyBorder="1"/>
    <xf numFmtId="0" fontId="0" fillId="0" borderId="64" xfId="0" applyFill="1" applyBorder="1"/>
    <xf numFmtId="0" fontId="0" fillId="0" borderId="75" xfId="0" applyFill="1" applyBorder="1"/>
    <xf numFmtId="2" fontId="22" fillId="0" borderId="67" xfId="0" applyNumberFormat="1" applyFont="1" applyFill="1" applyBorder="1"/>
    <xf numFmtId="0" fontId="1" fillId="0" borderId="35" xfId="0" applyFont="1" applyBorder="1" applyAlignment="1">
      <alignment horizontal="center" vertical="center"/>
    </xf>
    <xf numFmtId="0" fontId="13" fillId="0" borderId="28" xfId="0" applyFont="1" applyFill="1" applyBorder="1"/>
    <xf numFmtId="0" fontId="1" fillId="0" borderId="48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46" xfId="0" applyFont="1" applyFill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14" fillId="0" borderId="32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34" xfId="0" applyNumberFormat="1" applyFont="1" applyBorder="1" applyAlignment="1">
      <alignment horizontal="center"/>
    </xf>
    <xf numFmtId="2" fontId="14" fillId="0" borderId="35" xfId="0" applyNumberFormat="1" applyFont="1" applyBorder="1" applyAlignment="1">
      <alignment horizontal="center"/>
    </xf>
    <xf numFmtId="2" fontId="14" fillId="0" borderId="45" xfId="0" applyNumberFormat="1" applyFont="1" applyBorder="1" applyAlignment="1">
      <alignment horizontal="center"/>
    </xf>
    <xf numFmtId="2" fontId="14" fillId="0" borderId="76" xfId="0" applyNumberFormat="1" applyFont="1" applyBorder="1" applyAlignment="1">
      <alignment horizontal="center"/>
    </xf>
    <xf numFmtId="2" fontId="14" fillId="0" borderId="47" xfId="0" applyNumberFormat="1" applyFont="1" applyBorder="1" applyAlignment="1">
      <alignment horizontal="center"/>
    </xf>
    <xf numFmtId="2" fontId="14" fillId="0" borderId="19" xfId="0" applyNumberFormat="1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2" fontId="14" fillId="2" borderId="6" xfId="0" applyNumberFormat="1" applyFont="1" applyFill="1" applyBorder="1" applyAlignment="1">
      <alignment horizontal="center"/>
    </xf>
    <xf numFmtId="2" fontId="14" fillId="2" borderId="32" xfId="0" applyNumberFormat="1" applyFont="1" applyFill="1" applyBorder="1" applyAlignment="1">
      <alignment horizontal="center"/>
    </xf>
    <xf numFmtId="2" fontId="14" fillId="2" borderId="5" xfId="0" applyNumberFormat="1" applyFont="1" applyFill="1" applyBorder="1" applyAlignment="1">
      <alignment horizontal="center"/>
    </xf>
    <xf numFmtId="2" fontId="14" fillId="2" borderId="34" xfId="0" applyNumberFormat="1" applyFont="1" applyFill="1" applyBorder="1" applyAlignment="1">
      <alignment horizontal="center"/>
    </xf>
    <xf numFmtId="0" fontId="14" fillId="0" borderId="6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35" xfId="0" applyFont="1" applyBorder="1" applyAlignment="1">
      <alignment wrapText="1"/>
    </xf>
    <xf numFmtId="0" fontId="14" fillId="0" borderId="76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4" fillId="0" borderId="33" xfId="0" applyFont="1" applyBorder="1" applyAlignment="1">
      <alignment wrapText="1"/>
    </xf>
    <xf numFmtId="0" fontId="2" fillId="0" borderId="33" xfId="0" applyFont="1" applyBorder="1" applyAlignment="1">
      <alignment horizontal="center" vertical="center"/>
    </xf>
    <xf numFmtId="2" fontId="16" fillId="0" borderId="33" xfId="0" applyNumberFormat="1" applyFont="1" applyBorder="1" applyAlignment="1">
      <alignment horizontal="center" vertical="center"/>
    </xf>
    <xf numFmtId="2" fontId="16" fillId="0" borderId="39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64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2" fontId="2" fillId="2" borderId="30" xfId="0" applyNumberFormat="1" applyFont="1" applyFill="1" applyBorder="1" applyAlignment="1">
      <alignment horizontal="center"/>
    </xf>
    <xf numFmtId="2" fontId="11" fillId="0" borderId="28" xfId="0" applyNumberFormat="1" applyFont="1" applyFill="1" applyBorder="1"/>
    <xf numFmtId="2" fontId="0" fillId="0" borderId="0" xfId="0" applyNumberForma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2" fontId="16" fillId="3" borderId="34" xfId="0" applyNumberFormat="1" applyFont="1" applyFill="1" applyBorder="1"/>
    <xf numFmtId="0" fontId="16" fillId="0" borderId="38" xfId="0" applyFont="1" applyFill="1" applyBorder="1"/>
    <xf numFmtId="0" fontId="16" fillId="0" borderId="4" xfId="0" applyFont="1" applyFill="1" applyBorder="1"/>
    <xf numFmtId="0" fontId="16" fillId="0" borderId="46" xfId="0" applyFont="1" applyFill="1" applyBorder="1"/>
    <xf numFmtId="0" fontId="16" fillId="0" borderId="3" xfId="0" applyFont="1" applyFill="1" applyBorder="1"/>
    <xf numFmtId="2" fontId="16" fillId="0" borderId="33" xfId="0" applyNumberFormat="1" applyFont="1" applyFill="1" applyBorder="1"/>
    <xf numFmtId="0" fontId="16" fillId="0" borderId="76" xfId="0" applyFont="1" applyFill="1" applyBorder="1"/>
    <xf numFmtId="0" fontId="16" fillId="0" borderId="1" xfId="0" applyFont="1" applyFill="1" applyBorder="1"/>
    <xf numFmtId="0" fontId="16" fillId="0" borderId="69" xfId="0" applyFont="1" applyFill="1" applyBorder="1"/>
    <xf numFmtId="2" fontId="16" fillId="0" borderId="48" xfId="0" applyNumberFormat="1" applyFont="1" applyFill="1" applyBorder="1"/>
    <xf numFmtId="2" fontId="16" fillId="0" borderId="6" xfId="0" applyNumberFormat="1" applyFont="1" applyFill="1" applyBorder="1"/>
    <xf numFmtId="0" fontId="16" fillId="0" borderId="52" xfId="0" applyFont="1" applyFill="1" applyBorder="1"/>
    <xf numFmtId="0" fontId="16" fillId="0" borderId="2" xfId="0" applyFont="1" applyFill="1" applyBorder="1"/>
    <xf numFmtId="2" fontId="16" fillId="0" borderId="45" xfId="0" applyNumberFormat="1" applyFont="1" applyFill="1" applyBorder="1"/>
    <xf numFmtId="2" fontId="16" fillId="0" borderId="19" xfId="0" applyNumberFormat="1" applyFont="1" applyFill="1" applyBorder="1"/>
    <xf numFmtId="2" fontId="16" fillId="0" borderId="69" xfId="0" applyNumberFormat="1" applyFont="1" applyFill="1" applyBorder="1"/>
    <xf numFmtId="2" fontId="16" fillId="0" borderId="20" xfId="0" applyNumberFormat="1" applyFont="1" applyFill="1" applyBorder="1"/>
    <xf numFmtId="2" fontId="16" fillId="0" borderId="38" xfId="0" applyNumberFormat="1" applyFont="1" applyFill="1" applyBorder="1"/>
    <xf numFmtId="2" fontId="16" fillId="0" borderId="3" xfId="0" applyNumberFormat="1" applyFont="1" applyFill="1" applyBorder="1"/>
    <xf numFmtId="2" fontId="16" fillId="0" borderId="4" xfId="0" applyNumberFormat="1" applyFont="1" applyFill="1" applyBorder="1"/>
    <xf numFmtId="2" fontId="16" fillId="0" borderId="64" xfId="0" applyNumberFormat="1" applyFont="1" applyFill="1" applyBorder="1"/>
    <xf numFmtId="2" fontId="16" fillId="0" borderId="54" xfId="0" applyNumberFormat="1" applyFont="1" applyFill="1" applyBorder="1"/>
    <xf numFmtId="2" fontId="16" fillId="0" borderId="41" xfId="0" applyNumberFormat="1" applyFont="1" applyFill="1" applyBorder="1"/>
    <xf numFmtId="2" fontId="16" fillId="0" borderId="17" xfId="0" applyNumberFormat="1" applyFont="1" applyFill="1" applyBorder="1"/>
    <xf numFmtId="2" fontId="0" fillId="0" borderId="0" xfId="0" applyNumberFormat="1" applyFill="1" applyAlignment="1"/>
    <xf numFmtId="0" fontId="12" fillId="0" borderId="0" xfId="0" applyFont="1" applyAlignment="1">
      <alignment horizontal="center"/>
    </xf>
    <xf numFmtId="0" fontId="26" fillId="0" borderId="5" xfId="0" applyFont="1" applyBorder="1" applyAlignment="1">
      <alignment horizontal="center" vertical="top"/>
    </xf>
    <xf numFmtId="0" fontId="0" fillId="0" borderId="77" xfId="0" applyBorder="1"/>
    <xf numFmtId="9" fontId="0" fillId="0" borderId="59" xfId="0" applyNumberFormat="1" applyBorder="1" applyAlignment="1">
      <alignment horizontal="center" vertical="top"/>
    </xf>
    <xf numFmtId="9" fontId="0" fillId="0" borderId="7" xfId="0" applyNumberFormat="1" applyBorder="1" applyAlignment="1">
      <alignment horizontal="center"/>
    </xf>
    <xf numFmtId="9" fontId="26" fillId="0" borderId="37" xfId="0" applyNumberFormat="1" applyFont="1" applyBorder="1" applyAlignment="1">
      <alignment horizontal="center" vertical="top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38" fillId="0" borderId="1" xfId="0" applyFont="1" applyBorder="1"/>
    <xf numFmtId="0" fontId="20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 wrapText="1"/>
    </xf>
    <xf numFmtId="0" fontId="20" fillId="0" borderId="1" xfId="0" applyFont="1" applyBorder="1"/>
    <xf numFmtId="2" fontId="20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0" fontId="1" fillId="0" borderId="3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wrapText="1"/>
    </xf>
    <xf numFmtId="2" fontId="16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4" fillId="2" borderId="6" xfId="0" applyFont="1" applyFill="1" applyBorder="1" applyAlignment="1">
      <alignment horizontal="left" wrapText="1"/>
    </xf>
    <xf numFmtId="0" fontId="14" fillId="2" borderId="5" xfId="0" applyFont="1" applyFill="1" applyBorder="1" applyAlignment="1">
      <alignment horizontal="left" wrapText="1"/>
    </xf>
    <xf numFmtId="0" fontId="1" fillId="2" borderId="35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6" fillId="0" borderId="6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0" fillId="0" borderId="52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20" fillId="0" borderId="0" xfId="0" applyFont="1" applyAlignment="1">
      <alignment horizontal="center"/>
    </xf>
    <xf numFmtId="0" fontId="2" fillId="0" borderId="67" xfId="0" applyFont="1" applyFill="1" applyBorder="1" applyAlignment="1">
      <alignment horizontal="center"/>
    </xf>
    <xf numFmtId="16" fontId="14" fillId="0" borderId="22" xfId="0" applyNumberFormat="1" applyFont="1" applyFill="1" applyBorder="1" applyAlignment="1">
      <alignment horizontal="center"/>
    </xf>
    <xf numFmtId="16" fontId="14" fillId="0" borderId="23" xfId="0" applyNumberFormat="1" applyFont="1" applyFill="1" applyBorder="1" applyAlignment="1">
      <alignment horizontal="center"/>
    </xf>
    <xf numFmtId="16" fontId="14" fillId="0" borderId="24" xfId="0" applyNumberFormat="1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4" fillId="0" borderId="48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14" fillId="0" borderId="49" xfId="0" applyFont="1" applyFill="1" applyBorder="1" applyAlignment="1">
      <alignment horizontal="center"/>
    </xf>
    <xf numFmtId="16" fontId="16" fillId="0" borderId="23" xfId="0" applyNumberFormat="1" applyFont="1" applyFill="1" applyBorder="1" applyAlignment="1">
      <alignment horizontal="center"/>
    </xf>
    <xf numFmtId="16" fontId="16" fillId="0" borderId="24" xfId="0" applyNumberFormat="1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/>
    </xf>
    <xf numFmtId="0" fontId="14" fillId="0" borderId="31" xfId="0" applyFont="1" applyFill="1" applyBorder="1" applyAlignment="1">
      <alignment horizontal="center"/>
    </xf>
    <xf numFmtId="16" fontId="14" fillId="2" borderId="22" xfId="0" applyNumberFormat="1" applyFont="1" applyFill="1" applyBorder="1" applyAlignment="1">
      <alignment horizontal="center"/>
    </xf>
    <xf numFmtId="16" fontId="14" fillId="2" borderId="23" xfId="0" applyNumberFormat="1" applyFont="1" applyFill="1" applyBorder="1" applyAlignment="1">
      <alignment horizontal="center"/>
    </xf>
    <xf numFmtId="16" fontId="14" fillId="2" borderId="24" xfId="0" applyNumberFormat="1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4"/>
  <sheetViews>
    <sheetView topLeftCell="A28" workbookViewId="0">
      <selection activeCell="P47" sqref="P47"/>
    </sheetView>
  </sheetViews>
  <sheetFormatPr defaultRowHeight="15" x14ac:dyDescent="0.25"/>
  <cols>
    <col min="1" max="2" width="6.7109375" customWidth="1"/>
    <col min="3" max="3" width="25" customWidth="1"/>
    <col min="4" max="4" width="5" hidden="1" customWidth="1"/>
    <col min="5" max="5" width="4.140625" hidden="1" customWidth="1"/>
    <col min="6" max="6" width="5.7109375" hidden="1" customWidth="1"/>
    <col min="7" max="7" width="5" hidden="1" customWidth="1"/>
    <col min="8" max="8" width="6.42578125" hidden="1" customWidth="1"/>
    <col min="9" max="9" width="7" hidden="1" customWidth="1"/>
    <col min="10" max="10" width="11.42578125" customWidth="1"/>
    <col min="11" max="11" width="10.85546875" customWidth="1"/>
    <col min="12" max="12" width="17.28515625" customWidth="1"/>
    <col min="13" max="13" width="15" customWidth="1"/>
    <col min="14" max="14" width="14.7109375" style="92" hidden="1" customWidth="1"/>
  </cols>
  <sheetData>
    <row r="2" spans="1:15" ht="40.5" customHeight="1" thickBot="1" x14ac:dyDescent="0.3">
      <c r="A2" s="655" t="s">
        <v>202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90"/>
      <c r="O2" s="52"/>
    </row>
    <row r="3" spans="1:15" ht="27" thickBot="1" x14ac:dyDescent="0.3">
      <c r="A3" s="3" t="s">
        <v>2</v>
      </c>
      <c r="B3" s="97"/>
      <c r="C3" s="4" t="s">
        <v>3</v>
      </c>
      <c r="D3" s="5" t="s">
        <v>0</v>
      </c>
      <c r="E3" s="5" t="s">
        <v>25</v>
      </c>
      <c r="F3" s="16" t="s">
        <v>16</v>
      </c>
      <c r="G3" s="16" t="s">
        <v>17</v>
      </c>
      <c r="H3" s="16" t="s">
        <v>25</v>
      </c>
      <c r="I3" s="5" t="s">
        <v>1</v>
      </c>
      <c r="J3" s="16" t="s">
        <v>22</v>
      </c>
      <c r="K3" s="98" t="s">
        <v>19</v>
      </c>
      <c r="L3" s="99" t="s">
        <v>23</v>
      </c>
      <c r="M3" s="574" t="s">
        <v>137</v>
      </c>
      <c r="N3" s="107" t="s">
        <v>59</v>
      </c>
    </row>
    <row r="4" spans="1:15" ht="15.75" customHeight="1" x14ac:dyDescent="0.25">
      <c r="A4" s="95">
        <v>1</v>
      </c>
      <c r="B4" s="14">
        <v>722</v>
      </c>
      <c r="C4" s="562" t="s">
        <v>102</v>
      </c>
      <c r="D4" s="11"/>
      <c r="E4" s="11"/>
      <c r="F4" s="11"/>
      <c r="G4" s="11"/>
      <c r="H4" s="11"/>
      <c r="I4" s="11"/>
      <c r="J4" s="647">
        <v>25</v>
      </c>
      <c r="K4" s="547">
        <v>2350.37</v>
      </c>
      <c r="L4" s="548">
        <f>K4/J4</f>
        <v>94.014799999999994</v>
      </c>
      <c r="M4" s="575">
        <f t="shared" ref="M4:M57" si="0">K4*0.8</f>
        <v>1880.296</v>
      </c>
      <c r="N4" s="108">
        <f>M4+K4</f>
        <v>4230.6660000000002</v>
      </c>
    </row>
    <row r="5" spans="1:15" ht="15.75" customHeight="1" thickBot="1" x14ac:dyDescent="0.3">
      <c r="A5" s="96">
        <v>2</v>
      </c>
      <c r="B5" s="54">
        <v>1851</v>
      </c>
      <c r="C5" s="563" t="s">
        <v>103</v>
      </c>
      <c r="D5" s="8"/>
      <c r="E5" s="8"/>
      <c r="F5" s="8"/>
      <c r="G5" s="8"/>
      <c r="H5" s="8"/>
      <c r="I5" s="8"/>
      <c r="J5" s="648"/>
      <c r="K5" s="549">
        <f>K4*0.9</f>
        <v>2115.3330000000001</v>
      </c>
      <c r="L5" s="550">
        <f>K5/J4</f>
        <v>84.613320000000002</v>
      </c>
      <c r="M5" s="576">
        <f t="shared" si="0"/>
        <v>1692.2664000000002</v>
      </c>
      <c r="N5" s="109">
        <f>M5+K5</f>
        <v>3807.5994000000001</v>
      </c>
    </row>
    <row r="6" spans="1:15" ht="15.75" customHeight="1" x14ac:dyDescent="0.25">
      <c r="A6" s="95">
        <v>3</v>
      </c>
      <c r="B6" s="14">
        <v>911</v>
      </c>
      <c r="C6" s="562" t="s">
        <v>104</v>
      </c>
      <c r="D6" s="11"/>
      <c r="E6" s="11"/>
      <c r="F6" s="11"/>
      <c r="G6" s="11"/>
      <c r="H6" s="11"/>
      <c r="I6" s="11"/>
      <c r="J6" s="647">
        <v>24</v>
      </c>
      <c r="K6" s="547">
        <v>1933.14</v>
      </c>
      <c r="L6" s="548">
        <f>K6/J6</f>
        <v>80.547499999999999</v>
      </c>
      <c r="M6" s="575">
        <f t="shared" si="0"/>
        <v>1546.5120000000002</v>
      </c>
      <c r="N6" s="108">
        <f>M6+K6</f>
        <v>3479.652</v>
      </c>
    </row>
    <row r="7" spans="1:15" ht="15.75" customHeight="1" thickBot="1" x14ac:dyDescent="0.3">
      <c r="A7" s="96">
        <v>4</v>
      </c>
      <c r="B7" s="54">
        <v>1447</v>
      </c>
      <c r="C7" s="563" t="s">
        <v>203</v>
      </c>
      <c r="D7" s="8"/>
      <c r="E7" s="8"/>
      <c r="F7" s="8"/>
      <c r="G7" s="8"/>
      <c r="H7" s="8"/>
      <c r="I7" s="8"/>
      <c r="J7" s="648"/>
      <c r="K7" s="549">
        <f>K6*0.9</f>
        <v>1739.826</v>
      </c>
      <c r="L7" s="550">
        <f>K7/J6</f>
        <v>72.492750000000001</v>
      </c>
      <c r="M7" s="576">
        <f t="shared" si="0"/>
        <v>1391.8608000000002</v>
      </c>
      <c r="N7" s="109">
        <f>M7+K7</f>
        <v>3131.6868000000004</v>
      </c>
    </row>
    <row r="8" spans="1:15" ht="15" customHeight="1" x14ac:dyDescent="0.25">
      <c r="A8" s="95">
        <v>5</v>
      </c>
      <c r="B8" s="14">
        <v>1358</v>
      </c>
      <c r="C8" s="564" t="s">
        <v>106</v>
      </c>
      <c r="D8" s="11"/>
      <c r="E8" s="11"/>
      <c r="F8" s="11"/>
      <c r="G8" s="11"/>
      <c r="H8" s="11"/>
      <c r="I8" s="11"/>
      <c r="J8" s="647">
        <v>24</v>
      </c>
      <c r="K8" s="547">
        <v>2379.96</v>
      </c>
      <c r="L8" s="548">
        <f>K8/J8</f>
        <v>99.165000000000006</v>
      </c>
      <c r="M8" s="575">
        <f t="shared" si="0"/>
        <v>1903.9680000000001</v>
      </c>
      <c r="N8" s="108">
        <f t="shared" ref="N8:N9" si="1">M8+K8</f>
        <v>4283.9279999999999</v>
      </c>
    </row>
    <row r="9" spans="1:15" ht="16.5" thickBot="1" x14ac:dyDescent="0.3">
      <c r="A9" s="96">
        <v>6</v>
      </c>
      <c r="B9" s="54">
        <v>1703</v>
      </c>
      <c r="C9" s="565" t="s">
        <v>204</v>
      </c>
      <c r="D9" s="8"/>
      <c r="E9" s="8"/>
      <c r="F9" s="8"/>
      <c r="G9" s="8"/>
      <c r="H9" s="8"/>
      <c r="I9" s="8"/>
      <c r="J9" s="648"/>
      <c r="K9" s="549">
        <f>K8*0.9</f>
        <v>2141.9639999999999</v>
      </c>
      <c r="L9" s="550">
        <f>K9/J8</f>
        <v>89.248499999999993</v>
      </c>
      <c r="M9" s="576">
        <f t="shared" si="0"/>
        <v>1713.5712000000001</v>
      </c>
      <c r="N9" s="109">
        <f t="shared" si="1"/>
        <v>3855.5352000000003</v>
      </c>
    </row>
    <row r="10" spans="1:15" ht="15.75" customHeight="1" x14ac:dyDescent="0.25">
      <c r="A10" s="95">
        <v>7</v>
      </c>
      <c r="B10" s="14">
        <v>1916</v>
      </c>
      <c r="C10" s="562" t="s">
        <v>7</v>
      </c>
      <c r="D10" s="11"/>
      <c r="E10" s="11"/>
      <c r="F10" s="11"/>
      <c r="G10" s="11"/>
      <c r="H10" s="11"/>
      <c r="I10" s="11"/>
      <c r="J10" s="647">
        <v>29</v>
      </c>
      <c r="K10" s="547">
        <v>3430.14</v>
      </c>
      <c r="L10" s="548">
        <f>K10/J10</f>
        <v>118.28068965517241</v>
      </c>
      <c r="M10" s="575">
        <f t="shared" si="0"/>
        <v>2744.1120000000001</v>
      </c>
      <c r="N10" s="108">
        <f>M10+K10</f>
        <v>6174.2520000000004</v>
      </c>
    </row>
    <row r="11" spans="1:15" ht="15.75" customHeight="1" thickBot="1" x14ac:dyDescent="0.3">
      <c r="A11" s="96">
        <v>8</v>
      </c>
      <c r="B11" s="54">
        <v>725</v>
      </c>
      <c r="C11" s="563" t="s">
        <v>54</v>
      </c>
      <c r="D11" s="8"/>
      <c r="E11" s="8"/>
      <c r="F11" s="8"/>
      <c r="G11" s="8"/>
      <c r="H11" s="8"/>
      <c r="I11" s="8"/>
      <c r="J11" s="648"/>
      <c r="K11" s="549">
        <f>K10*0.9</f>
        <v>3087.1259999999997</v>
      </c>
      <c r="L11" s="550">
        <f>K11/J10</f>
        <v>106.45262068965516</v>
      </c>
      <c r="M11" s="576">
        <f t="shared" si="0"/>
        <v>2469.7008000000001</v>
      </c>
      <c r="N11" s="109">
        <f>M11+K11</f>
        <v>5556.8267999999998</v>
      </c>
    </row>
    <row r="12" spans="1:15" ht="15.75" customHeight="1" thickBot="1" x14ac:dyDescent="0.3">
      <c r="A12" s="543">
        <v>9</v>
      </c>
      <c r="B12" s="544">
        <v>1916</v>
      </c>
      <c r="C12" s="566" t="s">
        <v>7</v>
      </c>
      <c r="D12" s="545"/>
      <c r="E12" s="545"/>
      <c r="F12" s="545"/>
      <c r="G12" s="545"/>
      <c r="H12" s="545"/>
      <c r="I12" s="545"/>
      <c r="J12" s="535">
        <v>1</v>
      </c>
      <c r="K12" s="551">
        <v>116.22</v>
      </c>
      <c r="L12" s="552">
        <f>K12/J12</f>
        <v>116.22</v>
      </c>
      <c r="M12" s="577">
        <f t="shared" ref="M12" si="2">K12*0.8</f>
        <v>92.975999999999999</v>
      </c>
      <c r="N12" s="108">
        <f t="shared" ref="N12" si="3">M12+K12</f>
        <v>209.196</v>
      </c>
    </row>
    <row r="13" spans="1:15" ht="15.75" customHeight="1" x14ac:dyDescent="0.25">
      <c r="A13" s="95">
        <v>10</v>
      </c>
      <c r="B13" s="11">
        <v>990</v>
      </c>
      <c r="C13" s="562" t="s">
        <v>96</v>
      </c>
      <c r="D13" s="11"/>
      <c r="E13" s="11"/>
      <c r="F13" s="11"/>
      <c r="G13" s="11"/>
      <c r="H13" s="11"/>
      <c r="I13" s="11"/>
      <c r="J13" s="657">
        <v>25</v>
      </c>
      <c r="K13" s="547">
        <v>1883.25</v>
      </c>
      <c r="L13" s="548">
        <f>K13/J13</f>
        <v>75.33</v>
      </c>
      <c r="M13" s="575">
        <f t="shared" si="0"/>
        <v>1506.6000000000001</v>
      </c>
      <c r="N13" s="108">
        <f t="shared" ref="N13:N14" si="4">M13+K13</f>
        <v>3389.8500000000004</v>
      </c>
    </row>
    <row r="14" spans="1:15" ht="15.75" customHeight="1" thickBot="1" x14ac:dyDescent="0.3">
      <c r="A14" s="96">
        <v>11</v>
      </c>
      <c r="B14" s="8">
        <v>175</v>
      </c>
      <c r="C14" s="563" t="s">
        <v>205</v>
      </c>
      <c r="D14" s="8"/>
      <c r="E14" s="8"/>
      <c r="F14" s="8"/>
      <c r="G14" s="8"/>
      <c r="H14" s="8"/>
      <c r="I14" s="8"/>
      <c r="J14" s="658"/>
      <c r="K14" s="549">
        <f>K13*0.9</f>
        <v>1694.925</v>
      </c>
      <c r="L14" s="550">
        <f>K14/J13</f>
        <v>67.796999999999997</v>
      </c>
      <c r="M14" s="576">
        <f t="shared" si="0"/>
        <v>1355.94</v>
      </c>
      <c r="N14" s="109">
        <f t="shared" si="4"/>
        <v>3050.8649999999998</v>
      </c>
    </row>
    <row r="15" spans="1:15" ht="15.75" customHeight="1" x14ac:dyDescent="0.25">
      <c r="A15" s="541">
        <v>12</v>
      </c>
      <c r="B15" s="546">
        <v>665</v>
      </c>
      <c r="C15" s="567" t="s">
        <v>99</v>
      </c>
      <c r="D15" s="542"/>
      <c r="E15" s="542"/>
      <c r="F15" s="542"/>
      <c r="G15" s="542"/>
      <c r="H15" s="542"/>
      <c r="I15" s="542"/>
      <c r="J15" s="656">
        <v>31</v>
      </c>
      <c r="K15" s="553">
        <v>2908.45</v>
      </c>
      <c r="L15" s="554">
        <f>K15/J15</f>
        <v>93.820967741935476</v>
      </c>
      <c r="M15" s="578">
        <f t="shared" si="0"/>
        <v>2326.7599999999998</v>
      </c>
      <c r="N15" s="108">
        <f t="shared" ref="N15:N45" si="5">M15+K15</f>
        <v>5235.2099999999991</v>
      </c>
    </row>
    <row r="16" spans="1:15" ht="15.75" customHeight="1" thickBot="1" x14ac:dyDescent="0.3">
      <c r="A16" s="96">
        <v>13</v>
      </c>
      <c r="B16" s="54">
        <v>668</v>
      </c>
      <c r="C16" s="563" t="s">
        <v>100</v>
      </c>
      <c r="D16" s="8"/>
      <c r="E16" s="8"/>
      <c r="F16" s="8"/>
      <c r="G16" s="8"/>
      <c r="H16" s="8"/>
      <c r="I16" s="8"/>
      <c r="J16" s="648"/>
      <c r="K16" s="549">
        <f>K15*0.9</f>
        <v>2617.605</v>
      </c>
      <c r="L16" s="550">
        <f>K16/J15</f>
        <v>84.438870967741934</v>
      </c>
      <c r="M16" s="576">
        <f t="shared" si="0"/>
        <v>2094.0840000000003</v>
      </c>
      <c r="N16" s="109">
        <f t="shared" si="5"/>
        <v>4711.6890000000003</v>
      </c>
    </row>
    <row r="17" spans="1:14" ht="15.75" customHeight="1" x14ac:dyDescent="0.25">
      <c r="A17" s="95">
        <v>14</v>
      </c>
      <c r="B17" s="14">
        <v>129</v>
      </c>
      <c r="C17" s="562" t="s">
        <v>97</v>
      </c>
      <c r="D17" s="11"/>
      <c r="E17" s="11"/>
      <c r="F17" s="11"/>
      <c r="G17" s="11"/>
      <c r="H17" s="11"/>
      <c r="I17" s="11"/>
      <c r="J17" s="647">
        <v>26</v>
      </c>
      <c r="K17" s="547">
        <v>2043.02</v>
      </c>
      <c r="L17" s="548">
        <f>K17/J17</f>
        <v>78.577692307692303</v>
      </c>
      <c r="M17" s="575">
        <f t="shared" si="0"/>
        <v>1634.4160000000002</v>
      </c>
      <c r="N17" s="108">
        <f t="shared" si="5"/>
        <v>3677.4360000000001</v>
      </c>
    </row>
    <row r="18" spans="1:14" ht="15.75" customHeight="1" thickBot="1" x14ac:dyDescent="0.3">
      <c r="A18" s="96">
        <v>15</v>
      </c>
      <c r="B18" s="54">
        <v>313</v>
      </c>
      <c r="C18" s="563" t="s">
        <v>98</v>
      </c>
      <c r="D18" s="8"/>
      <c r="E18" s="8"/>
      <c r="F18" s="8"/>
      <c r="G18" s="8"/>
      <c r="H18" s="8"/>
      <c r="I18" s="8"/>
      <c r="J18" s="648"/>
      <c r="K18" s="549">
        <f>K17*0.9</f>
        <v>1838.7180000000001</v>
      </c>
      <c r="L18" s="550">
        <f>K18/J17</f>
        <v>70.719923076923081</v>
      </c>
      <c r="M18" s="576">
        <f t="shared" si="0"/>
        <v>1470.9744000000001</v>
      </c>
      <c r="N18" s="109">
        <f t="shared" si="5"/>
        <v>3309.6923999999999</v>
      </c>
    </row>
    <row r="19" spans="1:14" ht="15.75" customHeight="1" thickBot="1" x14ac:dyDescent="0.3">
      <c r="A19" s="537">
        <v>16</v>
      </c>
      <c r="B19" s="14">
        <v>129</v>
      </c>
      <c r="C19" s="562" t="s">
        <v>97</v>
      </c>
      <c r="D19" s="539"/>
      <c r="E19" s="539"/>
      <c r="F19" s="539"/>
      <c r="G19" s="539"/>
      <c r="H19" s="539"/>
      <c r="I19" s="539"/>
      <c r="J19" s="540">
        <v>1</v>
      </c>
      <c r="K19" s="555">
        <v>112.46</v>
      </c>
      <c r="L19" s="548">
        <f>K19/J19</f>
        <v>112.46</v>
      </c>
      <c r="M19" s="575">
        <f t="shared" ref="M19" si="6">K19*0.8</f>
        <v>89.968000000000004</v>
      </c>
      <c r="N19" s="108">
        <f>M19+K19</f>
        <v>202.428</v>
      </c>
    </row>
    <row r="20" spans="1:14" ht="15" customHeight="1" x14ac:dyDescent="0.25">
      <c r="A20" s="95">
        <v>17</v>
      </c>
      <c r="B20" s="14">
        <v>107</v>
      </c>
      <c r="C20" s="562" t="s">
        <v>101</v>
      </c>
      <c r="D20" s="11"/>
      <c r="E20" s="11"/>
      <c r="F20" s="11"/>
      <c r="G20" s="11"/>
      <c r="H20" s="11"/>
      <c r="I20" s="11"/>
      <c r="J20" s="647">
        <v>25</v>
      </c>
      <c r="K20" s="547">
        <v>2245.21</v>
      </c>
      <c r="L20" s="548">
        <f>K20/J20</f>
        <v>89.808400000000006</v>
      </c>
      <c r="M20" s="575">
        <f t="shared" si="0"/>
        <v>1796.1680000000001</v>
      </c>
      <c r="N20" s="108">
        <f t="shared" si="5"/>
        <v>4041.3780000000002</v>
      </c>
    </row>
    <row r="21" spans="1:14" ht="16.5" thickBot="1" x14ac:dyDescent="0.3">
      <c r="A21" s="96">
        <v>18</v>
      </c>
      <c r="B21" s="54">
        <v>1892</v>
      </c>
      <c r="C21" s="563" t="s">
        <v>206</v>
      </c>
      <c r="D21" s="8"/>
      <c r="E21" s="8"/>
      <c r="F21" s="8"/>
      <c r="G21" s="8"/>
      <c r="H21" s="8"/>
      <c r="I21" s="8"/>
      <c r="J21" s="648"/>
      <c r="K21" s="549">
        <f>K20*0.9</f>
        <v>2020.6890000000001</v>
      </c>
      <c r="L21" s="550">
        <f>K21/J20</f>
        <v>80.827560000000005</v>
      </c>
      <c r="M21" s="576">
        <f t="shared" si="0"/>
        <v>1616.5512000000001</v>
      </c>
      <c r="N21" s="109">
        <f t="shared" si="5"/>
        <v>3637.2402000000002</v>
      </c>
    </row>
    <row r="22" spans="1:14" ht="15" customHeight="1" x14ac:dyDescent="0.25">
      <c r="A22" s="95">
        <v>19</v>
      </c>
      <c r="B22" s="14">
        <v>646</v>
      </c>
      <c r="C22" s="562" t="s">
        <v>207</v>
      </c>
      <c r="D22" s="11"/>
      <c r="E22" s="11"/>
      <c r="F22" s="11"/>
      <c r="G22" s="11"/>
      <c r="H22" s="11"/>
      <c r="I22" s="11"/>
      <c r="J22" s="647">
        <v>25</v>
      </c>
      <c r="K22" s="547">
        <v>2533</v>
      </c>
      <c r="L22" s="548">
        <f>K22/J22</f>
        <v>101.32</v>
      </c>
      <c r="M22" s="575">
        <f t="shared" si="0"/>
        <v>2026.4</v>
      </c>
      <c r="N22" s="108">
        <f t="shared" si="5"/>
        <v>4559.3999999999996</v>
      </c>
    </row>
    <row r="23" spans="1:14" ht="16.5" thickBot="1" x14ac:dyDescent="0.3">
      <c r="A23" s="96">
        <v>20</v>
      </c>
      <c r="B23" s="54">
        <v>460</v>
      </c>
      <c r="C23" s="563" t="s">
        <v>208</v>
      </c>
      <c r="D23" s="8"/>
      <c r="E23" s="8"/>
      <c r="F23" s="8"/>
      <c r="G23" s="8"/>
      <c r="H23" s="8"/>
      <c r="I23" s="8"/>
      <c r="J23" s="648"/>
      <c r="K23" s="549">
        <f>K22*0.9</f>
        <v>2279.7000000000003</v>
      </c>
      <c r="L23" s="550">
        <f>K23/J22</f>
        <v>91.188000000000017</v>
      </c>
      <c r="M23" s="576">
        <f t="shared" si="0"/>
        <v>1823.7600000000002</v>
      </c>
      <c r="N23" s="109">
        <f t="shared" si="5"/>
        <v>4103.4600000000009</v>
      </c>
    </row>
    <row r="24" spans="1:14" ht="15" customHeight="1" x14ac:dyDescent="0.25">
      <c r="A24" s="95">
        <v>21</v>
      </c>
      <c r="B24" s="14">
        <v>119</v>
      </c>
      <c r="C24" s="562" t="s">
        <v>107</v>
      </c>
      <c r="D24" s="11"/>
      <c r="E24" s="11"/>
      <c r="F24" s="11"/>
      <c r="G24" s="11"/>
      <c r="H24" s="11"/>
      <c r="I24" s="11"/>
      <c r="J24" s="647">
        <v>22</v>
      </c>
      <c r="K24" s="547">
        <v>1728.57</v>
      </c>
      <c r="L24" s="548">
        <f>K24/J24</f>
        <v>78.571363636363628</v>
      </c>
      <c r="M24" s="575">
        <f t="shared" si="0"/>
        <v>1382.856</v>
      </c>
      <c r="N24" s="108">
        <f t="shared" si="5"/>
        <v>3111.4259999999999</v>
      </c>
    </row>
    <row r="25" spans="1:14" ht="16.5" thickBot="1" x14ac:dyDescent="0.3">
      <c r="A25" s="96">
        <v>22</v>
      </c>
      <c r="B25" s="54">
        <v>1971</v>
      </c>
      <c r="C25" s="563" t="s">
        <v>220</v>
      </c>
      <c r="D25" s="8"/>
      <c r="E25" s="8"/>
      <c r="F25" s="8"/>
      <c r="G25" s="8"/>
      <c r="H25" s="8"/>
      <c r="I25" s="8"/>
      <c r="J25" s="648"/>
      <c r="K25" s="549">
        <f>K24*0.9</f>
        <v>1555.713</v>
      </c>
      <c r="L25" s="550">
        <f>K25/J24</f>
        <v>70.714227272727271</v>
      </c>
      <c r="M25" s="576">
        <f t="shared" si="0"/>
        <v>1244.5704000000001</v>
      </c>
      <c r="N25" s="109">
        <f t="shared" si="5"/>
        <v>2800.2834000000003</v>
      </c>
    </row>
    <row r="26" spans="1:14" ht="16.5" thickBot="1" x14ac:dyDescent="0.3">
      <c r="A26" s="508">
        <v>23</v>
      </c>
      <c r="B26" s="509">
        <v>119</v>
      </c>
      <c r="C26" s="568" t="s">
        <v>107</v>
      </c>
      <c r="D26" s="4"/>
      <c r="E26" s="4"/>
      <c r="F26" s="4"/>
      <c r="G26" s="4"/>
      <c r="H26" s="4"/>
      <c r="I26" s="4"/>
      <c r="J26" s="510">
        <v>1</v>
      </c>
      <c r="K26" s="556">
        <v>38.54</v>
      </c>
      <c r="L26" s="557">
        <f>K26/J26</f>
        <v>38.54</v>
      </c>
      <c r="M26" s="579">
        <f t="shared" ref="M26:M27" si="7">K26*0.8</f>
        <v>30.832000000000001</v>
      </c>
      <c r="N26" s="109">
        <f t="shared" si="5"/>
        <v>69.372</v>
      </c>
    </row>
    <row r="27" spans="1:14" ht="16.5" thickBot="1" x14ac:dyDescent="0.3">
      <c r="A27" s="537">
        <v>24</v>
      </c>
      <c r="B27" s="538">
        <v>1971</v>
      </c>
      <c r="C27" s="569" t="s">
        <v>220</v>
      </c>
      <c r="D27" s="539"/>
      <c r="E27" s="539"/>
      <c r="F27" s="539"/>
      <c r="G27" s="539"/>
      <c r="H27" s="539"/>
      <c r="I27" s="539"/>
      <c r="J27" s="540">
        <v>1</v>
      </c>
      <c r="K27" s="555">
        <v>39.200000000000003</v>
      </c>
      <c r="L27" s="554">
        <f>K27/J27</f>
        <v>39.200000000000003</v>
      </c>
      <c r="M27" s="578">
        <f t="shared" si="7"/>
        <v>31.360000000000003</v>
      </c>
      <c r="N27" s="109">
        <f t="shared" si="5"/>
        <v>70.56</v>
      </c>
    </row>
    <row r="28" spans="1:14" ht="15" customHeight="1" x14ac:dyDescent="0.25">
      <c r="A28" s="95">
        <v>25</v>
      </c>
      <c r="B28" s="14">
        <v>1302</v>
      </c>
      <c r="C28" s="562" t="s">
        <v>109</v>
      </c>
      <c r="D28" s="11"/>
      <c r="E28" s="11"/>
      <c r="F28" s="11"/>
      <c r="G28" s="11"/>
      <c r="H28" s="11"/>
      <c r="I28" s="11"/>
      <c r="J28" s="647">
        <v>25</v>
      </c>
      <c r="K28" s="547">
        <v>2437.94</v>
      </c>
      <c r="L28" s="548">
        <f>K28/J28</f>
        <v>97.517600000000002</v>
      </c>
      <c r="M28" s="575">
        <f t="shared" si="0"/>
        <v>1950.3520000000001</v>
      </c>
      <c r="N28" s="108">
        <f t="shared" si="5"/>
        <v>4388.2920000000004</v>
      </c>
    </row>
    <row r="29" spans="1:14" ht="16.5" thickBot="1" x14ac:dyDescent="0.3">
      <c r="A29" s="96">
        <v>26</v>
      </c>
      <c r="B29" s="54">
        <v>105</v>
      </c>
      <c r="C29" s="563" t="s">
        <v>108</v>
      </c>
      <c r="D29" s="8"/>
      <c r="E29" s="8"/>
      <c r="F29" s="8"/>
      <c r="G29" s="8"/>
      <c r="H29" s="8"/>
      <c r="I29" s="8"/>
      <c r="J29" s="648"/>
      <c r="K29" s="549">
        <f>K28*0.9</f>
        <v>2194.1460000000002</v>
      </c>
      <c r="L29" s="550">
        <f>K29/J28</f>
        <v>87.765840000000011</v>
      </c>
      <c r="M29" s="576">
        <f t="shared" si="0"/>
        <v>1755.3168000000003</v>
      </c>
      <c r="N29" s="109">
        <f t="shared" si="5"/>
        <v>3949.4628000000002</v>
      </c>
    </row>
    <row r="30" spans="1:14" ht="15" customHeight="1" x14ac:dyDescent="0.25">
      <c r="A30" s="95">
        <v>27</v>
      </c>
      <c r="B30" s="14">
        <v>106</v>
      </c>
      <c r="C30" s="562" t="s">
        <v>110</v>
      </c>
      <c r="D30" s="11"/>
      <c r="E30" s="11"/>
      <c r="F30" s="11"/>
      <c r="G30" s="11"/>
      <c r="H30" s="11"/>
      <c r="I30" s="11"/>
      <c r="J30" s="647">
        <v>21</v>
      </c>
      <c r="K30" s="547">
        <v>1709.27</v>
      </c>
      <c r="L30" s="548">
        <f>K30/J30</f>
        <v>81.393809523809523</v>
      </c>
      <c r="M30" s="575">
        <f t="shared" si="0"/>
        <v>1367.4160000000002</v>
      </c>
      <c r="N30" s="108">
        <f t="shared" si="5"/>
        <v>3076.6860000000001</v>
      </c>
    </row>
    <row r="31" spans="1:14" ht="16.5" thickBot="1" x14ac:dyDescent="0.3">
      <c r="A31" s="96">
        <v>28</v>
      </c>
      <c r="B31" s="54">
        <v>1922</v>
      </c>
      <c r="C31" s="563" t="s">
        <v>209</v>
      </c>
      <c r="D31" s="8"/>
      <c r="E31" s="8"/>
      <c r="F31" s="8"/>
      <c r="G31" s="8"/>
      <c r="H31" s="8"/>
      <c r="I31" s="8"/>
      <c r="J31" s="648"/>
      <c r="K31" s="549">
        <f>K30*0.9</f>
        <v>1538.3430000000001</v>
      </c>
      <c r="L31" s="550">
        <f>K31/J30</f>
        <v>73.254428571428576</v>
      </c>
      <c r="M31" s="576">
        <f t="shared" si="0"/>
        <v>1230.6744000000001</v>
      </c>
      <c r="N31" s="109">
        <f t="shared" si="5"/>
        <v>2769.0174000000002</v>
      </c>
    </row>
    <row r="32" spans="1:14" ht="15" customHeight="1" x14ac:dyDescent="0.25">
      <c r="A32" s="95">
        <v>29</v>
      </c>
      <c r="B32" s="14">
        <v>190</v>
      </c>
      <c r="C32" s="562" t="s">
        <v>111</v>
      </c>
      <c r="D32" s="11"/>
      <c r="E32" s="11"/>
      <c r="F32" s="11"/>
      <c r="G32" s="11"/>
      <c r="H32" s="11"/>
      <c r="I32" s="11"/>
      <c r="J32" s="647">
        <v>25</v>
      </c>
      <c r="K32" s="547">
        <v>2731.29</v>
      </c>
      <c r="L32" s="548">
        <f>K32/J32</f>
        <v>109.2516</v>
      </c>
      <c r="M32" s="575">
        <f t="shared" si="0"/>
        <v>2185.0320000000002</v>
      </c>
      <c r="N32" s="108">
        <f t="shared" si="5"/>
        <v>4916.3220000000001</v>
      </c>
    </row>
    <row r="33" spans="1:14" ht="16.5" thickBot="1" x14ac:dyDescent="0.3">
      <c r="A33" s="96">
        <v>30</v>
      </c>
      <c r="B33" s="54">
        <v>757</v>
      </c>
      <c r="C33" s="563" t="s">
        <v>32</v>
      </c>
      <c r="D33" s="8"/>
      <c r="E33" s="8"/>
      <c r="F33" s="8"/>
      <c r="G33" s="8"/>
      <c r="H33" s="8"/>
      <c r="I33" s="8"/>
      <c r="J33" s="648"/>
      <c r="K33" s="549">
        <f>K32*0.9</f>
        <v>2458.1610000000001</v>
      </c>
      <c r="L33" s="550">
        <f>K33/J32</f>
        <v>98.326440000000005</v>
      </c>
      <c r="M33" s="576">
        <f t="shared" si="0"/>
        <v>1966.5288</v>
      </c>
      <c r="N33" s="109">
        <f t="shared" si="5"/>
        <v>4424.6898000000001</v>
      </c>
    </row>
    <row r="34" spans="1:14" ht="15" customHeight="1" x14ac:dyDescent="0.25">
      <c r="A34" s="95">
        <v>31</v>
      </c>
      <c r="B34" s="14">
        <v>247</v>
      </c>
      <c r="C34" s="562" t="s">
        <v>112</v>
      </c>
      <c r="D34" s="11"/>
      <c r="E34" s="11"/>
      <c r="F34" s="11"/>
      <c r="G34" s="11"/>
      <c r="H34" s="11"/>
      <c r="I34" s="11"/>
      <c r="J34" s="647">
        <v>27</v>
      </c>
      <c r="K34" s="547">
        <v>2462.52</v>
      </c>
      <c r="L34" s="548">
        <f>K34/J34</f>
        <v>91.204444444444448</v>
      </c>
      <c r="M34" s="575">
        <f t="shared" si="0"/>
        <v>1970.0160000000001</v>
      </c>
      <c r="N34" s="108">
        <f t="shared" si="5"/>
        <v>4432.5360000000001</v>
      </c>
    </row>
    <row r="35" spans="1:14" ht="16.5" thickBot="1" x14ac:dyDescent="0.3">
      <c r="A35" s="96">
        <v>32</v>
      </c>
      <c r="B35" s="54">
        <v>691</v>
      </c>
      <c r="C35" s="563" t="s">
        <v>8</v>
      </c>
      <c r="D35" s="8"/>
      <c r="E35" s="8"/>
      <c r="F35" s="8"/>
      <c r="G35" s="8"/>
      <c r="H35" s="8"/>
      <c r="I35" s="8"/>
      <c r="J35" s="648"/>
      <c r="K35" s="549">
        <f t="shared" ref="K35" si="8">K34*0.9</f>
        <v>2216.268</v>
      </c>
      <c r="L35" s="550">
        <f>K35/J34</f>
        <v>82.084000000000003</v>
      </c>
      <c r="M35" s="576">
        <f t="shared" si="0"/>
        <v>1773.0144</v>
      </c>
      <c r="N35" s="109">
        <f t="shared" si="5"/>
        <v>3989.2824000000001</v>
      </c>
    </row>
    <row r="36" spans="1:14" ht="15" customHeight="1" x14ac:dyDescent="0.25">
      <c r="A36" s="95">
        <v>33</v>
      </c>
      <c r="B36" s="14">
        <v>176</v>
      </c>
      <c r="C36" s="653" t="s">
        <v>210</v>
      </c>
      <c r="D36" s="53"/>
      <c r="E36" s="53"/>
      <c r="F36" s="11"/>
      <c r="G36" s="11"/>
      <c r="H36" s="11"/>
      <c r="I36" s="11"/>
      <c r="J36" s="647">
        <v>24</v>
      </c>
      <c r="K36" s="547">
        <v>2414.58</v>
      </c>
      <c r="L36" s="548">
        <f>K36/J36</f>
        <v>100.6075</v>
      </c>
      <c r="M36" s="575">
        <f t="shared" si="0"/>
        <v>1931.664</v>
      </c>
      <c r="N36" s="108">
        <f t="shared" si="5"/>
        <v>4346.2439999999997</v>
      </c>
    </row>
    <row r="37" spans="1:14" ht="16.5" thickBot="1" x14ac:dyDescent="0.3">
      <c r="A37" s="96">
        <v>34</v>
      </c>
      <c r="B37" s="54">
        <v>1772</v>
      </c>
      <c r="C37" s="654"/>
      <c r="D37" s="8"/>
      <c r="E37" s="8"/>
      <c r="F37" s="8"/>
      <c r="G37" s="8"/>
      <c r="H37" s="8"/>
      <c r="I37" s="8"/>
      <c r="J37" s="648"/>
      <c r="K37" s="549">
        <f>K36*0.9</f>
        <v>2173.1219999999998</v>
      </c>
      <c r="L37" s="550">
        <f>K37/J36</f>
        <v>90.546749999999989</v>
      </c>
      <c r="M37" s="576">
        <f t="shared" si="0"/>
        <v>1738.4975999999999</v>
      </c>
      <c r="N37" s="109">
        <f t="shared" si="5"/>
        <v>3911.6196</v>
      </c>
    </row>
    <row r="38" spans="1:14" ht="15" customHeight="1" x14ac:dyDescent="0.25">
      <c r="A38" s="95">
        <v>35</v>
      </c>
      <c r="B38" s="14">
        <v>674</v>
      </c>
      <c r="C38" s="562" t="s">
        <v>211</v>
      </c>
      <c r="D38" s="11"/>
      <c r="E38" s="11"/>
      <c r="F38" s="11"/>
      <c r="G38" s="11"/>
      <c r="H38" s="11"/>
      <c r="I38" s="11"/>
      <c r="J38" s="647">
        <v>26</v>
      </c>
      <c r="K38" s="547">
        <v>2711.09</v>
      </c>
      <c r="L38" s="548">
        <f>K38/J38</f>
        <v>104.27269230769231</v>
      </c>
      <c r="M38" s="575">
        <f t="shared" si="0"/>
        <v>2168.8720000000003</v>
      </c>
      <c r="N38" s="108">
        <f t="shared" si="5"/>
        <v>4879.9620000000004</v>
      </c>
    </row>
    <row r="39" spans="1:14" ht="16.5" thickBot="1" x14ac:dyDescent="0.3">
      <c r="A39" s="96">
        <v>36</v>
      </c>
      <c r="B39" s="54">
        <v>843</v>
      </c>
      <c r="C39" s="563" t="s">
        <v>113</v>
      </c>
      <c r="D39" s="8"/>
      <c r="E39" s="8"/>
      <c r="F39" s="8"/>
      <c r="G39" s="8"/>
      <c r="H39" s="8"/>
      <c r="I39" s="8"/>
      <c r="J39" s="648"/>
      <c r="K39" s="549">
        <f>K38*0.9</f>
        <v>2439.9810000000002</v>
      </c>
      <c r="L39" s="550">
        <f>K39/J38</f>
        <v>93.845423076923083</v>
      </c>
      <c r="M39" s="576">
        <f t="shared" si="0"/>
        <v>1951.9848000000002</v>
      </c>
      <c r="N39" s="109">
        <f t="shared" si="5"/>
        <v>4391.9657999999999</v>
      </c>
    </row>
    <row r="40" spans="1:14" ht="15" customHeight="1" x14ac:dyDescent="0.25">
      <c r="A40" s="95">
        <v>37</v>
      </c>
      <c r="B40" s="14">
        <v>163</v>
      </c>
      <c r="C40" s="562" t="s">
        <v>114</v>
      </c>
      <c r="D40" s="11"/>
      <c r="E40" s="11"/>
      <c r="F40" s="11"/>
      <c r="G40" s="11"/>
      <c r="H40" s="11"/>
      <c r="I40" s="11"/>
      <c r="J40" s="647">
        <v>19</v>
      </c>
      <c r="K40" s="547">
        <v>1731.07</v>
      </c>
      <c r="L40" s="548">
        <f>K40/J40</f>
        <v>91.108947368421056</v>
      </c>
      <c r="M40" s="575">
        <f t="shared" si="0"/>
        <v>1384.856</v>
      </c>
      <c r="N40" s="108">
        <f t="shared" si="5"/>
        <v>3115.9259999999999</v>
      </c>
    </row>
    <row r="41" spans="1:14" ht="16.5" thickBot="1" x14ac:dyDescent="0.3">
      <c r="A41" s="96">
        <v>38</v>
      </c>
      <c r="B41" s="54">
        <v>1528</v>
      </c>
      <c r="C41" s="563" t="s">
        <v>212</v>
      </c>
      <c r="D41" s="8"/>
      <c r="E41" s="8"/>
      <c r="F41" s="8"/>
      <c r="G41" s="8"/>
      <c r="H41" s="8"/>
      <c r="I41" s="8"/>
      <c r="J41" s="648"/>
      <c r="K41" s="549">
        <f>K40*0.9</f>
        <v>1557.963</v>
      </c>
      <c r="L41" s="550">
        <f>K41/J40</f>
        <v>81.998052631578943</v>
      </c>
      <c r="M41" s="576">
        <f t="shared" si="0"/>
        <v>1246.3704</v>
      </c>
      <c r="N41" s="109">
        <f t="shared" si="5"/>
        <v>2804.3334</v>
      </c>
    </row>
    <row r="42" spans="1:14" ht="16.5" thickBot="1" x14ac:dyDescent="0.3">
      <c r="A42" s="537">
        <v>39</v>
      </c>
      <c r="B42" s="14">
        <v>163</v>
      </c>
      <c r="C42" s="562" t="s">
        <v>114</v>
      </c>
      <c r="D42" s="539"/>
      <c r="E42" s="539"/>
      <c r="F42" s="539"/>
      <c r="G42" s="539"/>
      <c r="H42" s="539"/>
      <c r="I42" s="539"/>
      <c r="J42" s="540">
        <v>5</v>
      </c>
      <c r="K42" s="555">
        <v>314.51</v>
      </c>
      <c r="L42" s="548">
        <f>K42/J42</f>
        <v>62.902000000000001</v>
      </c>
      <c r="M42" s="575">
        <f t="shared" ref="M42" si="9">K42*0.8</f>
        <v>251.608</v>
      </c>
      <c r="N42" s="109">
        <f t="shared" si="5"/>
        <v>566.11799999999994</v>
      </c>
    </row>
    <row r="43" spans="1:14" ht="15" customHeight="1" x14ac:dyDescent="0.25">
      <c r="A43" s="95">
        <v>40</v>
      </c>
      <c r="B43" s="14">
        <v>1232</v>
      </c>
      <c r="C43" s="562" t="s">
        <v>105</v>
      </c>
      <c r="D43" s="11"/>
      <c r="E43" s="11"/>
      <c r="F43" s="11"/>
      <c r="G43" s="11"/>
      <c r="H43" s="11"/>
      <c r="I43" s="11"/>
      <c r="J43" s="647">
        <v>17</v>
      </c>
      <c r="K43" s="547">
        <v>1049.75</v>
      </c>
      <c r="L43" s="548">
        <f>K43/J43</f>
        <v>61.75</v>
      </c>
      <c r="M43" s="575">
        <f t="shared" si="0"/>
        <v>839.80000000000007</v>
      </c>
      <c r="N43" s="108">
        <f t="shared" si="5"/>
        <v>1889.5500000000002</v>
      </c>
    </row>
    <row r="44" spans="1:14" ht="16.5" thickBot="1" x14ac:dyDescent="0.3">
      <c r="A44" s="96">
        <v>41</v>
      </c>
      <c r="B44" s="54">
        <v>419</v>
      </c>
      <c r="C44" s="563" t="s">
        <v>213</v>
      </c>
      <c r="D44" s="8"/>
      <c r="E44" s="8"/>
      <c r="F44" s="8"/>
      <c r="G44" s="8"/>
      <c r="H44" s="8"/>
      <c r="I44" s="8"/>
      <c r="J44" s="648"/>
      <c r="K44" s="549">
        <f>K43*0.9</f>
        <v>944.77499999999998</v>
      </c>
      <c r="L44" s="550">
        <f>K44/J43</f>
        <v>55.574999999999996</v>
      </c>
      <c r="M44" s="576">
        <f t="shared" si="0"/>
        <v>755.82</v>
      </c>
      <c r="N44" s="109">
        <f t="shared" si="5"/>
        <v>1700.595</v>
      </c>
    </row>
    <row r="45" spans="1:14" ht="16.5" thickBot="1" x14ac:dyDescent="0.3">
      <c r="A45" s="537">
        <v>42</v>
      </c>
      <c r="B45" s="538">
        <v>1232</v>
      </c>
      <c r="C45" s="562" t="s">
        <v>105</v>
      </c>
      <c r="D45" s="539"/>
      <c r="E45" s="539"/>
      <c r="F45" s="539"/>
      <c r="G45" s="539"/>
      <c r="H45" s="539"/>
      <c r="I45" s="539"/>
      <c r="J45" s="540">
        <v>1</v>
      </c>
      <c r="K45" s="555">
        <v>42.04</v>
      </c>
      <c r="L45" s="548">
        <f>K45/J45</f>
        <v>42.04</v>
      </c>
      <c r="M45" s="575">
        <f t="shared" ref="M45" si="10">K45*0.8</f>
        <v>33.631999999999998</v>
      </c>
      <c r="N45" s="109">
        <f t="shared" si="5"/>
        <v>75.671999999999997</v>
      </c>
    </row>
    <row r="46" spans="1:14" ht="15" customHeight="1" x14ac:dyDescent="0.25">
      <c r="A46" s="95">
        <v>43</v>
      </c>
      <c r="B46" s="14">
        <v>161</v>
      </c>
      <c r="C46" s="562" t="s">
        <v>53</v>
      </c>
      <c r="D46" s="11"/>
      <c r="E46" s="11"/>
      <c r="F46" s="11"/>
      <c r="G46" s="11"/>
      <c r="H46" s="11"/>
      <c r="I46" s="11"/>
      <c r="J46" s="647">
        <v>16</v>
      </c>
      <c r="K46" s="547">
        <v>1678.26</v>
      </c>
      <c r="L46" s="548">
        <f>K46/J46</f>
        <v>104.89125</v>
      </c>
      <c r="M46" s="575">
        <f t="shared" si="0"/>
        <v>1342.6080000000002</v>
      </c>
      <c r="N46" s="108">
        <f t="shared" ref="N46:N58" si="11">M46+K46</f>
        <v>3020.8680000000004</v>
      </c>
    </row>
    <row r="47" spans="1:14" ht="16.5" thickBot="1" x14ac:dyDescent="0.3">
      <c r="A47" s="96">
        <v>44</v>
      </c>
      <c r="B47" s="54">
        <v>291</v>
      </c>
      <c r="C47" s="563" t="s">
        <v>24</v>
      </c>
      <c r="D47" s="8"/>
      <c r="E47" s="8"/>
      <c r="F47" s="8"/>
      <c r="G47" s="8"/>
      <c r="H47" s="8"/>
      <c r="I47" s="8"/>
      <c r="J47" s="648"/>
      <c r="K47" s="549">
        <f>K46*0.9</f>
        <v>1510.434</v>
      </c>
      <c r="L47" s="550">
        <f>K47/J46</f>
        <v>94.402124999999998</v>
      </c>
      <c r="M47" s="576">
        <f t="shared" si="0"/>
        <v>1208.3471999999999</v>
      </c>
      <c r="N47" s="109">
        <f t="shared" si="11"/>
        <v>2718.7811999999999</v>
      </c>
    </row>
    <row r="48" spans="1:14" ht="15" customHeight="1" x14ac:dyDescent="0.25">
      <c r="A48" s="95">
        <v>45</v>
      </c>
      <c r="B48" s="14">
        <v>101</v>
      </c>
      <c r="C48" s="562" t="s">
        <v>214</v>
      </c>
      <c r="D48" s="11"/>
      <c r="E48" s="11"/>
      <c r="F48" s="11"/>
      <c r="G48" s="11"/>
      <c r="H48" s="11"/>
      <c r="I48" s="11"/>
      <c r="J48" s="647">
        <v>20</v>
      </c>
      <c r="K48" s="547">
        <v>863.49</v>
      </c>
      <c r="L48" s="548">
        <f>K48/J48</f>
        <v>43.174500000000002</v>
      </c>
      <c r="M48" s="575">
        <f t="shared" si="0"/>
        <v>690.79200000000003</v>
      </c>
      <c r="N48" s="108">
        <f t="shared" ref="N48:N49" si="12">M48+K48</f>
        <v>1554.2820000000002</v>
      </c>
    </row>
    <row r="49" spans="1:17" ht="16.5" thickBot="1" x14ac:dyDescent="0.3">
      <c r="A49" s="96">
        <v>46</v>
      </c>
      <c r="B49" s="54">
        <v>1010</v>
      </c>
      <c r="C49" s="563" t="s">
        <v>115</v>
      </c>
      <c r="D49" s="8"/>
      <c r="E49" s="8"/>
      <c r="F49" s="8"/>
      <c r="G49" s="8"/>
      <c r="H49" s="8"/>
      <c r="I49" s="8"/>
      <c r="J49" s="648"/>
      <c r="K49" s="549">
        <f>K48*0.9</f>
        <v>777.14100000000008</v>
      </c>
      <c r="L49" s="550">
        <f>K49/J48</f>
        <v>38.857050000000001</v>
      </c>
      <c r="M49" s="576">
        <f t="shared" si="0"/>
        <v>621.71280000000013</v>
      </c>
      <c r="N49" s="109">
        <f t="shared" si="12"/>
        <v>1398.8538000000003</v>
      </c>
    </row>
    <row r="50" spans="1:17" ht="15" customHeight="1" x14ac:dyDescent="0.25">
      <c r="A50" s="95">
        <v>47</v>
      </c>
      <c r="B50" s="14">
        <v>113</v>
      </c>
      <c r="C50" s="562" t="s">
        <v>116</v>
      </c>
      <c r="D50" s="11"/>
      <c r="E50" s="11"/>
      <c r="F50" s="11"/>
      <c r="G50" s="11"/>
      <c r="H50" s="11"/>
      <c r="I50" s="11"/>
      <c r="J50" s="647">
        <v>24</v>
      </c>
      <c r="K50" s="547">
        <v>2022.61</v>
      </c>
      <c r="L50" s="548">
        <f>K50/J50</f>
        <v>84.275416666666658</v>
      </c>
      <c r="M50" s="575">
        <f t="shared" si="0"/>
        <v>1618.088</v>
      </c>
      <c r="N50" s="108">
        <f t="shared" ref="N50:N51" si="13">M50+K50</f>
        <v>3640.6979999999999</v>
      </c>
    </row>
    <row r="51" spans="1:17" ht="15" customHeight="1" thickBot="1" x14ac:dyDescent="0.3">
      <c r="A51" s="96">
        <v>48</v>
      </c>
      <c r="B51" s="54">
        <v>1854</v>
      </c>
      <c r="C51" s="563" t="s">
        <v>117</v>
      </c>
      <c r="D51" s="8"/>
      <c r="E51" s="8"/>
      <c r="F51" s="8"/>
      <c r="G51" s="8"/>
      <c r="H51" s="8"/>
      <c r="I51" s="8"/>
      <c r="J51" s="648"/>
      <c r="K51" s="549">
        <f>K50*0.9</f>
        <v>1820.3489999999999</v>
      </c>
      <c r="L51" s="550">
        <f>K51/J50</f>
        <v>75.847875000000002</v>
      </c>
      <c r="M51" s="576">
        <f t="shared" si="0"/>
        <v>1456.2791999999999</v>
      </c>
      <c r="N51" s="109">
        <f t="shared" si="13"/>
        <v>3276.6282000000001</v>
      </c>
      <c r="P51" t="s">
        <v>136</v>
      </c>
      <c r="Q51" t="s">
        <v>142</v>
      </c>
    </row>
    <row r="52" spans="1:17" ht="15" hidden="1" customHeight="1" x14ac:dyDescent="0.25">
      <c r="A52" s="308">
        <v>49</v>
      </c>
      <c r="B52" s="309">
        <v>1321</v>
      </c>
      <c r="C52" s="649" t="s">
        <v>219</v>
      </c>
      <c r="D52" s="310"/>
      <c r="E52" s="310"/>
      <c r="F52" s="310"/>
      <c r="G52" s="310"/>
      <c r="H52" s="310"/>
      <c r="I52" s="310"/>
      <c r="J52" s="651">
        <v>21</v>
      </c>
      <c r="K52" s="558">
        <v>2313.42</v>
      </c>
      <c r="L52" s="559">
        <f>K52/J52</f>
        <v>110.16285714285715</v>
      </c>
      <c r="M52" s="580">
        <f t="shared" si="0"/>
        <v>1850.7360000000001</v>
      </c>
      <c r="N52" s="108">
        <f t="shared" ref="N52:N57" si="14">M52+K52</f>
        <v>4164.1559999999999</v>
      </c>
      <c r="P52" s="311">
        <v>1617.94</v>
      </c>
      <c r="Q52">
        <f>P52*0.8</f>
        <v>1294.3520000000001</v>
      </c>
    </row>
    <row r="53" spans="1:17" ht="15.75" hidden="1" customHeight="1" thickBot="1" x14ac:dyDescent="0.3">
      <c r="A53" s="312">
        <v>50</v>
      </c>
      <c r="B53" s="313">
        <v>1376</v>
      </c>
      <c r="C53" s="650"/>
      <c r="D53" s="314"/>
      <c r="E53" s="314"/>
      <c r="F53" s="314"/>
      <c r="G53" s="314"/>
      <c r="H53" s="314"/>
      <c r="I53" s="314"/>
      <c r="J53" s="652"/>
      <c r="K53" s="560">
        <f>K52*0.9</f>
        <v>2082.078</v>
      </c>
      <c r="L53" s="561">
        <f>K53/J52</f>
        <v>99.146571428571434</v>
      </c>
      <c r="M53" s="581">
        <f t="shared" si="0"/>
        <v>1665.6624000000002</v>
      </c>
      <c r="N53" s="109">
        <f t="shared" si="14"/>
        <v>3747.7404000000001</v>
      </c>
      <c r="P53" s="315">
        <f>P52*0.9</f>
        <v>1456.1460000000002</v>
      </c>
      <c r="Q53">
        <f t="shared" ref="Q53:Q57" si="15">P53*0.8</f>
        <v>1164.9168000000002</v>
      </c>
    </row>
    <row r="54" spans="1:17" ht="15" hidden="1" customHeight="1" x14ac:dyDescent="0.25">
      <c r="A54" s="308">
        <v>51</v>
      </c>
      <c r="B54" s="309">
        <v>1343</v>
      </c>
      <c r="C54" s="649" t="s">
        <v>217</v>
      </c>
      <c r="D54" s="310"/>
      <c r="E54" s="310"/>
      <c r="F54" s="310"/>
      <c r="G54" s="310"/>
      <c r="H54" s="310"/>
      <c r="I54" s="310"/>
      <c r="J54" s="651">
        <v>21</v>
      </c>
      <c r="K54" s="558">
        <v>2134.6799999999998</v>
      </c>
      <c r="L54" s="559">
        <f>K54/J54</f>
        <v>101.65142857142857</v>
      </c>
      <c r="M54" s="580">
        <f t="shared" si="0"/>
        <v>1707.7439999999999</v>
      </c>
      <c r="N54" s="108">
        <f t="shared" si="14"/>
        <v>3842.424</v>
      </c>
      <c r="P54" s="311">
        <v>1643.69</v>
      </c>
      <c r="Q54">
        <f t="shared" si="15"/>
        <v>1314.9520000000002</v>
      </c>
    </row>
    <row r="55" spans="1:17" ht="15.75" hidden="1" customHeight="1" thickBot="1" x14ac:dyDescent="0.3">
      <c r="A55" s="312">
        <v>52</v>
      </c>
      <c r="B55" s="313">
        <v>1374</v>
      </c>
      <c r="C55" s="650"/>
      <c r="D55" s="314"/>
      <c r="E55" s="314"/>
      <c r="F55" s="314"/>
      <c r="G55" s="314"/>
      <c r="H55" s="314"/>
      <c r="I55" s="314"/>
      <c r="J55" s="652"/>
      <c r="K55" s="560">
        <f>K54*0.9</f>
        <v>1921.212</v>
      </c>
      <c r="L55" s="561">
        <f>K55/J54</f>
        <v>91.486285714285714</v>
      </c>
      <c r="M55" s="581">
        <f t="shared" si="0"/>
        <v>1536.9696000000001</v>
      </c>
      <c r="N55" s="109">
        <f t="shared" si="14"/>
        <v>3458.1815999999999</v>
      </c>
      <c r="P55" s="315">
        <f>P54*0.9</f>
        <v>1479.3210000000001</v>
      </c>
      <c r="Q55">
        <f t="shared" si="15"/>
        <v>1183.4568000000002</v>
      </c>
    </row>
    <row r="56" spans="1:17" ht="15" hidden="1" customHeight="1" x14ac:dyDescent="0.25">
      <c r="A56" s="308">
        <v>53</v>
      </c>
      <c r="B56" s="309">
        <v>1340</v>
      </c>
      <c r="C56" s="649" t="s">
        <v>218</v>
      </c>
      <c r="D56" s="310"/>
      <c r="E56" s="310"/>
      <c r="F56" s="310"/>
      <c r="G56" s="310"/>
      <c r="H56" s="310"/>
      <c r="I56" s="310"/>
      <c r="J56" s="651">
        <v>22</v>
      </c>
      <c r="K56" s="558">
        <v>2177.14</v>
      </c>
      <c r="L56" s="559">
        <f>K56/J56</f>
        <v>98.960909090909084</v>
      </c>
      <c r="M56" s="580">
        <f t="shared" si="0"/>
        <v>1741.712</v>
      </c>
      <c r="N56" s="108">
        <f t="shared" si="14"/>
        <v>3918.8519999999999</v>
      </c>
      <c r="P56" s="311">
        <v>1467.96</v>
      </c>
      <c r="Q56">
        <f t="shared" si="15"/>
        <v>1174.3680000000002</v>
      </c>
    </row>
    <row r="57" spans="1:17" ht="15.75" hidden="1" customHeight="1" thickBot="1" x14ac:dyDescent="0.3">
      <c r="A57" s="312">
        <v>54</v>
      </c>
      <c r="B57" s="313">
        <v>1667</v>
      </c>
      <c r="C57" s="650"/>
      <c r="D57" s="314"/>
      <c r="E57" s="314"/>
      <c r="F57" s="314"/>
      <c r="G57" s="314"/>
      <c r="H57" s="314"/>
      <c r="I57" s="314"/>
      <c r="J57" s="652"/>
      <c r="K57" s="560">
        <f>K56*0.9</f>
        <v>1959.4259999999999</v>
      </c>
      <c r="L57" s="561">
        <f>K57/J56</f>
        <v>89.064818181818183</v>
      </c>
      <c r="M57" s="581">
        <f t="shared" si="0"/>
        <v>1567.5408</v>
      </c>
      <c r="N57" s="109">
        <f t="shared" si="14"/>
        <v>3526.9668000000001</v>
      </c>
      <c r="P57" s="315">
        <f>P56*0.9</f>
        <v>1321.164</v>
      </c>
      <c r="Q57">
        <f t="shared" si="15"/>
        <v>1056.9312</v>
      </c>
    </row>
    <row r="58" spans="1:17" ht="23.25" customHeight="1" thickBot="1" x14ac:dyDescent="0.3">
      <c r="A58" s="508">
        <v>55</v>
      </c>
      <c r="B58" s="509">
        <v>199</v>
      </c>
      <c r="C58" s="568" t="s">
        <v>215</v>
      </c>
      <c r="D58" s="4"/>
      <c r="E58" s="4"/>
      <c r="F58" s="4"/>
      <c r="G58" s="4"/>
      <c r="H58" s="4"/>
      <c r="I58" s="4"/>
      <c r="J58" s="510">
        <v>29</v>
      </c>
      <c r="K58" s="556">
        <v>4524.8500000000004</v>
      </c>
      <c r="L58" s="557">
        <f>K58/J58</f>
        <v>156.02931034482759</v>
      </c>
      <c r="M58" s="579">
        <f>K58*0.8</f>
        <v>3619.8800000000006</v>
      </c>
      <c r="N58" s="108">
        <f t="shared" si="11"/>
        <v>8144.7300000000014</v>
      </c>
      <c r="O58" s="215">
        <f>AVERAGE(M4:M58)</f>
        <v>1509.0187345454549</v>
      </c>
    </row>
    <row r="59" spans="1:17" ht="35.25" customHeight="1" thickBot="1" x14ac:dyDescent="0.3">
      <c r="A59" s="10"/>
      <c r="B59" s="13"/>
      <c r="C59" s="573" t="s">
        <v>5</v>
      </c>
      <c r="D59" s="100"/>
      <c r="E59" s="100"/>
      <c r="F59" s="100"/>
      <c r="G59" s="100"/>
      <c r="H59" s="100"/>
      <c r="I59" s="100"/>
      <c r="J59" s="570">
        <f>SUM(J4:J58)</f>
        <v>603</v>
      </c>
      <c r="K59" s="571">
        <f>SUM(K4:K58)</f>
        <v>103745.03799999999</v>
      </c>
      <c r="L59" s="572">
        <f>K59/J59/2</f>
        <v>86.024077943615239</v>
      </c>
      <c r="M59" s="110">
        <f>SUM(M4:M58)</f>
        <v>82996.030400000018</v>
      </c>
      <c r="N59" s="110">
        <f>SUM(N4:N58)</f>
        <v>186741.06840000002</v>
      </c>
    </row>
    <row r="61" spans="1:17" x14ac:dyDescent="0.25">
      <c r="B61" s="2"/>
      <c r="C61" s="2" t="s">
        <v>6</v>
      </c>
      <c r="E61" s="92"/>
      <c r="F61" s="2"/>
      <c r="G61" s="2" t="s">
        <v>62</v>
      </c>
      <c r="H61" s="9"/>
      <c r="I61" s="2"/>
      <c r="J61" s="2"/>
      <c r="K61" s="2"/>
      <c r="L61" s="2" t="s">
        <v>119</v>
      </c>
      <c r="M61" s="2"/>
      <c r="N61" s="91"/>
      <c r="O61" s="2"/>
    </row>
    <row r="64" spans="1:17" x14ac:dyDescent="0.25">
      <c r="N64" s="583"/>
    </row>
  </sheetData>
  <mergeCells count="29">
    <mergeCell ref="J38:J39"/>
    <mergeCell ref="J24:J25"/>
    <mergeCell ref="J28:J29"/>
    <mergeCell ref="A2:M2"/>
    <mergeCell ref="J10:J11"/>
    <mergeCell ref="J22:J23"/>
    <mergeCell ref="J20:J21"/>
    <mergeCell ref="J17:J18"/>
    <mergeCell ref="J15:J16"/>
    <mergeCell ref="J8:J9"/>
    <mergeCell ref="J13:J14"/>
    <mergeCell ref="J4:J5"/>
    <mergeCell ref="J6:J7"/>
    <mergeCell ref="J46:J47"/>
    <mergeCell ref="J30:J31"/>
    <mergeCell ref="C56:C57"/>
    <mergeCell ref="J56:J57"/>
    <mergeCell ref="C52:C53"/>
    <mergeCell ref="J52:J53"/>
    <mergeCell ref="C54:C55"/>
    <mergeCell ref="J54:J55"/>
    <mergeCell ref="C36:C37"/>
    <mergeCell ref="J36:J37"/>
    <mergeCell ref="J32:J33"/>
    <mergeCell ref="J34:J35"/>
    <mergeCell ref="J48:J49"/>
    <mergeCell ref="J50:J51"/>
    <mergeCell ref="J43:J44"/>
    <mergeCell ref="J40:J41"/>
  </mergeCells>
  <pageMargins left="0.9055118110236221" right="0.31496062992125984" top="0.15748031496062992" bottom="0.15748031496062992" header="0" footer="0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C28" workbookViewId="0">
      <selection activeCell="H1" sqref="H1:H1048576"/>
    </sheetView>
  </sheetViews>
  <sheetFormatPr defaultRowHeight="15" x14ac:dyDescent="0.25"/>
  <cols>
    <col min="1" max="1" width="5.28515625" hidden="1" customWidth="1"/>
    <col min="2" max="2" width="6.85546875" hidden="1" customWidth="1"/>
    <col min="3" max="3" width="23" customWidth="1"/>
    <col min="4" max="4" width="7" style="92" customWidth="1"/>
    <col min="5" max="5" width="14.140625" customWidth="1"/>
    <col min="6" max="6" width="9" customWidth="1"/>
    <col min="7" max="7" width="15" customWidth="1"/>
    <col min="8" max="8" width="12.7109375" hidden="1" customWidth="1"/>
  </cols>
  <sheetData>
    <row r="1" spans="1:14" ht="36" customHeight="1" x14ac:dyDescent="0.25">
      <c r="A1" s="659" t="s">
        <v>249</v>
      </c>
      <c r="B1" s="659"/>
      <c r="C1" s="659"/>
      <c r="D1" s="659"/>
      <c r="E1" s="659"/>
      <c r="F1" s="659"/>
      <c r="G1" s="659"/>
      <c r="H1" s="640"/>
      <c r="I1" s="646"/>
      <c r="J1" s="646"/>
      <c r="K1" s="646"/>
      <c r="L1" s="646"/>
      <c r="M1" s="646"/>
      <c r="N1" s="1"/>
    </row>
    <row r="2" spans="1:14" ht="7.5" customHeight="1" x14ac:dyDescent="0.25"/>
    <row r="3" spans="1:14" ht="40.5" customHeight="1" x14ac:dyDescent="0.25">
      <c r="A3" s="22" t="s">
        <v>2</v>
      </c>
      <c r="B3" s="25"/>
      <c r="C3" s="20" t="s">
        <v>3</v>
      </c>
      <c r="D3" s="102" t="s">
        <v>60</v>
      </c>
      <c r="E3" s="26" t="s">
        <v>55</v>
      </c>
      <c r="F3" s="26" t="s">
        <v>61</v>
      </c>
      <c r="G3" s="24" t="s">
        <v>138</v>
      </c>
      <c r="H3" s="94" t="s">
        <v>282</v>
      </c>
      <c r="I3" s="23"/>
    </row>
    <row r="4" spans="1:14" ht="15.75" customHeight="1" x14ac:dyDescent="0.25">
      <c r="A4" s="15">
        <v>1</v>
      </c>
      <c r="B4" s="12">
        <v>243</v>
      </c>
      <c r="C4" s="87" t="s">
        <v>35</v>
      </c>
      <c r="D4" s="291">
        <v>7</v>
      </c>
      <c r="E4" s="19">
        <v>334.09</v>
      </c>
      <c r="F4" s="19">
        <f>E4/D4</f>
        <v>47.727142857142852</v>
      </c>
      <c r="G4" s="106">
        <f>E4*0.8</f>
        <v>267.27199999999999</v>
      </c>
      <c r="H4" s="644">
        <f>(E4+G4)/D4</f>
        <v>85.908857142857144</v>
      </c>
      <c r="I4" s="23"/>
      <c r="K4">
        <v>497.63</v>
      </c>
    </row>
    <row r="5" spans="1:14" ht="15.75" customHeight="1" x14ac:dyDescent="0.25">
      <c r="A5" s="15">
        <v>2</v>
      </c>
      <c r="B5" s="12">
        <v>1940</v>
      </c>
      <c r="C5" s="87" t="s">
        <v>179</v>
      </c>
      <c r="D5" s="291">
        <v>1</v>
      </c>
      <c r="E5" s="19">
        <v>85.44</v>
      </c>
      <c r="F5" s="19">
        <f>E5/D5</f>
        <v>85.44</v>
      </c>
      <c r="G5" s="106">
        <f>E5*0.8</f>
        <v>68.352000000000004</v>
      </c>
      <c r="H5" s="644">
        <f t="shared" ref="H5:H38" si="0">(E5+G5)/D5</f>
        <v>153.792</v>
      </c>
      <c r="I5" s="23"/>
      <c r="K5">
        <v>497.63</v>
      </c>
    </row>
    <row r="6" spans="1:14" ht="15.75" customHeight="1" x14ac:dyDescent="0.25">
      <c r="A6" s="15">
        <v>3</v>
      </c>
      <c r="B6" s="85">
        <v>1073</v>
      </c>
      <c r="C6" s="88" t="s">
        <v>185</v>
      </c>
      <c r="D6" s="291">
        <v>24</v>
      </c>
      <c r="E6" s="19">
        <v>2014.12</v>
      </c>
      <c r="F6" s="19">
        <f t="shared" ref="F6:F15" si="1">E6/D6</f>
        <v>83.921666666666667</v>
      </c>
      <c r="G6" s="106">
        <f t="shared" ref="G6:G15" si="2">E6*0.8</f>
        <v>1611.296</v>
      </c>
      <c r="H6" s="644">
        <f t="shared" si="0"/>
        <v>151.059</v>
      </c>
      <c r="I6" s="23"/>
    </row>
    <row r="7" spans="1:14" ht="15.75" customHeight="1" x14ac:dyDescent="0.25">
      <c r="A7" s="15">
        <v>4</v>
      </c>
      <c r="B7" s="85">
        <v>1916</v>
      </c>
      <c r="C7" s="87" t="s">
        <v>7</v>
      </c>
      <c r="D7" s="291">
        <v>1</v>
      </c>
      <c r="E7" s="19">
        <v>43.24</v>
      </c>
      <c r="F7" s="19">
        <f t="shared" si="1"/>
        <v>43.24</v>
      </c>
      <c r="G7" s="106">
        <f t="shared" si="2"/>
        <v>34.592000000000006</v>
      </c>
      <c r="H7" s="644">
        <f t="shared" si="0"/>
        <v>77.832000000000008</v>
      </c>
      <c r="I7" s="23"/>
    </row>
    <row r="8" spans="1:14" ht="15.75" customHeight="1" x14ac:dyDescent="0.25">
      <c r="A8" s="15">
        <v>5</v>
      </c>
      <c r="B8" s="85">
        <v>245</v>
      </c>
      <c r="C8" s="88" t="s">
        <v>186</v>
      </c>
      <c r="D8" s="291">
        <v>16</v>
      </c>
      <c r="E8" s="19">
        <v>1459.96</v>
      </c>
      <c r="F8" s="19">
        <f t="shared" si="1"/>
        <v>91.247500000000002</v>
      </c>
      <c r="G8" s="106">
        <f t="shared" si="2"/>
        <v>1167.9680000000001</v>
      </c>
      <c r="H8" s="644">
        <f t="shared" si="0"/>
        <v>164.24549999999999</v>
      </c>
      <c r="I8" s="23"/>
    </row>
    <row r="9" spans="1:14" ht="15.75" customHeight="1" x14ac:dyDescent="0.25">
      <c r="A9" s="15">
        <v>6</v>
      </c>
      <c r="B9" s="12">
        <v>313</v>
      </c>
      <c r="C9" s="87" t="s">
        <v>98</v>
      </c>
      <c r="D9" s="291">
        <v>2</v>
      </c>
      <c r="E9" s="19">
        <v>117.59</v>
      </c>
      <c r="F9" s="19">
        <f t="shared" si="1"/>
        <v>58.795000000000002</v>
      </c>
      <c r="G9" s="106">
        <f t="shared" si="2"/>
        <v>94.072000000000003</v>
      </c>
      <c r="H9" s="644">
        <f t="shared" si="0"/>
        <v>105.831</v>
      </c>
      <c r="I9" s="23"/>
    </row>
    <row r="10" spans="1:14" ht="15.75" customHeight="1" x14ac:dyDescent="0.25">
      <c r="A10" s="15">
        <v>7</v>
      </c>
      <c r="B10" s="85">
        <v>1332</v>
      </c>
      <c r="C10" s="88" t="s">
        <v>10</v>
      </c>
      <c r="D10" s="291">
        <v>6</v>
      </c>
      <c r="E10" s="19">
        <v>394.81</v>
      </c>
      <c r="F10" s="19">
        <f t="shared" si="1"/>
        <v>65.801666666666662</v>
      </c>
      <c r="G10" s="106">
        <f t="shared" si="2"/>
        <v>315.84800000000001</v>
      </c>
      <c r="H10" s="644">
        <f t="shared" si="0"/>
        <v>118.443</v>
      </c>
      <c r="I10" s="23"/>
    </row>
    <row r="11" spans="1:14" ht="16.5" customHeight="1" x14ac:dyDescent="0.25">
      <c r="A11" s="15">
        <v>8</v>
      </c>
      <c r="B11" s="12">
        <v>291</v>
      </c>
      <c r="C11" s="87" t="s">
        <v>24</v>
      </c>
      <c r="D11" s="291">
        <v>4</v>
      </c>
      <c r="E11" s="19">
        <v>392.16</v>
      </c>
      <c r="F11" s="19">
        <f t="shared" si="1"/>
        <v>98.04</v>
      </c>
      <c r="G11" s="106">
        <f t="shared" si="2"/>
        <v>313.72800000000007</v>
      </c>
      <c r="H11" s="644">
        <f t="shared" si="0"/>
        <v>176.47200000000004</v>
      </c>
      <c r="I11" s="23"/>
      <c r="K11">
        <v>498.34</v>
      </c>
    </row>
    <row r="12" spans="1:14" ht="15.75" customHeight="1" x14ac:dyDescent="0.25">
      <c r="A12" s="15">
        <v>9</v>
      </c>
      <c r="B12" s="85">
        <v>1420</v>
      </c>
      <c r="C12" s="88" t="s">
        <v>180</v>
      </c>
      <c r="D12" s="291">
        <v>6</v>
      </c>
      <c r="E12" s="19">
        <v>224.98</v>
      </c>
      <c r="F12" s="19">
        <f t="shared" si="1"/>
        <v>37.496666666666663</v>
      </c>
      <c r="G12" s="106">
        <f t="shared" si="2"/>
        <v>179.98400000000001</v>
      </c>
      <c r="H12" s="644">
        <f t="shared" si="0"/>
        <v>67.494</v>
      </c>
      <c r="I12" s="23"/>
    </row>
    <row r="13" spans="1:14" ht="16.5" customHeight="1" x14ac:dyDescent="0.25">
      <c r="A13" s="15">
        <v>10</v>
      </c>
      <c r="B13" s="18">
        <v>228</v>
      </c>
      <c r="C13" s="21" t="s">
        <v>4</v>
      </c>
      <c r="D13" s="15">
        <v>26</v>
      </c>
      <c r="E13" s="19">
        <v>2322.87</v>
      </c>
      <c r="F13" s="19">
        <f t="shared" si="1"/>
        <v>89.341153846153844</v>
      </c>
      <c r="G13" s="106">
        <f t="shared" si="2"/>
        <v>1858.296</v>
      </c>
      <c r="H13" s="644">
        <f t="shared" si="0"/>
        <v>160.81407692307693</v>
      </c>
      <c r="I13" s="23"/>
      <c r="K13">
        <v>1008.56</v>
      </c>
    </row>
    <row r="14" spans="1:14" ht="15.75" customHeight="1" x14ac:dyDescent="0.25">
      <c r="A14" s="15">
        <v>11</v>
      </c>
      <c r="B14" s="85">
        <v>645</v>
      </c>
      <c r="C14" s="88" t="s">
        <v>63</v>
      </c>
      <c r="D14" s="291">
        <v>1</v>
      </c>
      <c r="E14" s="19">
        <v>26.08</v>
      </c>
      <c r="F14" s="19">
        <f t="shared" si="1"/>
        <v>26.08</v>
      </c>
      <c r="G14" s="106">
        <f t="shared" si="2"/>
        <v>20.864000000000001</v>
      </c>
      <c r="H14" s="644">
        <f t="shared" si="0"/>
        <v>46.944000000000003</v>
      </c>
      <c r="I14" s="23"/>
    </row>
    <row r="15" spans="1:14" ht="16.5" customHeight="1" x14ac:dyDescent="0.25">
      <c r="A15" s="15">
        <v>12</v>
      </c>
      <c r="B15" s="18">
        <v>713</v>
      </c>
      <c r="C15" s="21" t="s">
        <v>15</v>
      </c>
      <c r="D15" s="15">
        <v>15</v>
      </c>
      <c r="E15" s="19">
        <v>1427.1</v>
      </c>
      <c r="F15" s="19">
        <f t="shared" si="1"/>
        <v>95.14</v>
      </c>
      <c r="G15" s="106">
        <f t="shared" si="2"/>
        <v>1141.68</v>
      </c>
      <c r="H15" s="644">
        <f t="shared" si="0"/>
        <v>171.25199999999998</v>
      </c>
      <c r="I15" s="23"/>
      <c r="K15">
        <v>117.56</v>
      </c>
    </row>
    <row r="16" spans="1:14" ht="16.5" customHeight="1" x14ac:dyDescent="0.25">
      <c r="A16" s="15">
        <v>13</v>
      </c>
      <c r="B16" s="15">
        <v>227</v>
      </c>
      <c r="C16" s="21" t="s">
        <v>11</v>
      </c>
      <c r="D16" s="15">
        <v>26</v>
      </c>
      <c r="E16" s="19">
        <v>2194.92</v>
      </c>
      <c r="F16" s="19">
        <f t="shared" ref="F16:F22" si="3">E16/D16</f>
        <v>84.42</v>
      </c>
      <c r="G16" s="106">
        <f t="shared" ref="G16:G26" si="4">E16*0.8</f>
        <v>1755.9360000000001</v>
      </c>
      <c r="H16" s="644">
        <f t="shared" si="0"/>
        <v>151.95600000000002</v>
      </c>
      <c r="I16" s="23"/>
      <c r="K16">
        <v>959.96</v>
      </c>
    </row>
    <row r="17" spans="1:11" ht="16.5" customHeight="1" x14ac:dyDescent="0.25">
      <c r="A17" s="15">
        <v>14</v>
      </c>
      <c r="B17" s="15">
        <v>226</v>
      </c>
      <c r="C17" s="21" t="s">
        <v>12</v>
      </c>
      <c r="D17" s="15">
        <v>26</v>
      </c>
      <c r="E17" s="19">
        <v>2227.08</v>
      </c>
      <c r="F17" s="19">
        <f t="shared" si="3"/>
        <v>85.656923076923078</v>
      </c>
      <c r="G17" s="106">
        <f t="shared" si="4"/>
        <v>1781.664</v>
      </c>
      <c r="H17" s="644">
        <f t="shared" si="0"/>
        <v>154.18246153846152</v>
      </c>
      <c r="I17" s="23"/>
      <c r="K17">
        <v>1004.1</v>
      </c>
    </row>
    <row r="18" spans="1:11" ht="16.5" customHeight="1" x14ac:dyDescent="0.25">
      <c r="A18" s="15">
        <v>15</v>
      </c>
      <c r="B18" s="18">
        <v>290</v>
      </c>
      <c r="C18" s="21" t="s">
        <v>13</v>
      </c>
      <c r="D18" s="15">
        <v>25</v>
      </c>
      <c r="E18" s="19">
        <v>2705.4</v>
      </c>
      <c r="F18" s="19">
        <f t="shared" si="3"/>
        <v>108.21600000000001</v>
      </c>
      <c r="G18" s="106">
        <f t="shared" si="4"/>
        <v>2164.3200000000002</v>
      </c>
      <c r="H18" s="644">
        <f t="shared" si="0"/>
        <v>194.78880000000001</v>
      </c>
      <c r="I18" s="23"/>
      <c r="K18">
        <v>1106.54</v>
      </c>
    </row>
    <row r="19" spans="1:11" ht="16.5" customHeight="1" x14ac:dyDescent="0.25">
      <c r="A19" s="15">
        <v>16</v>
      </c>
      <c r="B19" s="18">
        <v>1366</v>
      </c>
      <c r="C19" s="21" t="s">
        <v>9</v>
      </c>
      <c r="D19" s="15">
        <v>25</v>
      </c>
      <c r="E19" s="19">
        <v>2588.5300000000002</v>
      </c>
      <c r="F19" s="19">
        <f t="shared" si="3"/>
        <v>103.5412</v>
      </c>
      <c r="G19" s="106">
        <f t="shared" si="4"/>
        <v>2070.8240000000001</v>
      </c>
      <c r="H19" s="644">
        <f t="shared" si="0"/>
        <v>186.37416000000002</v>
      </c>
      <c r="I19" s="23"/>
      <c r="K19">
        <v>808.16</v>
      </c>
    </row>
    <row r="20" spans="1:11" ht="15.75" customHeight="1" x14ac:dyDescent="0.25">
      <c r="A20" s="15">
        <v>17</v>
      </c>
      <c r="B20" s="85">
        <v>824</v>
      </c>
      <c r="C20" s="88" t="s">
        <v>181</v>
      </c>
      <c r="D20" s="15">
        <v>3</v>
      </c>
      <c r="E20" s="19">
        <v>250.75</v>
      </c>
      <c r="F20" s="19">
        <f t="shared" si="3"/>
        <v>83.583333333333329</v>
      </c>
      <c r="G20" s="106">
        <f t="shared" si="4"/>
        <v>200.60000000000002</v>
      </c>
      <c r="H20" s="644">
        <f t="shared" si="0"/>
        <v>150.45000000000002</v>
      </c>
      <c r="I20" s="23"/>
    </row>
    <row r="21" spans="1:11" ht="15.75" customHeight="1" x14ac:dyDescent="0.25">
      <c r="A21" s="15">
        <v>18</v>
      </c>
      <c r="B21" s="85">
        <v>1716</v>
      </c>
      <c r="C21" s="88" t="s">
        <v>188</v>
      </c>
      <c r="D21" s="291">
        <v>1</v>
      </c>
      <c r="E21" s="19">
        <v>181.03</v>
      </c>
      <c r="F21" s="19">
        <f t="shared" si="3"/>
        <v>181.03</v>
      </c>
      <c r="G21" s="106">
        <f t="shared" si="4"/>
        <v>144.82400000000001</v>
      </c>
      <c r="H21" s="644">
        <f t="shared" si="0"/>
        <v>325.85400000000004</v>
      </c>
      <c r="I21" s="23"/>
    </row>
    <row r="22" spans="1:11" ht="15.75" customHeight="1" x14ac:dyDescent="0.25">
      <c r="A22" s="15">
        <v>19</v>
      </c>
      <c r="B22" s="85">
        <v>1568</v>
      </c>
      <c r="C22" s="88" t="s">
        <v>189</v>
      </c>
      <c r="D22" s="291">
        <v>12</v>
      </c>
      <c r="E22" s="19">
        <v>767.38</v>
      </c>
      <c r="F22" s="19">
        <f t="shared" si="3"/>
        <v>63.948333333333331</v>
      </c>
      <c r="G22" s="106">
        <f t="shared" si="4"/>
        <v>613.904</v>
      </c>
      <c r="H22" s="644">
        <f t="shared" si="0"/>
        <v>115.10700000000001</v>
      </c>
      <c r="I22" s="23"/>
    </row>
    <row r="23" spans="1:11" ht="16.5" customHeight="1" x14ac:dyDescent="0.25">
      <c r="A23" s="15">
        <v>20</v>
      </c>
      <c r="B23" s="86">
        <v>1512</v>
      </c>
      <c r="C23" s="21" t="s">
        <v>18</v>
      </c>
      <c r="D23" s="15">
        <v>1</v>
      </c>
      <c r="E23" s="19">
        <v>17.2</v>
      </c>
      <c r="F23" s="19">
        <f t="shared" ref="F23:F26" si="5">E23/D23</f>
        <v>17.2</v>
      </c>
      <c r="G23" s="106">
        <f t="shared" si="4"/>
        <v>13.76</v>
      </c>
      <c r="H23" s="644">
        <f t="shared" si="0"/>
        <v>30.96</v>
      </c>
      <c r="I23" s="23"/>
      <c r="K23">
        <v>12.35</v>
      </c>
    </row>
    <row r="24" spans="1:11" ht="16.5" customHeight="1" x14ac:dyDescent="0.25">
      <c r="A24" s="15">
        <v>21</v>
      </c>
      <c r="B24" s="18">
        <v>1365</v>
      </c>
      <c r="C24" s="21" t="s">
        <v>187</v>
      </c>
      <c r="D24" s="15">
        <v>1</v>
      </c>
      <c r="E24" s="19">
        <v>13.7</v>
      </c>
      <c r="F24" s="19">
        <f t="shared" si="5"/>
        <v>13.7</v>
      </c>
      <c r="G24" s="106">
        <f t="shared" si="4"/>
        <v>10.96</v>
      </c>
      <c r="H24" s="644">
        <f t="shared" si="0"/>
        <v>24.66</v>
      </c>
      <c r="K24">
        <v>16.2</v>
      </c>
    </row>
    <row r="25" spans="1:11" ht="16.5" customHeight="1" x14ac:dyDescent="0.25">
      <c r="A25" s="15">
        <v>22</v>
      </c>
      <c r="B25" s="18">
        <v>1706</v>
      </c>
      <c r="C25" s="21" t="s">
        <v>21</v>
      </c>
      <c r="D25" s="15">
        <v>2</v>
      </c>
      <c r="E25" s="19">
        <v>36.08</v>
      </c>
      <c r="F25" s="19">
        <f t="shared" si="5"/>
        <v>18.04</v>
      </c>
      <c r="G25" s="106">
        <f t="shared" si="4"/>
        <v>28.864000000000001</v>
      </c>
      <c r="H25" s="644">
        <f t="shared" si="0"/>
        <v>32.472000000000001</v>
      </c>
      <c r="K25">
        <v>24.62</v>
      </c>
    </row>
    <row r="26" spans="1:11" ht="16.5" customHeight="1" x14ac:dyDescent="0.25">
      <c r="A26" s="15">
        <v>23</v>
      </c>
      <c r="B26" s="18">
        <v>871</v>
      </c>
      <c r="C26" s="21" t="s">
        <v>198</v>
      </c>
      <c r="D26" s="15">
        <v>1</v>
      </c>
      <c r="E26" s="19">
        <v>8.65</v>
      </c>
      <c r="F26" s="19">
        <f t="shared" si="5"/>
        <v>8.65</v>
      </c>
      <c r="G26" s="106">
        <f t="shared" si="4"/>
        <v>6.9200000000000008</v>
      </c>
      <c r="H26" s="644">
        <f t="shared" si="0"/>
        <v>15.57</v>
      </c>
      <c r="K26">
        <v>51.83</v>
      </c>
    </row>
    <row r="27" spans="1:11" ht="15.75" customHeight="1" x14ac:dyDescent="0.25">
      <c r="A27" s="15">
        <v>24</v>
      </c>
      <c r="B27" s="85">
        <v>843</v>
      </c>
      <c r="C27" s="88" t="s">
        <v>113</v>
      </c>
      <c r="D27" s="291">
        <v>23</v>
      </c>
      <c r="E27" s="19">
        <v>676.45</v>
      </c>
      <c r="F27" s="19">
        <f t="shared" ref="F27:F38" si="6">E27/D27</f>
        <v>29.410869565217393</v>
      </c>
      <c r="G27" s="106">
        <f t="shared" ref="G27" si="7">E27*0.8</f>
        <v>541.16000000000008</v>
      </c>
      <c r="H27" s="644">
        <f t="shared" si="0"/>
        <v>52.939565217391312</v>
      </c>
      <c r="I27" s="23"/>
      <c r="K27">
        <v>498.43</v>
      </c>
    </row>
    <row r="28" spans="1:11" ht="15.75" customHeight="1" x14ac:dyDescent="0.25">
      <c r="A28" s="15">
        <v>25</v>
      </c>
      <c r="B28" s="85">
        <v>674</v>
      </c>
      <c r="C28" s="88" t="s">
        <v>250</v>
      </c>
      <c r="D28" s="291">
        <v>23</v>
      </c>
      <c r="E28" s="19">
        <v>676.45</v>
      </c>
      <c r="F28" s="19">
        <f t="shared" si="6"/>
        <v>29.410869565217393</v>
      </c>
      <c r="G28" s="106">
        <f t="shared" ref="G28" si="8">E28*0.8</f>
        <v>541.16000000000008</v>
      </c>
      <c r="H28" s="644">
        <f t="shared" si="0"/>
        <v>52.939565217391312</v>
      </c>
      <c r="I28" s="23"/>
    </row>
    <row r="29" spans="1:11" ht="16.5" customHeight="1" x14ac:dyDescent="0.25">
      <c r="A29" s="15">
        <v>26</v>
      </c>
      <c r="B29" s="12">
        <v>725</v>
      </c>
      <c r="C29" s="87" t="s">
        <v>54</v>
      </c>
      <c r="D29" s="291">
        <v>20</v>
      </c>
      <c r="E29" s="19">
        <v>743.75</v>
      </c>
      <c r="F29" s="19">
        <f t="shared" si="6"/>
        <v>37.1875</v>
      </c>
      <c r="G29" s="106">
        <f t="shared" ref="G29:G38" si="9">E29*0.8</f>
        <v>595</v>
      </c>
      <c r="H29" s="644">
        <f t="shared" si="0"/>
        <v>66.9375</v>
      </c>
      <c r="I29" s="23"/>
      <c r="K29">
        <v>481.95</v>
      </c>
    </row>
    <row r="30" spans="1:11" ht="16.5" customHeight="1" x14ac:dyDescent="0.25">
      <c r="A30" s="15">
        <v>27</v>
      </c>
      <c r="B30" s="12">
        <v>1916</v>
      </c>
      <c r="C30" s="87" t="s">
        <v>7</v>
      </c>
      <c r="D30" s="291">
        <v>20</v>
      </c>
      <c r="E30" s="19">
        <v>743.75</v>
      </c>
      <c r="F30" s="19">
        <f t="shared" si="6"/>
        <v>37.1875</v>
      </c>
      <c r="G30" s="106">
        <f t="shared" si="9"/>
        <v>595</v>
      </c>
      <c r="H30" s="644">
        <f t="shared" si="0"/>
        <v>66.9375</v>
      </c>
      <c r="I30" s="23"/>
      <c r="K30">
        <v>481.95</v>
      </c>
    </row>
    <row r="31" spans="1:11" ht="16.5" customHeight="1" x14ac:dyDescent="0.25">
      <c r="A31" s="15">
        <v>28</v>
      </c>
      <c r="B31" s="12">
        <v>691</v>
      </c>
      <c r="C31" s="87" t="s">
        <v>8</v>
      </c>
      <c r="D31" s="291">
        <v>28</v>
      </c>
      <c r="E31" s="19">
        <v>1228.51</v>
      </c>
      <c r="F31" s="19">
        <f t="shared" si="6"/>
        <v>43.875357142857141</v>
      </c>
      <c r="G31" s="106">
        <f t="shared" si="9"/>
        <v>982.80799999999999</v>
      </c>
      <c r="H31" s="644">
        <f t="shared" si="0"/>
        <v>78.975642857142859</v>
      </c>
      <c r="I31" s="23"/>
      <c r="K31">
        <v>591.61</v>
      </c>
    </row>
    <row r="32" spans="1:11" ht="16.5" customHeight="1" x14ac:dyDescent="0.25">
      <c r="A32" s="15">
        <v>29</v>
      </c>
      <c r="B32" s="12">
        <v>247</v>
      </c>
      <c r="C32" s="87" t="s">
        <v>112</v>
      </c>
      <c r="D32" s="291">
        <v>28</v>
      </c>
      <c r="E32" s="306">
        <v>1228.51</v>
      </c>
      <c r="F32" s="19">
        <f t="shared" si="6"/>
        <v>43.875357142857141</v>
      </c>
      <c r="G32" s="106">
        <f t="shared" si="9"/>
        <v>982.80799999999999</v>
      </c>
      <c r="H32" s="644">
        <f t="shared" si="0"/>
        <v>78.975642857142859</v>
      </c>
      <c r="I32" s="23"/>
      <c r="K32">
        <v>591.61</v>
      </c>
    </row>
    <row r="33" spans="1:12" ht="16.5" customHeight="1" x14ac:dyDescent="0.25">
      <c r="A33" s="15">
        <v>30</v>
      </c>
      <c r="B33" s="12">
        <v>313</v>
      </c>
      <c r="C33" s="87" t="s">
        <v>98</v>
      </c>
      <c r="D33" s="291">
        <v>23</v>
      </c>
      <c r="E33" s="19">
        <v>980.96</v>
      </c>
      <c r="F33" s="19">
        <f t="shared" si="6"/>
        <v>42.650434782608698</v>
      </c>
      <c r="G33" s="106">
        <f t="shared" si="9"/>
        <v>784.76800000000003</v>
      </c>
      <c r="H33" s="644">
        <f t="shared" si="0"/>
        <v>76.770782608695654</v>
      </c>
      <c r="I33" s="23"/>
      <c r="K33">
        <v>592.19000000000005</v>
      </c>
    </row>
    <row r="34" spans="1:12" ht="16.5" customHeight="1" x14ac:dyDescent="0.25">
      <c r="A34" s="15">
        <v>31</v>
      </c>
      <c r="B34" s="12">
        <v>129</v>
      </c>
      <c r="C34" s="87" t="s">
        <v>97</v>
      </c>
      <c r="D34" s="291">
        <v>23</v>
      </c>
      <c r="E34" s="19">
        <v>980.96</v>
      </c>
      <c r="F34" s="19">
        <f t="shared" si="6"/>
        <v>42.650434782608698</v>
      </c>
      <c r="G34" s="106">
        <f t="shared" si="9"/>
        <v>784.76800000000003</v>
      </c>
      <c r="H34" s="644">
        <f t="shared" si="0"/>
        <v>76.770782608695654</v>
      </c>
      <c r="I34" s="23"/>
      <c r="K34">
        <v>592.19000000000005</v>
      </c>
    </row>
    <row r="35" spans="1:12" ht="16.5" customHeight="1" x14ac:dyDescent="0.25">
      <c r="A35" s="15">
        <v>32</v>
      </c>
      <c r="B35" s="12">
        <v>757</v>
      </c>
      <c r="C35" s="87" t="s">
        <v>32</v>
      </c>
      <c r="D35" s="291">
        <v>28</v>
      </c>
      <c r="E35" s="19">
        <v>769.71</v>
      </c>
      <c r="F35" s="19">
        <f t="shared" si="6"/>
        <v>27.489642857142858</v>
      </c>
      <c r="G35" s="106">
        <f t="shared" si="9"/>
        <v>615.76800000000003</v>
      </c>
      <c r="H35" s="644">
        <f t="shared" si="0"/>
        <v>49.481357142857142</v>
      </c>
      <c r="I35" s="23"/>
      <c r="K35">
        <v>397.83</v>
      </c>
    </row>
    <row r="36" spans="1:12" ht="16.5" customHeight="1" x14ac:dyDescent="0.25">
      <c r="A36" s="15">
        <v>33</v>
      </c>
      <c r="B36" s="12">
        <v>190</v>
      </c>
      <c r="C36" s="87" t="s">
        <v>111</v>
      </c>
      <c r="D36" s="291">
        <v>28</v>
      </c>
      <c r="E36" s="19">
        <v>769.71</v>
      </c>
      <c r="F36" s="19">
        <f t="shared" si="6"/>
        <v>27.489642857142858</v>
      </c>
      <c r="G36" s="106">
        <f t="shared" si="9"/>
        <v>615.76800000000003</v>
      </c>
      <c r="H36" s="644">
        <f t="shared" si="0"/>
        <v>49.481357142857142</v>
      </c>
      <c r="I36" s="23"/>
      <c r="K36">
        <v>397.83</v>
      </c>
    </row>
    <row r="37" spans="1:12" ht="16.5" customHeight="1" x14ac:dyDescent="0.25">
      <c r="A37" s="15">
        <v>34</v>
      </c>
      <c r="B37" s="12">
        <v>291</v>
      </c>
      <c r="C37" s="87" t="s">
        <v>24</v>
      </c>
      <c r="D37" s="291">
        <v>16</v>
      </c>
      <c r="E37" s="19">
        <v>577.75</v>
      </c>
      <c r="F37" s="19">
        <f t="shared" si="6"/>
        <v>36.109375</v>
      </c>
      <c r="G37" s="106">
        <f t="shared" si="9"/>
        <v>462.20000000000005</v>
      </c>
      <c r="H37" s="644">
        <f t="shared" si="0"/>
        <v>64.996875000000003</v>
      </c>
      <c r="I37" s="23"/>
      <c r="K37">
        <v>498.34</v>
      </c>
    </row>
    <row r="38" spans="1:12" ht="16.5" customHeight="1" x14ac:dyDescent="0.25">
      <c r="A38" s="15">
        <v>35</v>
      </c>
      <c r="B38" s="12">
        <v>161</v>
      </c>
      <c r="C38" s="87" t="s">
        <v>53</v>
      </c>
      <c r="D38" s="291">
        <v>16</v>
      </c>
      <c r="E38" s="19">
        <v>577.75</v>
      </c>
      <c r="F38" s="19">
        <f t="shared" si="6"/>
        <v>36.109375</v>
      </c>
      <c r="G38" s="106">
        <f t="shared" si="9"/>
        <v>462.20000000000005</v>
      </c>
      <c r="H38" s="644">
        <f t="shared" si="0"/>
        <v>64.996875000000003</v>
      </c>
      <c r="I38" s="23"/>
      <c r="K38">
        <v>498.34</v>
      </c>
    </row>
    <row r="39" spans="1:12" x14ac:dyDescent="0.25">
      <c r="A39" s="7"/>
      <c r="B39" s="7"/>
      <c r="C39" s="7"/>
      <c r="D39" s="12"/>
      <c r="E39" s="307">
        <f>SUM(E4:E38)</f>
        <v>29787.42</v>
      </c>
      <c r="F39" s="17"/>
      <c r="G39" s="17">
        <f>SUM(G4:G38)</f>
        <v>23829.936000000005</v>
      </c>
      <c r="H39" s="101"/>
      <c r="K39">
        <f>SUM(K4:K38)</f>
        <v>12225.750000000002</v>
      </c>
    </row>
    <row r="40" spans="1:12" x14ac:dyDescent="0.25">
      <c r="E40" s="1"/>
      <c r="F40" s="1"/>
      <c r="G40" s="9"/>
    </row>
    <row r="41" spans="1:12" x14ac:dyDescent="0.25">
      <c r="B41" s="2" t="s">
        <v>6</v>
      </c>
      <c r="E41" s="2"/>
      <c r="F41" s="2" t="s">
        <v>119</v>
      </c>
      <c r="G41" s="9"/>
    </row>
    <row r="43" spans="1:12" ht="36" customHeight="1" x14ac:dyDescent="0.25">
      <c r="A43" s="659" t="s">
        <v>253</v>
      </c>
      <c r="B43" s="659"/>
      <c r="C43" s="659"/>
      <c r="D43" s="659"/>
      <c r="E43" s="659"/>
      <c r="F43" s="659"/>
      <c r="G43" s="659"/>
    </row>
    <row r="44" spans="1:12" ht="7.5" customHeight="1" x14ac:dyDescent="0.25"/>
    <row r="45" spans="1:12" ht="44.25" customHeight="1" x14ac:dyDescent="0.25">
      <c r="A45" s="22" t="s">
        <v>2</v>
      </c>
      <c r="B45" s="25"/>
      <c r="C45" s="20" t="s">
        <v>3</v>
      </c>
      <c r="D45" s="102" t="s">
        <v>60</v>
      </c>
      <c r="E45" s="26" t="s">
        <v>55</v>
      </c>
      <c r="F45" s="26" t="s">
        <v>61</v>
      </c>
      <c r="G45" s="24" t="s">
        <v>138</v>
      </c>
      <c r="H45" s="94" t="s">
        <v>282</v>
      </c>
      <c r="J45" s="92" t="s">
        <v>251</v>
      </c>
      <c r="K45" s="619" t="s">
        <v>252</v>
      </c>
    </row>
    <row r="46" spans="1:12" ht="15.75" customHeight="1" x14ac:dyDescent="0.25">
      <c r="A46" s="15">
        <v>1</v>
      </c>
      <c r="B46" s="590">
        <v>191</v>
      </c>
      <c r="C46" s="593" t="s">
        <v>193</v>
      </c>
      <c r="D46" s="291">
        <v>3</v>
      </c>
      <c r="E46" s="19">
        <v>106.4</v>
      </c>
      <c r="F46" s="19">
        <f>E46/D46</f>
        <v>35.466666666666669</v>
      </c>
      <c r="G46" s="106">
        <f>E46*0.8</f>
        <v>85.12</v>
      </c>
      <c r="H46" s="644">
        <f>(E46+G46)/D46</f>
        <v>63.84</v>
      </c>
      <c r="I46" s="23">
        <v>23</v>
      </c>
      <c r="J46">
        <v>14</v>
      </c>
      <c r="K46">
        <f>I46-J46</f>
        <v>9</v>
      </c>
      <c r="L46">
        <f>J46*4.45+K46*4.9</f>
        <v>106.4</v>
      </c>
    </row>
    <row r="47" spans="1:12" ht="15.75" customHeight="1" x14ac:dyDescent="0.25">
      <c r="A47" s="20">
        <f>A46+1</f>
        <v>2</v>
      </c>
      <c r="B47" s="590">
        <v>699</v>
      </c>
      <c r="C47" s="593" t="s">
        <v>194</v>
      </c>
      <c r="D47" s="291">
        <v>1</v>
      </c>
      <c r="E47" s="19">
        <v>48.95</v>
      </c>
      <c r="F47" s="19">
        <f>E47/D47</f>
        <v>48.95</v>
      </c>
      <c r="G47" s="106">
        <f t="shared" ref="G47:G48" si="10">E47*0.8</f>
        <v>39.160000000000004</v>
      </c>
      <c r="H47" s="644">
        <f t="shared" ref="H47:H57" si="11">(E47+G47)/D47</f>
        <v>88.110000000000014</v>
      </c>
      <c r="I47" s="23">
        <v>11</v>
      </c>
      <c r="J47">
        <v>11</v>
      </c>
      <c r="K47">
        <f t="shared" ref="K47:K57" si="12">I47-J47</f>
        <v>0</v>
      </c>
      <c r="L47">
        <f t="shared" ref="L47:L51" si="13">J47*4.45+K47*4.9</f>
        <v>48.95</v>
      </c>
    </row>
    <row r="48" spans="1:12" ht="16.5" customHeight="1" x14ac:dyDescent="0.25">
      <c r="A48" s="15">
        <f t="shared" ref="A48:A57" si="14">A47+1</f>
        <v>3</v>
      </c>
      <c r="B48" s="590">
        <v>135</v>
      </c>
      <c r="C48" s="593" t="s">
        <v>195</v>
      </c>
      <c r="D48" s="325">
        <v>9</v>
      </c>
      <c r="E48" s="19">
        <v>402.55000000000007</v>
      </c>
      <c r="F48" s="19">
        <f t="shared" ref="F48" si="15">E48/D48</f>
        <v>44.727777777777789</v>
      </c>
      <c r="G48" s="106">
        <f t="shared" si="10"/>
        <v>322.04000000000008</v>
      </c>
      <c r="H48" s="644">
        <f t="shared" si="11"/>
        <v>80.510000000000019</v>
      </c>
      <c r="I48" s="23">
        <v>85</v>
      </c>
      <c r="J48">
        <v>31</v>
      </c>
      <c r="K48">
        <f t="shared" si="12"/>
        <v>54</v>
      </c>
      <c r="L48">
        <f t="shared" si="13"/>
        <v>402.55000000000007</v>
      </c>
    </row>
    <row r="49" spans="1:12" ht="15.75" x14ac:dyDescent="0.25">
      <c r="A49" s="15">
        <f t="shared" si="14"/>
        <v>4</v>
      </c>
      <c r="B49" s="590">
        <v>1548</v>
      </c>
      <c r="C49" s="593" t="s">
        <v>247</v>
      </c>
      <c r="D49" s="325">
        <v>1</v>
      </c>
      <c r="E49" s="19">
        <v>22.25</v>
      </c>
      <c r="F49" s="19">
        <f t="shared" ref="F49" si="16">E49/D49</f>
        <v>22.25</v>
      </c>
      <c r="G49" s="106">
        <f t="shared" ref="G49" si="17">E49*0.8</f>
        <v>17.8</v>
      </c>
      <c r="H49" s="644">
        <f t="shared" si="11"/>
        <v>40.049999999999997</v>
      </c>
      <c r="I49">
        <v>5</v>
      </c>
      <c r="J49">
        <v>5</v>
      </c>
      <c r="K49">
        <f t="shared" si="12"/>
        <v>0</v>
      </c>
      <c r="L49">
        <f t="shared" si="13"/>
        <v>22.25</v>
      </c>
    </row>
    <row r="50" spans="1:12" ht="15.75" x14ac:dyDescent="0.25">
      <c r="A50" s="15">
        <f t="shared" si="14"/>
        <v>5</v>
      </c>
      <c r="B50" s="590">
        <v>1249</v>
      </c>
      <c r="C50" s="593" t="s">
        <v>245</v>
      </c>
      <c r="D50" s="291">
        <v>2</v>
      </c>
      <c r="E50" s="19">
        <v>102.35000000000001</v>
      </c>
      <c r="F50" s="19">
        <f>E50/D50</f>
        <v>51.175000000000004</v>
      </c>
      <c r="G50" s="106">
        <f>E50*0.8</f>
        <v>81.88000000000001</v>
      </c>
      <c r="H50" s="644">
        <f t="shared" si="11"/>
        <v>92.115000000000009</v>
      </c>
      <c r="I50">
        <v>23</v>
      </c>
      <c r="J50">
        <v>23</v>
      </c>
      <c r="K50">
        <f t="shared" si="12"/>
        <v>0</v>
      </c>
      <c r="L50">
        <f t="shared" si="13"/>
        <v>102.35000000000001</v>
      </c>
    </row>
    <row r="51" spans="1:12" ht="15.75" x14ac:dyDescent="0.25">
      <c r="A51" s="15">
        <f t="shared" si="14"/>
        <v>6</v>
      </c>
      <c r="B51" s="590">
        <v>672</v>
      </c>
      <c r="C51" s="593" t="s">
        <v>246</v>
      </c>
      <c r="D51" s="291">
        <v>2</v>
      </c>
      <c r="E51" s="19">
        <v>93.45</v>
      </c>
      <c r="F51" s="19">
        <f>E51/D51</f>
        <v>46.725000000000001</v>
      </c>
      <c r="G51" s="106">
        <f t="shared" ref="G51:G53" si="18">E51*0.8</f>
        <v>74.760000000000005</v>
      </c>
      <c r="H51" s="644">
        <f t="shared" si="11"/>
        <v>84.105000000000004</v>
      </c>
      <c r="I51">
        <v>21</v>
      </c>
      <c r="J51">
        <v>21</v>
      </c>
      <c r="K51">
        <f t="shared" si="12"/>
        <v>0</v>
      </c>
      <c r="L51">
        <f t="shared" si="13"/>
        <v>93.45</v>
      </c>
    </row>
    <row r="52" spans="1:12" ht="15.75" x14ac:dyDescent="0.25">
      <c r="A52" s="15">
        <f t="shared" si="14"/>
        <v>7</v>
      </c>
      <c r="B52" s="590">
        <v>1585</v>
      </c>
      <c r="C52" s="593" t="s">
        <v>196</v>
      </c>
      <c r="D52" s="325">
        <v>17</v>
      </c>
      <c r="E52" s="19">
        <v>726.5</v>
      </c>
      <c r="F52" s="19">
        <f t="shared" ref="F52:F53" si="19">E52/D52</f>
        <v>42.735294117647058</v>
      </c>
      <c r="G52" s="106">
        <f t="shared" si="18"/>
        <v>581.20000000000005</v>
      </c>
      <c r="H52" s="644">
        <f t="shared" si="11"/>
        <v>76.923529411764704</v>
      </c>
      <c r="I52">
        <v>156</v>
      </c>
      <c r="J52">
        <v>70</v>
      </c>
      <c r="K52">
        <f t="shared" si="12"/>
        <v>86</v>
      </c>
      <c r="L52">
        <f>J52*4.42+K52*4.85</f>
        <v>726.5</v>
      </c>
    </row>
    <row r="53" spans="1:12" ht="15.75" x14ac:dyDescent="0.25">
      <c r="A53" s="15">
        <f t="shared" si="14"/>
        <v>8</v>
      </c>
      <c r="B53" s="590">
        <v>978</v>
      </c>
      <c r="C53" s="593" t="s">
        <v>233</v>
      </c>
      <c r="D53" s="325">
        <v>21</v>
      </c>
      <c r="E53" s="19">
        <v>893.48</v>
      </c>
      <c r="F53" s="19">
        <f t="shared" si="19"/>
        <v>42.546666666666667</v>
      </c>
      <c r="G53" s="106">
        <f t="shared" si="18"/>
        <v>714.78400000000011</v>
      </c>
      <c r="H53" s="644">
        <f t="shared" si="11"/>
        <v>76.584000000000003</v>
      </c>
      <c r="I53">
        <v>193</v>
      </c>
      <c r="J53">
        <v>99</v>
      </c>
      <c r="K53">
        <f t="shared" si="12"/>
        <v>94</v>
      </c>
      <c r="L53">
        <f t="shared" ref="L53:L57" si="20">J53*4.42+K53*4.85</f>
        <v>893.48</v>
      </c>
    </row>
    <row r="54" spans="1:12" ht="15.75" x14ac:dyDescent="0.25">
      <c r="A54" s="15">
        <f t="shared" si="14"/>
        <v>9</v>
      </c>
      <c r="B54" s="590">
        <v>1874</v>
      </c>
      <c r="C54" s="593" t="s">
        <v>248</v>
      </c>
      <c r="D54" s="291">
        <v>10</v>
      </c>
      <c r="E54" s="19">
        <v>464.09999999999997</v>
      </c>
      <c r="F54" s="19">
        <f>E54/D54</f>
        <v>46.41</v>
      </c>
      <c r="G54" s="106">
        <f>E54*0.8</f>
        <v>371.28</v>
      </c>
      <c r="H54" s="644">
        <f t="shared" si="11"/>
        <v>83.537999999999982</v>
      </c>
      <c r="I54">
        <v>105</v>
      </c>
      <c r="J54">
        <v>105</v>
      </c>
      <c r="K54">
        <f t="shared" si="12"/>
        <v>0</v>
      </c>
      <c r="L54">
        <f t="shared" si="20"/>
        <v>464.09999999999997</v>
      </c>
    </row>
    <row r="55" spans="1:12" ht="15.75" x14ac:dyDescent="0.25">
      <c r="A55" s="15">
        <f t="shared" si="14"/>
        <v>10</v>
      </c>
      <c r="B55" s="590">
        <v>243</v>
      </c>
      <c r="C55" s="593" t="s">
        <v>35</v>
      </c>
      <c r="D55" s="291">
        <v>1</v>
      </c>
      <c r="E55" s="19">
        <v>33.949999999999996</v>
      </c>
      <c r="F55" s="19">
        <f>E55/D55</f>
        <v>33.949999999999996</v>
      </c>
      <c r="G55" s="106">
        <f t="shared" ref="G55:G56" si="21">E55*0.8</f>
        <v>27.159999999999997</v>
      </c>
      <c r="H55" s="644">
        <f t="shared" si="11"/>
        <v>61.109999999999992</v>
      </c>
      <c r="I55">
        <v>7</v>
      </c>
      <c r="J55">
        <v>0</v>
      </c>
      <c r="K55">
        <f t="shared" si="12"/>
        <v>7</v>
      </c>
      <c r="L55">
        <f t="shared" si="20"/>
        <v>33.949999999999996</v>
      </c>
    </row>
    <row r="56" spans="1:12" ht="15.75" x14ac:dyDescent="0.25">
      <c r="A56" s="15">
        <f t="shared" si="14"/>
        <v>11</v>
      </c>
      <c r="B56" s="590">
        <v>129</v>
      </c>
      <c r="C56" s="593" t="s">
        <v>221</v>
      </c>
      <c r="D56" s="325">
        <v>2</v>
      </c>
      <c r="E56" s="19">
        <v>51.2</v>
      </c>
      <c r="F56" s="19">
        <f t="shared" ref="F56:F57" si="22">E56/D56</f>
        <v>25.6</v>
      </c>
      <c r="G56" s="106">
        <f t="shared" si="21"/>
        <v>40.960000000000008</v>
      </c>
      <c r="H56" s="644">
        <f t="shared" si="11"/>
        <v>46.080000000000005</v>
      </c>
      <c r="I56">
        <v>11</v>
      </c>
      <c r="J56">
        <v>5</v>
      </c>
      <c r="K56">
        <f t="shared" si="12"/>
        <v>6</v>
      </c>
      <c r="L56">
        <f t="shared" si="20"/>
        <v>51.2</v>
      </c>
    </row>
    <row r="57" spans="1:12" ht="15.75" x14ac:dyDescent="0.25">
      <c r="A57" s="15">
        <f t="shared" si="14"/>
        <v>12</v>
      </c>
      <c r="B57" s="590">
        <v>1420</v>
      </c>
      <c r="C57" s="593" t="s">
        <v>180</v>
      </c>
      <c r="D57" s="325">
        <v>1</v>
      </c>
      <c r="E57" s="19">
        <v>19.399999999999999</v>
      </c>
      <c r="F57" s="19">
        <f t="shared" si="22"/>
        <v>19.399999999999999</v>
      </c>
      <c r="G57" s="106">
        <f>E57*0.8</f>
        <v>15.52</v>
      </c>
      <c r="H57" s="644">
        <f t="shared" si="11"/>
        <v>34.92</v>
      </c>
      <c r="I57">
        <v>4</v>
      </c>
      <c r="J57">
        <v>0</v>
      </c>
      <c r="K57">
        <f t="shared" si="12"/>
        <v>4</v>
      </c>
      <c r="L57">
        <f t="shared" si="20"/>
        <v>19.399999999999999</v>
      </c>
    </row>
    <row r="58" spans="1:12" ht="15.75" x14ac:dyDescent="0.25">
      <c r="A58" s="7"/>
      <c r="B58" s="7"/>
      <c r="C58" s="7"/>
      <c r="D58" s="12"/>
      <c r="E58" s="307">
        <f>SUM(E46:E57)</f>
        <v>2964.58</v>
      </c>
      <c r="F58" s="17"/>
      <c r="G58" s="645">
        <f>SUM(G46:G57)</f>
        <v>2371.6640000000002</v>
      </c>
      <c r="H58" s="101"/>
      <c r="K58">
        <f>SUM(K23:K57)</f>
        <v>18213.020000000004</v>
      </c>
    </row>
    <row r="60" spans="1:12" x14ac:dyDescent="0.25">
      <c r="B60" s="2" t="s">
        <v>6</v>
      </c>
      <c r="E60" s="2"/>
      <c r="F60" s="2" t="s">
        <v>119</v>
      </c>
    </row>
  </sheetData>
  <mergeCells count="2">
    <mergeCell ref="A1:G1"/>
    <mergeCell ref="A43:G43"/>
  </mergeCells>
  <pageMargins left="0.9055118110236221" right="0.31496062992125984" top="0.74803149606299213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6"/>
  <sheetViews>
    <sheetView workbookViewId="0">
      <selection activeCell="B22" sqref="B22:X27"/>
    </sheetView>
  </sheetViews>
  <sheetFormatPr defaultRowHeight="15" x14ac:dyDescent="0.25"/>
  <cols>
    <col min="1" max="1" width="3.42578125" customWidth="1"/>
    <col min="2" max="2" width="25.85546875" customWidth="1"/>
    <col min="3" max="3" width="17.28515625" customWidth="1"/>
    <col min="4" max="7" width="9.140625" hidden="1" customWidth="1"/>
    <col min="8" max="8" width="9.28515625" hidden="1" customWidth="1"/>
    <col min="9" max="12" width="9.140625" hidden="1" customWidth="1"/>
    <col min="13" max="13" width="9.28515625" hidden="1" customWidth="1"/>
    <col min="14" max="14" width="9.140625" hidden="1" customWidth="1"/>
    <col min="15" max="15" width="13.28515625" hidden="1" customWidth="1"/>
    <col min="16" max="16" width="1.7109375" hidden="1" customWidth="1"/>
    <col min="17" max="17" width="12.42578125" hidden="1" customWidth="1"/>
    <col min="18" max="18" width="12.7109375" hidden="1" customWidth="1"/>
    <col min="19" max="19" width="10.28515625" hidden="1" customWidth="1"/>
    <col min="20" max="20" width="11.28515625" hidden="1" customWidth="1"/>
    <col min="21" max="21" width="12.42578125" hidden="1" customWidth="1"/>
    <col min="22" max="22" width="12.7109375" hidden="1" customWidth="1"/>
    <col min="23" max="23" width="12.7109375" customWidth="1"/>
    <col min="24" max="24" width="14.5703125" customWidth="1"/>
    <col min="25" max="25" width="12.28515625" customWidth="1"/>
    <col min="26" max="26" width="12.5703125" customWidth="1"/>
  </cols>
  <sheetData>
    <row r="1" spans="1:25" ht="37.5" customHeight="1" x14ac:dyDescent="0.3">
      <c r="B1" s="661" t="s">
        <v>141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</row>
    <row r="2" spans="1:25" ht="18.75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</row>
    <row r="3" spans="1:25" ht="15.75" x14ac:dyDescent="0.25">
      <c r="A3" s="64"/>
      <c r="B3" s="65" t="s">
        <v>140</v>
      </c>
      <c r="C3" s="66"/>
      <c r="D3" s="67"/>
      <c r="E3" s="68"/>
      <c r="F3" s="68"/>
      <c r="G3" s="68"/>
      <c r="H3" s="69"/>
      <c r="I3" s="38"/>
      <c r="J3" s="69"/>
      <c r="K3" s="69"/>
      <c r="L3" s="69"/>
      <c r="M3" s="84" t="s">
        <v>56</v>
      </c>
      <c r="N3" s="68"/>
      <c r="O3" s="84" t="s">
        <v>57</v>
      </c>
      <c r="P3" s="70"/>
      <c r="Q3" s="103" t="s">
        <v>58</v>
      </c>
      <c r="R3" s="104" t="s">
        <v>52</v>
      </c>
      <c r="S3" s="28"/>
      <c r="T3" s="6" t="s">
        <v>56</v>
      </c>
      <c r="U3" s="6" t="s">
        <v>57</v>
      </c>
      <c r="V3" s="6" t="s">
        <v>135</v>
      </c>
      <c r="W3" s="6"/>
      <c r="X3" s="304" t="s">
        <v>139</v>
      </c>
      <c r="Y3" s="28"/>
    </row>
    <row r="4" spans="1:25" ht="15.75" x14ac:dyDescent="0.25">
      <c r="A4" s="64">
        <v>1</v>
      </c>
      <c r="B4" s="64" t="s">
        <v>36</v>
      </c>
      <c r="C4" s="66" t="s">
        <v>37</v>
      </c>
      <c r="D4" s="67">
        <v>1</v>
      </c>
      <c r="E4" s="71"/>
      <c r="F4" s="71">
        <v>18</v>
      </c>
      <c r="G4" s="72">
        <v>4.26</v>
      </c>
      <c r="H4" s="73">
        <f t="shared" ref="H4:H12" si="0">G4*53.25</f>
        <v>226.845</v>
      </c>
      <c r="I4" s="74">
        <v>210</v>
      </c>
      <c r="J4" s="73">
        <f t="shared" ref="J4:J12" si="1">I4*H4/100</f>
        <v>476.37449999999995</v>
      </c>
      <c r="K4" s="73"/>
      <c r="L4" s="75">
        <f t="shared" ref="L4:L12" si="2">H4*0.5</f>
        <v>113.4225</v>
      </c>
      <c r="M4" s="75">
        <f t="shared" ref="M4:M12" si="3">L4+K4+J4+H4</f>
        <v>816.64199999999994</v>
      </c>
      <c r="N4" s="76">
        <v>135</v>
      </c>
      <c r="O4" s="77">
        <f t="shared" ref="O4:O12" si="4">M4*N4/100+M4</f>
        <v>1919.1086999999998</v>
      </c>
      <c r="P4" s="78"/>
      <c r="Q4" s="79">
        <f>M4*2</f>
        <v>1633.2839999999999</v>
      </c>
      <c r="R4" s="89">
        <v>1528.28</v>
      </c>
      <c r="S4" s="28"/>
      <c r="T4" s="93">
        <v>816.64199999999994</v>
      </c>
      <c r="U4" s="93">
        <v>2204.9299999999998</v>
      </c>
      <c r="V4" s="93">
        <f>T4+U4</f>
        <v>3021.5719999999997</v>
      </c>
      <c r="W4" s="93"/>
      <c r="X4" s="75">
        <f>V4</f>
        <v>3021.5719999999997</v>
      </c>
      <c r="Y4" s="28"/>
    </row>
    <row r="5" spans="1:25" ht="15.75" customHeight="1" x14ac:dyDescent="0.25">
      <c r="A5" s="64">
        <f t="shared" ref="A5:A11" si="5">A4+1</f>
        <v>2</v>
      </c>
      <c r="B5" s="80" t="s">
        <v>38</v>
      </c>
      <c r="C5" s="81" t="s">
        <v>14</v>
      </c>
      <c r="D5" s="67">
        <v>1</v>
      </c>
      <c r="E5" s="71"/>
      <c r="F5" s="71">
        <v>13</v>
      </c>
      <c r="G5" s="72">
        <v>3.04</v>
      </c>
      <c r="H5" s="73">
        <f t="shared" si="0"/>
        <v>161.88</v>
      </c>
      <c r="I5" s="74">
        <v>150</v>
      </c>
      <c r="J5" s="73">
        <f t="shared" si="1"/>
        <v>242.82</v>
      </c>
      <c r="K5" s="73"/>
      <c r="L5" s="73">
        <f t="shared" si="2"/>
        <v>80.94</v>
      </c>
      <c r="M5" s="75">
        <f t="shared" si="3"/>
        <v>485.64</v>
      </c>
      <c r="N5" s="76">
        <v>135</v>
      </c>
      <c r="O5" s="77">
        <f t="shared" si="4"/>
        <v>1141.2539999999999</v>
      </c>
      <c r="P5" s="6"/>
      <c r="Q5" s="79">
        <f t="shared" ref="Q5:Q12" si="6">M5*2</f>
        <v>971.28</v>
      </c>
      <c r="R5" s="89">
        <v>940.5</v>
      </c>
      <c r="S5" s="28"/>
      <c r="T5" s="93">
        <v>485.64</v>
      </c>
      <c r="U5" s="93">
        <v>1286.95</v>
      </c>
      <c r="V5" s="93">
        <f t="shared" ref="V5:V17" si="7">0.53*T5+U5</f>
        <v>1544.3392000000001</v>
      </c>
      <c r="W5" s="93"/>
      <c r="X5" s="75">
        <f t="shared" ref="X5:X17" si="8">V5</f>
        <v>1544.3392000000001</v>
      </c>
      <c r="Y5" s="28"/>
    </row>
    <row r="6" spans="1:25" ht="15.75" x14ac:dyDescent="0.25">
      <c r="A6" s="64">
        <f t="shared" si="5"/>
        <v>3</v>
      </c>
      <c r="B6" s="81" t="s">
        <v>41</v>
      </c>
      <c r="C6" s="81" t="s">
        <v>42</v>
      </c>
      <c r="D6" s="71">
        <v>1</v>
      </c>
      <c r="E6" s="78"/>
      <c r="F6" s="71">
        <v>16</v>
      </c>
      <c r="G6" s="72">
        <v>3.72</v>
      </c>
      <c r="H6" s="73">
        <f t="shared" si="0"/>
        <v>198.09</v>
      </c>
      <c r="I6" s="82">
        <v>150</v>
      </c>
      <c r="J6" s="73">
        <f t="shared" si="1"/>
        <v>297.13499999999999</v>
      </c>
      <c r="K6" s="83"/>
      <c r="L6" s="73">
        <f t="shared" si="2"/>
        <v>99.045000000000002</v>
      </c>
      <c r="M6" s="75">
        <f t="shared" si="3"/>
        <v>594.27</v>
      </c>
      <c r="N6" s="76">
        <v>110</v>
      </c>
      <c r="O6" s="77">
        <f t="shared" si="4"/>
        <v>1247.9670000000001</v>
      </c>
      <c r="P6" s="6"/>
      <c r="Q6" s="79">
        <f t="shared" si="6"/>
        <v>1188.54</v>
      </c>
      <c r="R6" s="89">
        <v>1023</v>
      </c>
      <c r="S6" s="28"/>
      <c r="T6" s="93">
        <v>594.27</v>
      </c>
      <c r="U6" s="93">
        <v>1396.54</v>
      </c>
      <c r="V6" s="93">
        <f t="shared" si="7"/>
        <v>1711.5030999999999</v>
      </c>
      <c r="W6" s="93"/>
      <c r="X6" s="75">
        <f t="shared" si="8"/>
        <v>1711.5030999999999</v>
      </c>
      <c r="Y6" s="28"/>
    </row>
    <row r="7" spans="1:25" ht="15.75" x14ac:dyDescent="0.25">
      <c r="A7" s="64">
        <f t="shared" si="5"/>
        <v>4</v>
      </c>
      <c r="B7" s="81" t="s">
        <v>43</v>
      </c>
      <c r="C7" s="81"/>
      <c r="D7" s="71">
        <v>1</v>
      </c>
      <c r="E7" s="78"/>
      <c r="F7" s="71">
        <v>16</v>
      </c>
      <c r="G7" s="72">
        <v>3.72</v>
      </c>
      <c r="H7" s="73">
        <f t="shared" si="0"/>
        <v>198.09</v>
      </c>
      <c r="I7" s="82">
        <v>150</v>
      </c>
      <c r="J7" s="73">
        <f t="shared" si="1"/>
        <v>297.13499999999999</v>
      </c>
      <c r="K7" s="83"/>
      <c r="L7" s="73">
        <f t="shared" si="2"/>
        <v>99.045000000000002</v>
      </c>
      <c r="M7" s="75">
        <f t="shared" si="3"/>
        <v>594.27</v>
      </c>
      <c r="N7" s="76">
        <v>105</v>
      </c>
      <c r="O7" s="77">
        <f t="shared" si="4"/>
        <v>1218.2534999999998</v>
      </c>
      <c r="P7" s="6"/>
      <c r="Q7" s="79">
        <f t="shared" si="6"/>
        <v>1188.54</v>
      </c>
      <c r="R7" s="89">
        <v>997.43</v>
      </c>
      <c r="S7" s="28"/>
      <c r="T7" s="93">
        <v>594.27</v>
      </c>
      <c r="U7" s="93">
        <v>1366.82</v>
      </c>
      <c r="V7" s="93">
        <f t="shared" si="7"/>
        <v>1681.7830999999999</v>
      </c>
      <c r="W7" s="93"/>
      <c r="X7" s="75">
        <f t="shared" si="8"/>
        <v>1681.7830999999999</v>
      </c>
      <c r="Y7" s="28"/>
    </row>
    <row r="8" spans="1:25" ht="15.75" x14ac:dyDescent="0.25">
      <c r="A8" s="64">
        <f t="shared" si="5"/>
        <v>5</v>
      </c>
      <c r="B8" s="81" t="s">
        <v>44</v>
      </c>
      <c r="C8" s="81" t="s">
        <v>45</v>
      </c>
      <c r="D8" s="71">
        <v>1</v>
      </c>
      <c r="E8" s="78"/>
      <c r="F8" s="71">
        <v>16</v>
      </c>
      <c r="G8" s="72">
        <v>3.72</v>
      </c>
      <c r="H8" s="73">
        <f t="shared" si="0"/>
        <v>198.09</v>
      </c>
      <c r="I8" s="82">
        <v>150</v>
      </c>
      <c r="J8" s="73">
        <f t="shared" si="1"/>
        <v>297.13499999999999</v>
      </c>
      <c r="K8" s="83"/>
      <c r="L8" s="73">
        <f t="shared" si="2"/>
        <v>99.045000000000002</v>
      </c>
      <c r="M8" s="75">
        <f t="shared" si="3"/>
        <v>594.27</v>
      </c>
      <c r="N8" s="76">
        <v>110</v>
      </c>
      <c r="O8" s="77">
        <f t="shared" si="4"/>
        <v>1247.9670000000001</v>
      </c>
      <c r="P8" s="6"/>
      <c r="Q8" s="79">
        <f t="shared" si="6"/>
        <v>1188.54</v>
      </c>
      <c r="R8" s="89">
        <v>1023</v>
      </c>
      <c r="S8" s="28"/>
      <c r="T8" s="93">
        <v>594.27</v>
      </c>
      <c r="U8" s="93">
        <v>1396.54</v>
      </c>
      <c r="V8" s="93">
        <f t="shared" si="7"/>
        <v>1711.5030999999999</v>
      </c>
      <c r="W8" s="93"/>
      <c r="X8" s="75">
        <f t="shared" si="8"/>
        <v>1711.5030999999999</v>
      </c>
      <c r="Y8" s="28"/>
    </row>
    <row r="9" spans="1:25" ht="15.75" x14ac:dyDescent="0.25">
      <c r="A9" s="64">
        <f t="shared" si="5"/>
        <v>6</v>
      </c>
      <c r="B9" s="81" t="s">
        <v>46</v>
      </c>
      <c r="C9" s="81" t="s">
        <v>47</v>
      </c>
      <c r="D9" s="71">
        <v>1</v>
      </c>
      <c r="E9" s="78"/>
      <c r="F9" s="71">
        <v>16</v>
      </c>
      <c r="G9" s="72">
        <v>3.72</v>
      </c>
      <c r="H9" s="73">
        <f t="shared" si="0"/>
        <v>198.09</v>
      </c>
      <c r="I9" s="82">
        <v>150</v>
      </c>
      <c r="J9" s="73">
        <f t="shared" si="1"/>
        <v>297.13499999999999</v>
      </c>
      <c r="K9" s="83"/>
      <c r="L9" s="73">
        <f t="shared" si="2"/>
        <v>99.045000000000002</v>
      </c>
      <c r="M9" s="75">
        <f t="shared" si="3"/>
        <v>594.27</v>
      </c>
      <c r="N9" s="76">
        <v>110</v>
      </c>
      <c r="O9" s="77">
        <f t="shared" si="4"/>
        <v>1247.9670000000001</v>
      </c>
      <c r="P9" s="6"/>
      <c r="Q9" s="79">
        <f t="shared" si="6"/>
        <v>1188.54</v>
      </c>
      <c r="R9" s="89">
        <v>1023</v>
      </c>
      <c r="S9" s="28"/>
      <c r="T9" s="93">
        <v>594.27</v>
      </c>
      <c r="U9" s="93">
        <v>1396.54</v>
      </c>
      <c r="V9" s="93">
        <f t="shared" si="7"/>
        <v>1711.5030999999999</v>
      </c>
      <c r="W9" s="93"/>
      <c r="X9" s="75">
        <f t="shared" si="8"/>
        <v>1711.5030999999999</v>
      </c>
      <c r="Y9" s="28"/>
    </row>
    <row r="10" spans="1:25" ht="15.75" x14ac:dyDescent="0.25">
      <c r="A10" s="64">
        <f t="shared" si="5"/>
        <v>7</v>
      </c>
      <c r="B10" s="81" t="s">
        <v>48</v>
      </c>
      <c r="C10" s="81" t="s">
        <v>49</v>
      </c>
      <c r="D10" s="71">
        <v>1</v>
      </c>
      <c r="E10" s="78"/>
      <c r="F10" s="71">
        <v>16</v>
      </c>
      <c r="G10" s="72">
        <v>3.72</v>
      </c>
      <c r="H10" s="73">
        <f t="shared" si="0"/>
        <v>198.09</v>
      </c>
      <c r="I10" s="82">
        <v>150</v>
      </c>
      <c r="J10" s="73">
        <f t="shared" si="1"/>
        <v>297.13499999999999</v>
      </c>
      <c r="K10" s="83"/>
      <c r="L10" s="73">
        <f t="shared" si="2"/>
        <v>99.045000000000002</v>
      </c>
      <c r="M10" s="75">
        <f t="shared" si="3"/>
        <v>594.27</v>
      </c>
      <c r="N10" s="76">
        <v>110</v>
      </c>
      <c r="O10" s="77">
        <f t="shared" si="4"/>
        <v>1247.9670000000001</v>
      </c>
      <c r="P10" s="6"/>
      <c r="Q10" s="79">
        <f t="shared" si="6"/>
        <v>1188.54</v>
      </c>
      <c r="R10" s="89">
        <v>1023</v>
      </c>
      <c r="S10" s="28"/>
      <c r="T10" s="93">
        <v>594.27</v>
      </c>
      <c r="U10" s="93">
        <v>1396.54</v>
      </c>
      <c r="V10" s="93">
        <f t="shared" si="7"/>
        <v>1711.5030999999999</v>
      </c>
      <c r="W10" s="93"/>
      <c r="X10" s="75">
        <f t="shared" si="8"/>
        <v>1711.5030999999999</v>
      </c>
      <c r="Y10" s="28"/>
    </row>
    <row r="11" spans="1:25" ht="15.75" x14ac:dyDescent="0.25">
      <c r="A11" s="64">
        <f t="shared" si="5"/>
        <v>8</v>
      </c>
      <c r="B11" s="81" t="s">
        <v>50</v>
      </c>
      <c r="C11" s="81" t="s">
        <v>51</v>
      </c>
      <c r="D11" s="71">
        <v>1</v>
      </c>
      <c r="E11" s="78"/>
      <c r="F11" s="71">
        <v>16</v>
      </c>
      <c r="G11" s="72">
        <v>3.72</v>
      </c>
      <c r="H11" s="73">
        <f t="shared" si="0"/>
        <v>198.09</v>
      </c>
      <c r="I11" s="82">
        <v>150</v>
      </c>
      <c r="J11" s="73">
        <f t="shared" si="1"/>
        <v>297.13499999999999</v>
      </c>
      <c r="K11" s="83"/>
      <c r="L11" s="73">
        <f t="shared" si="2"/>
        <v>99.045000000000002</v>
      </c>
      <c r="M11" s="75">
        <f t="shared" si="3"/>
        <v>594.27</v>
      </c>
      <c r="N11" s="76">
        <v>110</v>
      </c>
      <c r="O11" s="77">
        <f t="shared" si="4"/>
        <v>1247.9670000000001</v>
      </c>
      <c r="P11" s="6"/>
      <c r="Q11" s="79">
        <f t="shared" si="6"/>
        <v>1188.54</v>
      </c>
      <c r="R11" s="89">
        <v>1023</v>
      </c>
      <c r="S11" s="28"/>
      <c r="T11" s="93">
        <v>594.27</v>
      </c>
      <c r="U11" s="93">
        <v>1396.54</v>
      </c>
      <c r="V11" s="93">
        <f t="shared" si="7"/>
        <v>1711.5030999999999</v>
      </c>
      <c r="W11" s="93"/>
      <c r="X11" s="75">
        <f t="shared" si="8"/>
        <v>1711.5030999999999</v>
      </c>
      <c r="Y11" s="28"/>
    </row>
    <row r="12" spans="1:25" ht="26.25" x14ac:dyDescent="0.25">
      <c r="A12" s="64">
        <f>A11+1</f>
        <v>9</v>
      </c>
      <c r="B12" s="305" t="s">
        <v>39</v>
      </c>
      <c r="C12" s="293" t="s">
        <v>40</v>
      </c>
      <c r="D12" s="294">
        <v>1</v>
      </c>
      <c r="E12" s="294"/>
      <c r="F12" s="294">
        <v>13</v>
      </c>
      <c r="G12" s="295">
        <v>3.04</v>
      </c>
      <c r="H12" s="296">
        <f t="shared" si="0"/>
        <v>161.88</v>
      </c>
      <c r="I12" s="82">
        <v>190</v>
      </c>
      <c r="J12" s="296">
        <f t="shared" si="1"/>
        <v>307.572</v>
      </c>
      <c r="K12" s="296"/>
      <c r="L12" s="296">
        <f t="shared" si="2"/>
        <v>80.94</v>
      </c>
      <c r="M12" s="297">
        <f t="shared" si="3"/>
        <v>550.39200000000005</v>
      </c>
      <c r="N12" s="298">
        <v>145</v>
      </c>
      <c r="O12" s="299">
        <f t="shared" si="4"/>
        <v>1348.4604000000002</v>
      </c>
      <c r="P12" s="300"/>
      <c r="Q12" s="301">
        <f t="shared" si="6"/>
        <v>1100.7840000000001</v>
      </c>
      <c r="R12" s="302">
        <v>1118.72</v>
      </c>
      <c r="S12" s="28"/>
      <c r="T12" s="303">
        <v>550.39200000000005</v>
      </c>
      <c r="U12" s="303">
        <v>1513.58</v>
      </c>
      <c r="V12" s="303">
        <f t="shared" si="7"/>
        <v>1805.2877599999999</v>
      </c>
      <c r="W12" s="303"/>
      <c r="X12" s="75">
        <f t="shared" si="8"/>
        <v>1805.2877599999999</v>
      </c>
      <c r="Y12" s="28"/>
    </row>
    <row r="13" spans="1:25" ht="15.75" x14ac:dyDescent="0.25">
      <c r="A13" s="64">
        <f t="shared" ref="A13:A17" si="9">A12+1</f>
        <v>10</v>
      </c>
      <c r="B13" s="80" t="s">
        <v>120</v>
      </c>
      <c r="C13" s="66" t="s">
        <v>121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93">
        <v>485.64</v>
      </c>
      <c r="U13" s="93">
        <v>1189.82</v>
      </c>
      <c r="V13" s="93">
        <f t="shared" si="7"/>
        <v>1447.2092</v>
      </c>
      <c r="W13" s="93"/>
      <c r="X13" s="75">
        <f t="shared" si="8"/>
        <v>1447.2092</v>
      </c>
      <c r="Y13" s="220"/>
    </row>
    <row r="14" spans="1:25" ht="15.75" x14ac:dyDescent="0.25">
      <c r="A14" s="64">
        <f t="shared" si="9"/>
        <v>11</v>
      </c>
      <c r="B14" s="81" t="s">
        <v>122</v>
      </c>
      <c r="C14" s="81" t="s">
        <v>123</v>
      </c>
      <c r="D14" s="71"/>
      <c r="E14" s="78"/>
      <c r="F14" s="71"/>
      <c r="G14" s="72"/>
      <c r="H14" s="73"/>
      <c r="I14" s="82"/>
      <c r="J14" s="73"/>
      <c r="K14" s="83"/>
      <c r="L14" s="73"/>
      <c r="M14" s="75"/>
      <c r="N14" s="76"/>
      <c r="O14" s="77"/>
      <c r="P14" s="6"/>
      <c r="Q14" s="79"/>
      <c r="R14" s="89"/>
      <c r="S14" s="28"/>
      <c r="T14" s="93">
        <v>555.92999999999995</v>
      </c>
      <c r="U14" s="93">
        <v>1167.45</v>
      </c>
      <c r="V14" s="93">
        <f t="shared" si="7"/>
        <v>1462.0929000000001</v>
      </c>
      <c r="W14" s="93"/>
      <c r="X14" s="75">
        <f t="shared" si="8"/>
        <v>1462.0929000000001</v>
      </c>
      <c r="Y14" s="220"/>
    </row>
    <row r="15" spans="1:25" ht="15.75" x14ac:dyDescent="0.25">
      <c r="A15" s="64">
        <f t="shared" si="9"/>
        <v>12</v>
      </c>
      <c r="B15" s="292" t="s">
        <v>124</v>
      </c>
      <c r="C15" s="66" t="s">
        <v>125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75">
        <v>453.69</v>
      </c>
      <c r="U15" s="75">
        <v>1088.8599999999999</v>
      </c>
      <c r="V15" s="93">
        <f t="shared" si="7"/>
        <v>1329.3156999999999</v>
      </c>
      <c r="W15" s="93"/>
      <c r="X15" s="75">
        <f t="shared" si="8"/>
        <v>1329.3156999999999</v>
      </c>
      <c r="Y15" s="220"/>
    </row>
    <row r="16" spans="1:25" ht="15.75" x14ac:dyDescent="0.25">
      <c r="A16" s="64">
        <f t="shared" si="9"/>
        <v>13</v>
      </c>
      <c r="B16" s="292" t="s">
        <v>126</v>
      </c>
      <c r="C16" s="66" t="s">
        <v>127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75">
        <v>333.88</v>
      </c>
      <c r="U16" s="75">
        <v>751.22</v>
      </c>
      <c r="V16" s="93">
        <f t="shared" si="7"/>
        <v>928.17640000000006</v>
      </c>
      <c r="W16" s="93"/>
      <c r="X16" s="75">
        <f t="shared" si="8"/>
        <v>928.17640000000006</v>
      </c>
      <c r="Y16" s="220"/>
    </row>
    <row r="17" spans="1:30" ht="15.75" x14ac:dyDescent="0.25">
      <c r="A17" s="64">
        <f t="shared" si="9"/>
        <v>14</v>
      </c>
      <c r="B17" s="292" t="s">
        <v>128</v>
      </c>
      <c r="C17" s="66" t="s">
        <v>129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75">
        <v>333.88</v>
      </c>
      <c r="U17" s="75">
        <v>600.98</v>
      </c>
      <c r="V17" s="93">
        <f t="shared" si="7"/>
        <v>777.93640000000005</v>
      </c>
      <c r="W17" s="93"/>
      <c r="X17" s="75">
        <f t="shared" si="8"/>
        <v>777.93640000000005</v>
      </c>
      <c r="Y17" s="220"/>
    </row>
    <row r="20" spans="1:30" x14ac:dyDescent="0.25">
      <c r="B20" s="660" t="s">
        <v>6</v>
      </c>
      <c r="C20" s="660"/>
      <c r="D20" s="92"/>
      <c r="E20" s="2"/>
      <c r="F20" s="2" t="s">
        <v>62</v>
      </c>
      <c r="G20" s="9"/>
      <c r="V20" s="2" t="s">
        <v>118</v>
      </c>
      <c r="W20" s="2"/>
    </row>
    <row r="21" spans="1:30" ht="15.75" thickBot="1" x14ac:dyDescent="0.3"/>
    <row r="22" spans="1:30" ht="30.75" thickBot="1" x14ac:dyDescent="0.3">
      <c r="B22" s="336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 t="s">
        <v>158</v>
      </c>
      <c r="U22" s="337"/>
      <c r="V22" s="337" t="s">
        <v>159</v>
      </c>
      <c r="W22" s="621"/>
      <c r="X22" s="338" t="s">
        <v>160</v>
      </c>
      <c r="Y22" s="339" t="s">
        <v>161</v>
      </c>
      <c r="Z22" s="340" t="s">
        <v>162</v>
      </c>
      <c r="AB22" t="s">
        <v>163</v>
      </c>
      <c r="AD22" t="s">
        <v>164</v>
      </c>
    </row>
    <row r="23" spans="1:30" ht="45" x14ac:dyDescent="0.25">
      <c r="B23" s="341" t="s">
        <v>130</v>
      </c>
      <c r="C23" s="342" t="s">
        <v>254</v>
      </c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43">
        <v>780.68</v>
      </c>
      <c r="U23" s="343"/>
      <c r="V23" s="343"/>
      <c r="W23" s="622">
        <v>0.5</v>
      </c>
      <c r="X23" s="344">
        <f>0.5*T23</f>
        <v>390.34</v>
      </c>
      <c r="Y23" s="345">
        <f>T23+V23</f>
        <v>780.68</v>
      </c>
      <c r="Z23" s="344">
        <f>Y23+X23</f>
        <v>1171.02</v>
      </c>
      <c r="AB23" s="347">
        <v>275.89</v>
      </c>
    </row>
    <row r="24" spans="1:30" ht="18" customHeight="1" x14ac:dyDescent="0.25">
      <c r="B24" s="662" t="s">
        <v>131</v>
      </c>
      <c r="C24" s="27" t="s">
        <v>132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326">
        <v>780.68</v>
      </c>
      <c r="U24" s="326"/>
      <c r="V24" s="326"/>
      <c r="W24" s="623">
        <v>0.2</v>
      </c>
      <c r="X24" s="330">
        <f>0.2*T24</f>
        <v>156.136</v>
      </c>
      <c r="Y24" s="327">
        <f t="shared" ref="Y24:Y26" si="10">T24+V24</f>
        <v>780.68</v>
      </c>
      <c r="Z24" s="329">
        <f t="shared" ref="Z24:Z26" si="11">Y24+X24</f>
        <v>936.81599999999992</v>
      </c>
      <c r="AB24" s="347">
        <v>80.2</v>
      </c>
    </row>
    <row r="25" spans="1:30" ht="18" customHeight="1" x14ac:dyDescent="0.25">
      <c r="B25" s="663"/>
      <c r="C25" s="27" t="s">
        <v>255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326">
        <v>780.68</v>
      </c>
      <c r="U25" s="326"/>
      <c r="V25" s="326"/>
      <c r="W25" s="623">
        <v>0.2</v>
      </c>
      <c r="X25" s="330">
        <f>0.2*T25</f>
        <v>156.136</v>
      </c>
      <c r="Y25" s="327">
        <f t="shared" si="10"/>
        <v>780.68</v>
      </c>
      <c r="Z25" s="329">
        <f t="shared" si="11"/>
        <v>936.81599999999992</v>
      </c>
      <c r="AB25" s="347">
        <v>80.2</v>
      </c>
    </row>
    <row r="26" spans="1:30" ht="30.75" thickBot="1" x14ac:dyDescent="0.3">
      <c r="B26" s="331" t="s">
        <v>133</v>
      </c>
      <c r="C26" s="332" t="s">
        <v>134</v>
      </c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4">
        <v>730.08</v>
      </c>
      <c r="U26" s="334"/>
      <c r="V26" s="620"/>
      <c r="W26" s="624">
        <v>0.2</v>
      </c>
      <c r="X26" s="335">
        <f>0.2*T26</f>
        <v>146.01600000000002</v>
      </c>
      <c r="Y26" s="346">
        <f t="shared" si="10"/>
        <v>730.08</v>
      </c>
      <c r="Z26" s="335">
        <f t="shared" si="11"/>
        <v>876.096</v>
      </c>
      <c r="AB26" s="347">
        <v>117.08</v>
      </c>
    </row>
  </sheetData>
  <mergeCells count="3">
    <mergeCell ref="B20:C20"/>
    <mergeCell ref="B1:X1"/>
    <mergeCell ref="B24:B25"/>
  </mergeCells>
  <pageMargins left="0.51181102362204722" right="0.11811023622047245" top="0.74803149606299213" bottom="0.74803149606299213" header="0.31496062992125984" footer="0.31496062992125984"/>
  <pageSetup paperSize="9" scale="66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2" sqref="A1:D1048576"/>
    </sheetView>
  </sheetViews>
  <sheetFormatPr defaultRowHeight="18.75" x14ac:dyDescent="0.3"/>
  <cols>
    <col min="1" max="1" width="24.28515625" style="625" customWidth="1"/>
    <col min="2" max="3" width="15.7109375" style="626" hidden="1" customWidth="1"/>
    <col min="4" max="4" width="27.7109375" style="625" customWidth="1"/>
    <col min="5" max="5" width="21.5703125" style="625" customWidth="1"/>
    <col min="6" max="16384" width="9.140625" style="625"/>
  </cols>
  <sheetData>
    <row r="1" spans="1:5" x14ac:dyDescent="0.3">
      <c r="A1" s="664" t="s">
        <v>256</v>
      </c>
      <c r="B1" s="664"/>
      <c r="C1" s="664"/>
      <c r="D1" s="664"/>
      <c r="E1" s="664"/>
    </row>
    <row r="3" spans="1:5" s="630" customFormat="1" ht="37.5" x14ac:dyDescent="0.25">
      <c r="A3" s="627"/>
      <c r="B3" s="628" t="s">
        <v>257</v>
      </c>
      <c r="C3" s="628" t="s">
        <v>258</v>
      </c>
      <c r="D3" s="629" t="s">
        <v>259</v>
      </c>
      <c r="E3" s="629" t="s">
        <v>260</v>
      </c>
    </row>
    <row r="4" spans="1:5" ht="19.5" x14ac:dyDescent="0.35">
      <c r="A4" s="631" t="s">
        <v>261</v>
      </c>
      <c r="B4" s="632"/>
      <c r="C4" s="632"/>
      <c r="D4" s="632"/>
      <c r="E4" s="633">
        <v>0.8</v>
      </c>
    </row>
    <row r="5" spans="1:5" x14ac:dyDescent="0.3">
      <c r="A5" s="634" t="s">
        <v>262</v>
      </c>
      <c r="B5" s="632"/>
      <c r="C5" s="632"/>
      <c r="D5" s="632">
        <v>2676.16</v>
      </c>
      <c r="E5" s="635">
        <f>D5*$E$4</f>
        <v>2140.9279999999999</v>
      </c>
    </row>
    <row r="6" spans="1:5" x14ac:dyDescent="0.3">
      <c r="A6" s="634" t="s">
        <v>263</v>
      </c>
      <c r="B6" s="632"/>
      <c r="C6" s="632"/>
      <c r="D6" s="632">
        <v>2676.16</v>
      </c>
      <c r="E6" s="635">
        <f t="shared" ref="E6:E8" si="0">D6*$E$4</f>
        <v>2140.9279999999999</v>
      </c>
    </row>
    <row r="7" spans="1:5" x14ac:dyDescent="0.3">
      <c r="A7" s="634" t="s">
        <v>264</v>
      </c>
      <c r="B7" s="632"/>
      <c r="C7" s="632"/>
      <c r="D7" s="632">
        <v>2676.16</v>
      </c>
      <c r="E7" s="635">
        <f t="shared" si="0"/>
        <v>2140.9279999999999</v>
      </c>
    </row>
    <row r="8" spans="1:5" x14ac:dyDescent="0.3">
      <c r="A8" s="634" t="s">
        <v>265</v>
      </c>
      <c r="B8" s="632"/>
      <c r="C8" s="632"/>
      <c r="D8" s="632">
        <v>2676.16</v>
      </c>
      <c r="E8" s="635">
        <f t="shared" si="0"/>
        <v>2140.9279999999999</v>
      </c>
    </row>
    <row r="9" spans="1:5" x14ac:dyDescent="0.3">
      <c r="A9" s="634"/>
      <c r="B9" s="632"/>
      <c r="C9" s="632"/>
      <c r="D9" s="632"/>
      <c r="E9" s="635"/>
    </row>
    <row r="10" spans="1:5" x14ac:dyDescent="0.3">
      <c r="A10" s="634"/>
      <c r="B10" s="632"/>
      <c r="C10" s="632"/>
      <c r="D10" s="632"/>
      <c r="E10" s="633">
        <v>0.8</v>
      </c>
    </row>
    <row r="11" spans="1:5" x14ac:dyDescent="0.3">
      <c r="A11" s="634" t="s">
        <v>266</v>
      </c>
      <c r="B11" s="632"/>
      <c r="C11" s="632"/>
      <c r="D11" s="636">
        <v>1425.7</v>
      </c>
      <c r="E11" s="637">
        <f>D11*$E$10</f>
        <v>1140.5600000000002</v>
      </c>
    </row>
    <row r="12" spans="1:5" x14ac:dyDescent="0.3">
      <c r="A12" s="634" t="s">
        <v>267</v>
      </c>
      <c r="B12" s="632"/>
      <c r="C12" s="632"/>
      <c r="D12" s="636">
        <v>1493.91</v>
      </c>
      <c r="E12" s="637">
        <f t="shared" ref="E12:E15" si="1">D12*$E$10</f>
        <v>1195.1280000000002</v>
      </c>
    </row>
    <row r="13" spans="1:5" x14ac:dyDescent="0.3">
      <c r="A13" s="634" t="s">
        <v>268</v>
      </c>
      <c r="B13" s="632"/>
      <c r="C13" s="632"/>
      <c r="D13" s="636">
        <v>554.09</v>
      </c>
      <c r="E13" s="637">
        <f t="shared" si="1"/>
        <v>443.27200000000005</v>
      </c>
    </row>
    <row r="14" spans="1:5" x14ac:dyDescent="0.3">
      <c r="A14" s="634" t="s">
        <v>269</v>
      </c>
      <c r="B14" s="632"/>
      <c r="C14" s="632"/>
      <c r="D14" s="636">
        <v>387.24</v>
      </c>
      <c r="E14" s="637">
        <f t="shared" si="1"/>
        <v>309.79200000000003</v>
      </c>
    </row>
    <row r="15" spans="1:5" x14ac:dyDescent="0.3">
      <c r="A15" s="634" t="s">
        <v>270</v>
      </c>
      <c r="B15" s="632"/>
      <c r="C15" s="632"/>
      <c r="D15" s="636">
        <v>128.07</v>
      </c>
      <c r="E15" s="637">
        <f t="shared" si="1"/>
        <v>102.456</v>
      </c>
    </row>
    <row r="16" spans="1:5" x14ac:dyDescent="0.3">
      <c r="A16" s="634"/>
      <c r="B16" s="632"/>
      <c r="C16" s="632"/>
      <c r="D16" s="632"/>
      <c r="E16" s="637"/>
    </row>
    <row r="17" spans="1:5" ht="19.5" x14ac:dyDescent="0.35">
      <c r="A17" s="631" t="s">
        <v>271</v>
      </c>
      <c r="B17" s="632"/>
      <c r="C17" s="632"/>
      <c r="D17" s="632"/>
      <c r="E17" s="633">
        <v>0.8</v>
      </c>
    </row>
    <row r="18" spans="1:5" x14ac:dyDescent="0.3">
      <c r="A18" s="634" t="s">
        <v>272</v>
      </c>
      <c r="B18" s="636"/>
      <c r="C18" s="632"/>
      <c r="D18" s="636">
        <f>216.87+100.17+161.65+749.07+624.24</f>
        <v>1852.0000000000002</v>
      </c>
      <c r="E18" s="635">
        <f>D18*$E$17</f>
        <v>1481.6000000000004</v>
      </c>
    </row>
    <row r="19" spans="1:5" x14ac:dyDescent="0.3">
      <c r="A19" s="634" t="s">
        <v>273</v>
      </c>
      <c r="B19" s="632"/>
      <c r="C19" s="632"/>
      <c r="D19" s="632">
        <f>161.65+749.07+624.24</f>
        <v>1534.96</v>
      </c>
      <c r="E19" s="635">
        <f t="shared" ref="E19:E20" si="2">D19*$E$17</f>
        <v>1227.9680000000001</v>
      </c>
    </row>
    <row r="20" spans="1:5" x14ac:dyDescent="0.3">
      <c r="A20" s="634" t="s">
        <v>274</v>
      </c>
      <c r="B20" s="632"/>
      <c r="C20" s="632"/>
      <c r="D20" s="636">
        <f>216.87+100.17+161.65+749.07+624.24</f>
        <v>1852.0000000000002</v>
      </c>
      <c r="E20" s="635">
        <f t="shared" si="2"/>
        <v>1481.6000000000004</v>
      </c>
    </row>
    <row r="21" spans="1:5" x14ac:dyDescent="0.3">
      <c r="A21" s="634"/>
      <c r="B21" s="632"/>
      <c r="C21" s="632"/>
      <c r="D21" s="632"/>
      <c r="E21" s="637"/>
    </row>
    <row r="22" spans="1:5" ht="19.5" x14ac:dyDescent="0.35">
      <c r="A22" s="631" t="s">
        <v>275</v>
      </c>
      <c r="B22" s="632"/>
      <c r="C22" s="632"/>
      <c r="D22" s="632"/>
      <c r="E22" s="633">
        <v>0.8</v>
      </c>
    </row>
    <row r="23" spans="1:5" x14ac:dyDescent="0.3">
      <c r="A23" s="634" t="s">
        <v>276</v>
      </c>
      <c r="B23" s="632">
        <f>1138.05+19.76+121.91+92.75+175.12+191.28</f>
        <v>1738.8700000000001</v>
      </c>
      <c r="C23" s="632">
        <f>265.31+161.98+110.32+63.9+258.48+29.9+420.37+50.27+74.54+40.35+18.1+65.42+20.82</f>
        <v>1579.7599999999995</v>
      </c>
      <c r="D23" s="632">
        <f>B23+C23</f>
        <v>3318.6299999999997</v>
      </c>
      <c r="E23" s="636">
        <f>D23*$E$22</f>
        <v>2654.904</v>
      </c>
    </row>
    <row r="24" spans="1:5" x14ac:dyDescent="0.3">
      <c r="A24" s="634" t="s">
        <v>277</v>
      </c>
      <c r="B24" s="632">
        <f>1138.05+19.76+121.91+92.75+175.12+191.28</f>
        <v>1738.8700000000001</v>
      </c>
      <c r="C24" s="632">
        <f>265.31+161.98+110.32+63.9+497.6+29.9+420.37+50.27+74.54+18.1+65.42+20.82+40.35</f>
        <v>1818.8799999999999</v>
      </c>
      <c r="D24" s="632">
        <f t="shared" ref="D24" si="3">B24+C24</f>
        <v>3557.75</v>
      </c>
      <c r="E24" s="636">
        <f>D24*$E$22</f>
        <v>2846.2000000000003</v>
      </c>
    </row>
    <row r="26" spans="1:5" x14ac:dyDescent="0.3">
      <c r="A26" s="634" t="s">
        <v>278</v>
      </c>
      <c r="B26" s="632">
        <f>1138.05+19.76+121.91+92.75+175.12+191.28</f>
        <v>1738.8700000000001</v>
      </c>
      <c r="C26" s="632">
        <f>241.46+161.98+110.32+63.9+497.6+29.9+420.37+50.27+74.54+18.1+65.42+20.82+40.35</f>
        <v>1795.03</v>
      </c>
      <c r="D26" s="632">
        <f>B26+C26</f>
        <v>3533.9</v>
      </c>
      <c r="E26" s="636">
        <f>D26*$E$22</f>
        <v>2827.1200000000003</v>
      </c>
    </row>
    <row r="27" spans="1:5" x14ac:dyDescent="0.3">
      <c r="A27" s="634" t="s">
        <v>279</v>
      </c>
      <c r="B27" s="632">
        <f>1138.05+19.76+121.91+92.75+175.12+191.28</f>
        <v>1738.8700000000001</v>
      </c>
      <c r="C27" s="632">
        <f>265.31+161.98+110.32+63.9+497.6+29.9+420.37+50.27+74.54+18.1+65.42+20.82+40.35</f>
        <v>1818.8799999999999</v>
      </c>
      <c r="D27" s="632">
        <f>B27+C27</f>
        <v>3557.75</v>
      </c>
      <c r="E27" s="636">
        <f t="shared" ref="E27:E29" si="4">D27*$E$22</f>
        <v>2846.2000000000003</v>
      </c>
    </row>
    <row r="28" spans="1:5" x14ac:dyDescent="0.3">
      <c r="A28" s="634" t="s">
        <v>280</v>
      </c>
      <c r="B28" s="632">
        <f>425.58+76.78+84.55+735.12+152.76+127.97</f>
        <v>1602.76</v>
      </c>
      <c r="C28" s="632">
        <f>882.08+773.89+54.32+245.31+42.18+37.89+123.43+136.01+239.11+41.31+191.56+18.1+65.42+20.81+29.84+53.37</f>
        <v>2954.6299999999997</v>
      </c>
      <c r="D28" s="632">
        <f>B28+C28</f>
        <v>4557.3899999999994</v>
      </c>
      <c r="E28" s="636">
        <f t="shared" si="4"/>
        <v>3645.9119999999998</v>
      </c>
    </row>
    <row r="29" spans="1:5" x14ac:dyDescent="0.3">
      <c r="A29" s="634" t="s">
        <v>281</v>
      </c>
      <c r="B29" s="632">
        <f>237.79+198.43+51.51</f>
        <v>487.73</v>
      </c>
      <c r="C29" s="632">
        <f>412.54+246.48+23.23+157.37</f>
        <v>839.62</v>
      </c>
      <c r="D29" s="632">
        <f>B29+C29</f>
        <v>1327.35</v>
      </c>
      <c r="E29" s="636">
        <f t="shared" si="4"/>
        <v>1061.8799999999999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>
      <selection activeCell="N61" sqref="A1:N61"/>
    </sheetView>
  </sheetViews>
  <sheetFormatPr defaultRowHeight="15" x14ac:dyDescent="0.25"/>
  <cols>
    <col min="1" max="1" width="5" customWidth="1"/>
    <col min="2" max="2" width="6.7109375" hidden="1" customWidth="1"/>
    <col min="3" max="3" width="25" customWidth="1"/>
    <col min="4" max="4" width="5" hidden="1" customWidth="1"/>
    <col min="5" max="5" width="4.140625" hidden="1" customWidth="1"/>
    <col min="6" max="6" width="5.7109375" hidden="1" customWidth="1"/>
    <col min="7" max="7" width="5" hidden="1" customWidth="1"/>
    <col min="8" max="8" width="6.42578125" hidden="1" customWidth="1"/>
    <col min="9" max="9" width="7" hidden="1" customWidth="1"/>
    <col min="10" max="10" width="6" customWidth="1"/>
    <col min="11" max="11" width="10.85546875" customWidth="1"/>
    <col min="12" max="12" width="13.42578125" customWidth="1"/>
    <col min="13" max="13" width="15" customWidth="1"/>
    <col min="14" max="14" width="12.42578125" style="92" customWidth="1"/>
  </cols>
  <sheetData>
    <row r="2" spans="1:15" ht="40.5" customHeight="1" thickBot="1" x14ac:dyDescent="0.3">
      <c r="A2" s="655" t="s">
        <v>202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90"/>
      <c r="O2" s="90"/>
    </row>
    <row r="3" spans="1:15" ht="43.5" customHeight="1" thickBot="1" x14ac:dyDescent="0.3">
      <c r="A3" s="3" t="s">
        <v>2</v>
      </c>
      <c r="B3" s="97"/>
      <c r="C3" s="4" t="s">
        <v>3</v>
      </c>
      <c r="D3" s="5" t="s">
        <v>0</v>
      </c>
      <c r="E3" s="5" t="s">
        <v>25</v>
      </c>
      <c r="F3" s="16" t="s">
        <v>16</v>
      </c>
      <c r="G3" s="16" t="s">
        <v>17</v>
      </c>
      <c r="H3" s="16" t="s">
        <v>25</v>
      </c>
      <c r="I3" s="5" t="s">
        <v>1</v>
      </c>
      <c r="J3" s="642" t="s">
        <v>22</v>
      </c>
      <c r="K3" s="98" t="s">
        <v>19</v>
      </c>
      <c r="L3" s="99" t="s">
        <v>23</v>
      </c>
      <c r="M3" s="574" t="s">
        <v>137</v>
      </c>
      <c r="N3" s="107" t="s">
        <v>282</v>
      </c>
    </row>
    <row r="4" spans="1:15" ht="19.5" customHeight="1" x14ac:dyDescent="0.25">
      <c r="A4" s="95">
        <v>1</v>
      </c>
      <c r="B4" s="14">
        <v>722</v>
      </c>
      <c r="C4" s="562" t="s">
        <v>102</v>
      </c>
      <c r="D4" s="11"/>
      <c r="E4" s="11"/>
      <c r="F4" s="11"/>
      <c r="G4" s="11"/>
      <c r="H4" s="11"/>
      <c r="I4" s="11"/>
      <c r="J4" s="647">
        <v>25</v>
      </c>
      <c r="K4" s="547">
        <v>2350.37</v>
      </c>
      <c r="L4" s="548">
        <f>K4/J4</f>
        <v>94.014799999999994</v>
      </c>
      <c r="M4" s="575">
        <f t="shared" ref="M4:M57" si="0">K4*0.8</f>
        <v>1880.296</v>
      </c>
      <c r="N4" s="108">
        <f>(M4+K4)/J4</f>
        <v>169.22664</v>
      </c>
    </row>
    <row r="5" spans="1:15" ht="19.5" customHeight="1" thickBot="1" x14ac:dyDescent="0.3">
      <c r="A5" s="96"/>
      <c r="B5" s="54">
        <v>1851</v>
      </c>
      <c r="C5" s="563" t="s">
        <v>103</v>
      </c>
      <c r="D5" s="8"/>
      <c r="E5" s="8"/>
      <c r="F5" s="8"/>
      <c r="G5" s="8"/>
      <c r="H5" s="8"/>
      <c r="I5" s="8"/>
      <c r="J5" s="648"/>
      <c r="K5" s="549">
        <f>K4*0.9</f>
        <v>2115.3330000000001</v>
      </c>
      <c r="L5" s="550">
        <f>K5/J4</f>
        <v>84.613320000000002</v>
      </c>
      <c r="M5" s="576">
        <f t="shared" si="0"/>
        <v>1692.2664000000002</v>
      </c>
      <c r="N5" s="109">
        <f>(M5+K5)/J4</f>
        <v>152.30397600000001</v>
      </c>
    </row>
    <row r="6" spans="1:15" ht="19.5" customHeight="1" x14ac:dyDescent="0.25">
      <c r="A6" s="95">
        <v>2</v>
      </c>
      <c r="B6" s="14">
        <v>911</v>
      </c>
      <c r="C6" s="562" t="s">
        <v>104</v>
      </c>
      <c r="D6" s="11"/>
      <c r="E6" s="11"/>
      <c r="F6" s="11"/>
      <c r="G6" s="11"/>
      <c r="H6" s="11"/>
      <c r="I6" s="11"/>
      <c r="J6" s="647">
        <v>24</v>
      </c>
      <c r="K6" s="547">
        <v>1933.14</v>
      </c>
      <c r="L6" s="548">
        <f>K6/J6</f>
        <v>80.547499999999999</v>
      </c>
      <c r="M6" s="575">
        <f t="shared" si="0"/>
        <v>1546.5120000000002</v>
      </c>
      <c r="N6" s="108">
        <f>(M6+K6)/J6</f>
        <v>144.9855</v>
      </c>
    </row>
    <row r="7" spans="1:15" ht="19.5" customHeight="1" thickBot="1" x14ac:dyDescent="0.3">
      <c r="A7" s="96"/>
      <c r="B7" s="54">
        <v>1447</v>
      </c>
      <c r="C7" s="563" t="s">
        <v>203</v>
      </c>
      <c r="D7" s="8"/>
      <c r="E7" s="8"/>
      <c r="F7" s="8"/>
      <c r="G7" s="8"/>
      <c r="H7" s="8"/>
      <c r="I7" s="8"/>
      <c r="J7" s="648"/>
      <c r="K7" s="549">
        <f>K6*0.9</f>
        <v>1739.826</v>
      </c>
      <c r="L7" s="550">
        <f>K7/J6</f>
        <v>72.492750000000001</v>
      </c>
      <c r="M7" s="576">
        <f t="shared" si="0"/>
        <v>1391.8608000000002</v>
      </c>
      <c r="N7" s="109">
        <f>(M7+K7)/J6</f>
        <v>130.48695000000001</v>
      </c>
    </row>
    <row r="8" spans="1:15" ht="19.5" customHeight="1" x14ac:dyDescent="0.25">
      <c r="A8" s="95">
        <v>3</v>
      </c>
      <c r="B8" s="14">
        <v>1358</v>
      </c>
      <c r="C8" s="564" t="s">
        <v>106</v>
      </c>
      <c r="D8" s="11"/>
      <c r="E8" s="11"/>
      <c r="F8" s="11"/>
      <c r="G8" s="11"/>
      <c r="H8" s="11"/>
      <c r="I8" s="11"/>
      <c r="J8" s="647">
        <v>24</v>
      </c>
      <c r="K8" s="547">
        <v>2379.96</v>
      </c>
      <c r="L8" s="548">
        <f>K8/J8</f>
        <v>99.165000000000006</v>
      </c>
      <c r="M8" s="575">
        <f t="shared" si="0"/>
        <v>1903.9680000000001</v>
      </c>
      <c r="N8" s="108">
        <f>(M8+K8)/J8</f>
        <v>178.49699999999999</v>
      </c>
    </row>
    <row r="9" spans="1:15" ht="19.5" customHeight="1" thickBot="1" x14ac:dyDescent="0.3">
      <c r="A9" s="96"/>
      <c r="B9" s="54">
        <v>1703</v>
      </c>
      <c r="C9" s="565" t="s">
        <v>204</v>
      </c>
      <c r="D9" s="8"/>
      <c r="E9" s="8"/>
      <c r="F9" s="8"/>
      <c r="G9" s="8"/>
      <c r="H9" s="8"/>
      <c r="I9" s="8"/>
      <c r="J9" s="648"/>
      <c r="K9" s="549">
        <f>K8*0.9</f>
        <v>2141.9639999999999</v>
      </c>
      <c r="L9" s="550">
        <f>K9/J8</f>
        <v>89.248499999999993</v>
      </c>
      <c r="M9" s="576">
        <f t="shared" si="0"/>
        <v>1713.5712000000001</v>
      </c>
      <c r="N9" s="109">
        <f>(M9+K9)/J8</f>
        <v>160.6473</v>
      </c>
    </row>
    <row r="10" spans="1:15" ht="19.5" customHeight="1" x14ac:dyDescent="0.25">
      <c r="A10" s="95">
        <v>4</v>
      </c>
      <c r="B10" s="14">
        <v>1916</v>
      </c>
      <c r="C10" s="562" t="s">
        <v>7</v>
      </c>
      <c r="D10" s="11"/>
      <c r="E10" s="11"/>
      <c r="F10" s="11"/>
      <c r="G10" s="11"/>
      <c r="H10" s="11"/>
      <c r="I10" s="11"/>
      <c r="J10" s="647">
        <v>29</v>
      </c>
      <c r="K10" s="547">
        <v>3430.14</v>
      </c>
      <c r="L10" s="548">
        <f>K10/J10</f>
        <v>118.28068965517241</v>
      </c>
      <c r="M10" s="575">
        <f>K10*0.8+M12</f>
        <v>2837.0880000000002</v>
      </c>
      <c r="N10" s="108">
        <f>(M10+K10)/J10</f>
        <v>216.11131034482759</v>
      </c>
    </row>
    <row r="11" spans="1:15" ht="19.5" customHeight="1" thickBot="1" x14ac:dyDescent="0.3">
      <c r="A11" s="96"/>
      <c r="B11" s="54">
        <v>725</v>
      </c>
      <c r="C11" s="563" t="s">
        <v>54</v>
      </c>
      <c r="D11" s="8"/>
      <c r="E11" s="8"/>
      <c r="F11" s="8"/>
      <c r="G11" s="8"/>
      <c r="H11" s="8"/>
      <c r="I11" s="8"/>
      <c r="J11" s="648"/>
      <c r="K11" s="549">
        <f>K10*0.9</f>
        <v>3087.1259999999997</v>
      </c>
      <c r="L11" s="550">
        <f>K11/J10</f>
        <v>106.45262068965516</v>
      </c>
      <c r="M11" s="576">
        <f t="shared" si="0"/>
        <v>2469.7008000000001</v>
      </c>
      <c r="N11" s="109">
        <f>(M11+K11)/J10</f>
        <v>191.61471724137931</v>
      </c>
    </row>
    <row r="12" spans="1:15" ht="19.5" hidden="1" customHeight="1" thickBot="1" x14ac:dyDescent="0.3">
      <c r="A12" s="543">
        <v>9</v>
      </c>
      <c r="B12" s="544">
        <v>1916</v>
      </c>
      <c r="C12" s="566" t="s">
        <v>7</v>
      </c>
      <c r="D12" s="545"/>
      <c r="E12" s="545"/>
      <c r="F12" s="545"/>
      <c r="G12" s="545"/>
      <c r="H12" s="545"/>
      <c r="I12" s="545"/>
      <c r="J12" s="638">
        <v>1</v>
      </c>
      <c r="K12" s="551">
        <v>116.22</v>
      </c>
      <c r="L12" s="552">
        <f>K12/J12</f>
        <v>116.22</v>
      </c>
      <c r="M12" s="577">
        <f t="shared" si="0"/>
        <v>92.975999999999999</v>
      </c>
      <c r="N12" s="108">
        <f t="shared" ref="N12:N58" si="1">M12+K12</f>
        <v>209.196</v>
      </c>
    </row>
    <row r="13" spans="1:15" ht="19.5" customHeight="1" x14ac:dyDescent="0.25">
      <c r="A13" s="95">
        <v>5</v>
      </c>
      <c r="B13" s="11">
        <v>990</v>
      </c>
      <c r="C13" s="562" t="s">
        <v>96</v>
      </c>
      <c r="D13" s="11"/>
      <c r="E13" s="11"/>
      <c r="F13" s="11"/>
      <c r="G13" s="11"/>
      <c r="H13" s="11"/>
      <c r="I13" s="11"/>
      <c r="J13" s="657">
        <v>25</v>
      </c>
      <c r="K13" s="547">
        <v>1883.25</v>
      </c>
      <c r="L13" s="548">
        <f>K13/J13</f>
        <v>75.33</v>
      </c>
      <c r="M13" s="575">
        <f t="shared" si="0"/>
        <v>1506.6000000000001</v>
      </c>
      <c r="N13" s="108">
        <f>(M13+K13)/J13</f>
        <v>135.59400000000002</v>
      </c>
    </row>
    <row r="14" spans="1:15" ht="19.5" customHeight="1" thickBot="1" x14ac:dyDescent="0.3">
      <c r="A14" s="96"/>
      <c r="B14" s="8">
        <v>175</v>
      </c>
      <c r="C14" s="563" t="s">
        <v>205</v>
      </c>
      <c r="D14" s="8"/>
      <c r="E14" s="8"/>
      <c r="F14" s="8"/>
      <c r="G14" s="8"/>
      <c r="H14" s="8"/>
      <c r="I14" s="8"/>
      <c r="J14" s="658"/>
      <c r="K14" s="549">
        <f>K13*0.9</f>
        <v>1694.925</v>
      </c>
      <c r="L14" s="550">
        <f>K14/J13</f>
        <v>67.796999999999997</v>
      </c>
      <c r="M14" s="576">
        <f t="shared" si="0"/>
        <v>1355.94</v>
      </c>
      <c r="N14" s="109">
        <f>(M14+K14)/J13</f>
        <v>122.0346</v>
      </c>
    </row>
    <row r="15" spans="1:15" ht="19.5" customHeight="1" x14ac:dyDescent="0.25">
      <c r="A15" s="541">
        <v>6</v>
      </c>
      <c r="B15" s="546">
        <v>665</v>
      </c>
      <c r="C15" s="567" t="s">
        <v>99</v>
      </c>
      <c r="D15" s="542"/>
      <c r="E15" s="542"/>
      <c r="F15" s="542"/>
      <c r="G15" s="542"/>
      <c r="H15" s="542"/>
      <c r="I15" s="542"/>
      <c r="J15" s="656">
        <v>31</v>
      </c>
      <c r="K15" s="553">
        <v>2908.45</v>
      </c>
      <c r="L15" s="554">
        <f>K15/J15</f>
        <v>93.820967741935476</v>
      </c>
      <c r="M15" s="578">
        <f t="shared" si="0"/>
        <v>2326.7599999999998</v>
      </c>
      <c r="N15" s="108">
        <f>(M15+K15)/J15</f>
        <v>168.87774193548384</v>
      </c>
    </row>
    <row r="16" spans="1:15" ht="19.5" customHeight="1" thickBot="1" x14ac:dyDescent="0.3">
      <c r="A16" s="96"/>
      <c r="B16" s="54">
        <v>668</v>
      </c>
      <c r="C16" s="563" t="s">
        <v>100</v>
      </c>
      <c r="D16" s="8"/>
      <c r="E16" s="8"/>
      <c r="F16" s="8"/>
      <c r="G16" s="8"/>
      <c r="H16" s="8"/>
      <c r="I16" s="8"/>
      <c r="J16" s="648"/>
      <c r="K16" s="549">
        <f>K15*0.9</f>
        <v>2617.605</v>
      </c>
      <c r="L16" s="550">
        <f>K16/J15</f>
        <v>84.438870967741934</v>
      </c>
      <c r="M16" s="576">
        <f t="shared" si="0"/>
        <v>2094.0840000000003</v>
      </c>
      <c r="N16" s="109">
        <f>(M16+K16)/J15</f>
        <v>151.98996774193549</v>
      </c>
    </row>
    <row r="17" spans="1:14" ht="19.5" customHeight="1" x14ac:dyDescent="0.25">
      <c r="A17" s="95">
        <v>7</v>
      </c>
      <c r="B17" s="14">
        <v>129</v>
      </c>
      <c r="C17" s="562" t="s">
        <v>97</v>
      </c>
      <c r="D17" s="11"/>
      <c r="E17" s="11"/>
      <c r="F17" s="11"/>
      <c r="G17" s="11"/>
      <c r="H17" s="11"/>
      <c r="I17" s="11"/>
      <c r="J17" s="647">
        <v>26</v>
      </c>
      <c r="K17" s="547">
        <v>2043.02</v>
      </c>
      <c r="L17" s="548">
        <f>K17/J17</f>
        <v>78.577692307692303</v>
      </c>
      <c r="M17" s="575">
        <f>K17*0.8+M19</f>
        <v>1724.3840000000002</v>
      </c>
      <c r="N17" s="108">
        <f>(M17+K17)/J17</f>
        <v>144.90015384615387</v>
      </c>
    </row>
    <row r="18" spans="1:14" ht="19.5" customHeight="1" thickBot="1" x14ac:dyDescent="0.3">
      <c r="A18" s="96"/>
      <c r="B18" s="54">
        <v>313</v>
      </c>
      <c r="C18" s="563" t="s">
        <v>98</v>
      </c>
      <c r="D18" s="8"/>
      <c r="E18" s="8"/>
      <c r="F18" s="8"/>
      <c r="G18" s="8"/>
      <c r="H18" s="8"/>
      <c r="I18" s="8"/>
      <c r="J18" s="648"/>
      <c r="K18" s="549">
        <f>K17*0.9</f>
        <v>1838.7180000000001</v>
      </c>
      <c r="L18" s="550">
        <f>K18/J17</f>
        <v>70.719923076923081</v>
      </c>
      <c r="M18" s="576">
        <f t="shared" si="0"/>
        <v>1470.9744000000001</v>
      </c>
      <c r="N18" s="109">
        <f>(M18+K18)/J17</f>
        <v>127.29586153846154</v>
      </c>
    </row>
    <row r="19" spans="1:14" ht="19.5" hidden="1" customHeight="1" thickBot="1" x14ac:dyDescent="0.3">
      <c r="A19" s="537"/>
      <c r="B19" s="14">
        <v>129</v>
      </c>
      <c r="C19" s="562" t="s">
        <v>97</v>
      </c>
      <c r="D19" s="539"/>
      <c r="E19" s="539"/>
      <c r="F19" s="539"/>
      <c r="G19" s="539"/>
      <c r="H19" s="539"/>
      <c r="I19" s="539"/>
      <c r="J19" s="639">
        <v>1</v>
      </c>
      <c r="K19" s="555">
        <v>112.46</v>
      </c>
      <c r="L19" s="548">
        <f>K19/J19</f>
        <v>112.46</v>
      </c>
      <c r="M19" s="575">
        <f t="shared" si="0"/>
        <v>89.968000000000004</v>
      </c>
      <c r="N19" s="108">
        <f>M19+K19</f>
        <v>202.428</v>
      </c>
    </row>
    <row r="20" spans="1:14" ht="19.5" customHeight="1" x14ac:dyDescent="0.25">
      <c r="A20" s="95">
        <v>8</v>
      </c>
      <c r="B20" s="14">
        <v>107</v>
      </c>
      <c r="C20" s="562" t="s">
        <v>101</v>
      </c>
      <c r="D20" s="11"/>
      <c r="E20" s="11"/>
      <c r="F20" s="11"/>
      <c r="G20" s="11"/>
      <c r="H20" s="11"/>
      <c r="I20" s="11"/>
      <c r="J20" s="647">
        <v>25</v>
      </c>
      <c r="K20" s="547">
        <v>2245.21</v>
      </c>
      <c r="L20" s="548">
        <f>K20/J20</f>
        <v>89.808400000000006</v>
      </c>
      <c r="M20" s="575">
        <f t="shared" si="0"/>
        <v>1796.1680000000001</v>
      </c>
      <c r="N20" s="108">
        <f>(M20+K20)/J20</f>
        <v>161.65512000000001</v>
      </c>
    </row>
    <row r="21" spans="1:14" ht="19.5" customHeight="1" thickBot="1" x14ac:dyDescent="0.3">
      <c r="A21" s="96"/>
      <c r="B21" s="54">
        <v>1892</v>
      </c>
      <c r="C21" s="563" t="s">
        <v>206</v>
      </c>
      <c r="D21" s="8"/>
      <c r="E21" s="8"/>
      <c r="F21" s="8"/>
      <c r="G21" s="8"/>
      <c r="H21" s="8"/>
      <c r="I21" s="8"/>
      <c r="J21" s="648"/>
      <c r="K21" s="549">
        <f>K20*0.9</f>
        <v>2020.6890000000001</v>
      </c>
      <c r="L21" s="550">
        <f>K21/J20</f>
        <v>80.827560000000005</v>
      </c>
      <c r="M21" s="576">
        <f t="shared" si="0"/>
        <v>1616.5512000000001</v>
      </c>
      <c r="N21" s="109">
        <f>(M21+K21)/J20</f>
        <v>145.489608</v>
      </c>
    </row>
    <row r="22" spans="1:14" ht="19.5" customHeight="1" x14ac:dyDescent="0.25">
      <c r="A22" s="95">
        <v>9</v>
      </c>
      <c r="B22" s="14">
        <v>646</v>
      </c>
      <c r="C22" s="562" t="s">
        <v>207</v>
      </c>
      <c r="D22" s="11"/>
      <c r="E22" s="11"/>
      <c r="F22" s="11"/>
      <c r="G22" s="11"/>
      <c r="H22" s="11"/>
      <c r="I22" s="11"/>
      <c r="J22" s="647">
        <v>25</v>
      </c>
      <c r="K22" s="547">
        <v>2533</v>
      </c>
      <c r="L22" s="548">
        <f>K22/J22</f>
        <v>101.32</v>
      </c>
      <c r="M22" s="575">
        <f t="shared" si="0"/>
        <v>2026.4</v>
      </c>
      <c r="N22" s="108">
        <f>(M22+K22)/J22</f>
        <v>182.37599999999998</v>
      </c>
    </row>
    <row r="23" spans="1:14" ht="19.5" customHeight="1" thickBot="1" x14ac:dyDescent="0.3">
      <c r="A23" s="96"/>
      <c r="B23" s="54">
        <v>460</v>
      </c>
      <c r="C23" s="563" t="s">
        <v>208</v>
      </c>
      <c r="D23" s="8"/>
      <c r="E23" s="8"/>
      <c r="F23" s="8"/>
      <c r="G23" s="8"/>
      <c r="H23" s="8"/>
      <c r="I23" s="8"/>
      <c r="J23" s="648"/>
      <c r="K23" s="549">
        <f>K22*0.9</f>
        <v>2279.7000000000003</v>
      </c>
      <c r="L23" s="550">
        <f>K23/J22</f>
        <v>91.188000000000017</v>
      </c>
      <c r="M23" s="576">
        <f t="shared" si="0"/>
        <v>1823.7600000000002</v>
      </c>
      <c r="N23" s="109">
        <f>(M23+K23)/J22</f>
        <v>164.13840000000005</v>
      </c>
    </row>
    <row r="24" spans="1:14" ht="19.5" customHeight="1" x14ac:dyDescent="0.25">
      <c r="A24" s="95">
        <v>10</v>
      </c>
      <c r="B24" s="14">
        <v>119</v>
      </c>
      <c r="C24" s="562" t="s">
        <v>107</v>
      </c>
      <c r="D24" s="11"/>
      <c r="E24" s="11"/>
      <c r="F24" s="11"/>
      <c r="G24" s="11"/>
      <c r="H24" s="11"/>
      <c r="I24" s="11"/>
      <c r="J24" s="647">
        <v>22</v>
      </c>
      <c r="K24" s="547">
        <v>1728.57</v>
      </c>
      <c r="L24" s="548">
        <f>K24/J24</f>
        <v>78.571363636363628</v>
      </c>
      <c r="M24" s="575">
        <f>K24*0.8+M26</f>
        <v>1413.6880000000001</v>
      </c>
      <c r="N24" s="108">
        <f>(M24+K24)/J24</f>
        <v>142.82990909090907</v>
      </c>
    </row>
    <row r="25" spans="1:14" ht="19.5" customHeight="1" thickBot="1" x14ac:dyDescent="0.3">
      <c r="A25" s="96"/>
      <c r="B25" s="54">
        <v>1971</v>
      </c>
      <c r="C25" s="563" t="s">
        <v>220</v>
      </c>
      <c r="D25" s="8"/>
      <c r="E25" s="8"/>
      <c r="F25" s="8"/>
      <c r="G25" s="8"/>
      <c r="H25" s="8"/>
      <c r="I25" s="8"/>
      <c r="J25" s="648"/>
      <c r="K25" s="549">
        <f>K24*0.9</f>
        <v>1555.713</v>
      </c>
      <c r="L25" s="550">
        <f>K25/J24</f>
        <v>70.714227272727271</v>
      </c>
      <c r="M25" s="576">
        <f>K25*0.8+M27</f>
        <v>1275.9304</v>
      </c>
      <c r="N25" s="109">
        <f>(M25+K25)/J24</f>
        <v>128.71106363636363</v>
      </c>
    </row>
    <row r="26" spans="1:14" ht="19.5" hidden="1" customHeight="1" thickBot="1" x14ac:dyDescent="0.3">
      <c r="A26" s="508"/>
      <c r="B26" s="509">
        <v>119</v>
      </c>
      <c r="C26" s="568" t="s">
        <v>107</v>
      </c>
      <c r="D26" s="4"/>
      <c r="E26" s="4"/>
      <c r="F26" s="4"/>
      <c r="G26" s="4"/>
      <c r="H26" s="4"/>
      <c r="I26" s="4"/>
      <c r="J26" s="510">
        <v>1</v>
      </c>
      <c r="K26" s="556">
        <v>38.54</v>
      </c>
      <c r="L26" s="557">
        <f>K26/J26</f>
        <v>38.54</v>
      </c>
      <c r="M26" s="579">
        <f t="shared" si="0"/>
        <v>30.832000000000001</v>
      </c>
      <c r="N26" s="109">
        <f t="shared" si="1"/>
        <v>69.372</v>
      </c>
    </row>
    <row r="27" spans="1:14" ht="19.5" hidden="1" customHeight="1" thickBot="1" x14ac:dyDescent="0.3">
      <c r="A27" s="537"/>
      <c r="B27" s="538">
        <v>1971</v>
      </c>
      <c r="C27" s="569" t="s">
        <v>220</v>
      </c>
      <c r="D27" s="539"/>
      <c r="E27" s="539"/>
      <c r="F27" s="539"/>
      <c r="G27" s="539"/>
      <c r="H27" s="539"/>
      <c r="I27" s="539"/>
      <c r="J27" s="639">
        <v>1</v>
      </c>
      <c r="K27" s="555">
        <v>39.200000000000003</v>
      </c>
      <c r="L27" s="554">
        <f>K27/J27</f>
        <v>39.200000000000003</v>
      </c>
      <c r="M27" s="578">
        <f t="shared" si="0"/>
        <v>31.360000000000003</v>
      </c>
      <c r="N27" s="109">
        <f t="shared" si="1"/>
        <v>70.56</v>
      </c>
    </row>
    <row r="28" spans="1:14" ht="19.5" customHeight="1" x14ac:dyDescent="0.25">
      <c r="A28" s="95">
        <v>11</v>
      </c>
      <c r="B28" s="14">
        <v>1302</v>
      </c>
      <c r="C28" s="562" t="s">
        <v>109</v>
      </c>
      <c r="D28" s="11"/>
      <c r="E28" s="11"/>
      <c r="F28" s="11"/>
      <c r="G28" s="11"/>
      <c r="H28" s="11"/>
      <c r="I28" s="11"/>
      <c r="J28" s="647">
        <v>25</v>
      </c>
      <c r="K28" s="547">
        <v>2437.94</v>
      </c>
      <c r="L28" s="548">
        <f>K28/J28</f>
        <v>97.517600000000002</v>
      </c>
      <c r="M28" s="575">
        <f t="shared" si="0"/>
        <v>1950.3520000000001</v>
      </c>
      <c r="N28" s="108">
        <f>(M28+K28)/J28</f>
        <v>175.53168000000002</v>
      </c>
    </row>
    <row r="29" spans="1:14" ht="19.5" customHeight="1" thickBot="1" x14ac:dyDescent="0.3">
      <c r="A29" s="96"/>
      <c r="B29" s="54">
        <v>105</v>
      </c>
      <c r="C29" s="563" t="s">
        <v>108</v>
      </c>
      <c r="D29" s="8"/>
      <c r="E29" s="8"/>
      <c r="F29" s="8"/>
      <c r="G29" s="8"/>
      <c r="H29" s="8"/>
      <c r="I29" s="8"/>
      <c r="J29" s="648"/>
      <c r="K29" s="549">
        <f>K28*0.9</f>
        <v>2194.1460000000002</v>
      </c>
      <c r="L29" s="550">
        <f>K29/J28</f>
        <v>87.765840000000011</v>
      </c>
      <c r="M29" s="576">
        <f t="shared" si="0"/>
        <v>1755.3168000000003</v>
      </c>
      <c r="N29" s="109">
        <f>(M29+K29)/J28</f>
        <v>157.97851200000002</v>
      </c>
    </row>
    <row r="30" spans="1:14" ht="19.5" customHeight="1" x14ac:dyDescent="0.25">
      <c r="A30" s="95">
        <v>12</v>
      </c>
      <c r="B30" s="14">
        <v>106</v>
      </c>
      <c r="C30" s="562" t="s">
        <v>110</v>
      </c>
      <c r="D30" s="11"/>
      <c r="E30" s="11"/>
      <c r="F30" s="11"/>
      <c r="G30" s="11"/>
      <c r="H30" s="11"/>
      <c r="I30" s="11"/>
      <c r="J30" s="647">
        <v>21</v>
      </c>
      <c r="K30" s="547">
        <v>1709.27</v>
      </c>
      <c r="L30" s="548">
        <f>K30/J30</f>
        <v>81.393809523809523</v>
      </c>
      <c r="M30" s="575">
        <f t="shared" si="0"/>
        <v>1367.4160000000002</v>
      </c>
      <c r="N30" s="108">
        <f>(M30+K30)/J30</f>
        <v>146.50885714285715</v>
      </c>
    </row>
    <row r="31" spans="1:14" ht="19.5" customHeight="1" thickBot="1" x14ac:dyDescent="0.3">
      <c r="A31" s="96"/>
      <c r="B31" s="54">
        <v>1922</v>
      </c>
      <c r="C31" s="563" t="s">
        <v>209</v>
      </c>
      <c r="D31" s="8"/>
      <c r="E31" s="8"/>
      <c r="F31" s="8"/>
      <c r="G31" s="8"/>
      <c r="H31" s="8"/>
      <c r="I31" s="8"/>
      <c r="J31" s="648"/>
      <c r="K31" s="549">
        <f>K30*0.9</f>
        <v>1538.3430000000001</v>
      </c>
      <c r="L31" s="550">
        <f>K31/J30</f>
        <v>73.254428571428576</v>
      </c>
      <c r="M31" s="576">
        <f t="shared" si="0"/>
        <v>1230.6744000000001</v>
      </c>
      <c r="N31" s="109">
        <f>(M31+K31)/J30</f>
        <v>131.85797142857143</v>
      </c>
    </row>
    <row r="32" spans="1:14" ht="19.5" customHeight="1" x14ac:dyDescent="0.25">
      <c r="A32" s="95">
        <v>13</v>
      </c>
      <c r="B32" s="14">
        <v>190</v>
      </c>
      <c r="C32" s="562" t="s">
        <v>111</v>
      </c>
      <c r="D32" s="11"/>
      <c r="E32" s="11"/>
      <c r="F32" s="11"/>
      <c r="G32" s="11"/>
      <c r="H32" s="11"/>
      <c r="I32" s="11"/>
      <c r="J32" s="647">
        <v>25</v>
      </c>
      <c r="K32" s="547">
        <v>2731.29</v>
      </c>
      <c r="L32" s="548">
        <f>K32/J32</f>
        <v>109.2516</v>
      </c>
      <c r="M32" s="575">
        <f t="shared" si="0"/>
        <v>2185.0320000000002</v>
      </c>
      <c r="N32" s="108">
        <f>(M32+K32)/J32</f>
        <v>196.65288000000001</v>
      </c>
    </row>
    <row r="33" spans="1:14" ht="19.5" customHeight="1" thickBot="1" x14ac:dyDescent="0.3">
      <c r="A33" s="96"/>
      <c r="B33" s="54">
        <v>757</v>
      </c>
      <c r="C33" s="563" t="s">
        <v>32</v>
      </c>
      <c r="D33" s="8"/>
      <c r="E33" s="8"/>
      <c r="F33" s="8"/>
      <c r="G33" s="8"/>
      <c r="H33" s="8"/>
      <c r="I33" s="8"/>
      <c r="J33" s="648"/>
      <c r="K33" s="549">
        <f>K32*0.9</f>
        <v>2458.1610000000001</v>
      </c>
      <c r="L33" s="550">
        <f>K33/J32</f>
        <v>98.326440000000005</v>
      </c>
      <c r="M33" s="576">
        <f t="shared" si="0"/>
        <v>1966.5288</v>
      </c>
      <c r="N33" s="109">
        <f>(M33+K33)/J32</f>
        <v>176.98759200000001</v>
      </c>
    </row>
    <row r="34" spans="1:14" ht="19.5" customHeight="1" x14ac:dyDescent="0.25">
      <c r="A34" s="95">
        <v>14</v>
      </c>
      <c r="B34" s="14">
        <v>247</v>
      </c>
      <c r="C34" s="562" t="s">
        <v>112</v>
      </c>
      <c r="D34" s="11"/>
      <c r="E34" s="11"/>
      <c r="F34" s="11"/>
      <c r="G34" s="11"/>
      <c r="H34" s="11"/>
      <c r="I34" s="11"/>
      <c r="J34" s="647">
        <v>27</v>
      </c>
      <c r="K34" s="547">
        <v>2462.52</v>
      </c>
      <c r="L34" s="548">
        <f>K34/J34</f>
        <v>91.204444444444448</v>
      </c>
      <c r="M34" s="575">
        <f t="shared" si="0"/>
        <v>1970.0160000000001</v>
      </c>
      <c r="N34" s="108">
        <f>(M34+K34)/J34</f>
        <v>164.16800000000001</v>
      </c>
    </row>
    <row r="35" spans="1:14" ht="19.5" customHeight="1" thickBot="1" x14ac:dyDescent="0.3">
      <c r="A35" s="96"/>
      <c r="B35" s="54">
        <v>691</v>
      </c>
      <c r="C35" s="563" t="s">
        <v>8</v>
      </c>
      <c r="D35" s="8"/>
      <c r="E35" s="8"/>
      <c r="F35" s="8"/>
      <c r="G35" s="8"/>
      <c r="H35" s="8"/>
      <c r="I35" s="8"/>
      <c r="J35" s="648"/>
      <c r="K35" s="549">
        <f t="shared" ref="K35" si="2">K34*0.9</f>
        <v>2216.268</v>
      </c>
      <c r="L35" s="550">
        <f>K35/J34</f>
        <v>82.084000000000003</v>
      </c>
      <c r="M35" s="576">
        <f t="shared" si="0"/>
        <v>1773.0144</v>
      </c>
      <c r="N35" s="109">
        <f>(M35+K35)/J34</f>
        <v>147.75120000000001</v>
      </c>
    </row>
    <row r="36" spans="1:14" ht="19.5" customHeight="1" x14ac:dyDescent="0.25">
      <c r="A36" s="95">
        <v>15</v>
      </c>
      <c r="B36" s="14">
        <v>176</v>
      </c>
      <c r="C36" s="653" t="s">
        <v>210</v>
      </c>
      <c r="D36" s="53"/>
      <c r="E36" s="53"/>
      <c r="F36" s="11"/>
      <c r="G36" s="11"/>
      <c r="H36" s="11"/>
      <c r="I36" s="11"/>
      <c r="J36" s="647">
        <v>24</v>
      </c>
      <c r="K36" s="547">
        <v>2414.58</v>
      </c>
      <c r="L36" s="548">
        <f>K36/J36</f>
        <v>100.6075</v>
      </c>
      <c r="M36" s="575">
        <f t="shared" si="0"/>
        <v>1931.664</v>
      </c>
      <c r="N36" s="108">
        <f>(M36+K36)/J36</f>
        <v>181.09349999999998</v>
      </c>
    </row>
    <row r="37" spans="1:14" ht="19.5" customHeight="1" thickBot="1" x14ac:dyDescent="0.3">
      <c r="A37" s="96"/>
      <c r="B37" s="54">
        <v>1772</v>
      </c>
      <c r="C37" s="654"/>
      <c r="D37" s="8"/>
      <c r="E37" s="8"/>
      <c r="F37" s="8"/>
      <c r="G37" s="8"/>
      <c r="H37" s="8"/>
      <c r="I37" s="8"/>
      <c r="J37" s="648"/>
      <c r="K37" s="549">
        <f>K36*0.9</f>
        <v>2173.1219999999998</v>
      </c>
      <c r="L37" s="550">
        <f>K37/J36</f>
        <v>90.546749999999989</v>
      </c>
      <c r="M37" s="576">
        <f t="shared" si="0"/>
        <v>1738.4975999999999</v>
      </c>
      <c r="N37" s="109">
        <f>(M37+K37)/J36</f>
        <v>162.98415</v>
      </c>
    </row>
    <row r="38" spans="1:14" ht="19.5" customHeight="1" x14ac:dyDescent="0.25">
      <c r="A38" s="95">
        <v>16</v>
      </c>
      <c r="B38" s="14">
        <v>674</v>
      </c>
      <c r="C38" s="562" t="s">
        <v>211</v>
      </c>
      <c r="D38" s="11"/>
      <c r="E38" s="11"/>
      <c r="F38" s="11"/>
      <c r="G38" s="11"/>
      <c r="H38" s="11"/>
      <c r="I38" s="11"/>
      <c r="J38" s="647">
        <v>26</v>
      </c>
      <c r="K38" s="547">
        <v>2711.09</v>
      </c>
      <c r="L38" s="548">
        <f>K38/J38</f>
        <v>104.27269230769231</v>
      </c>
      <c r="M38" s="575">
        <f t="shared" si="0"/>
        <v>2168.8720000000003</v>
      </c>
      <c r="N38" s="108">
        <f>(M38+K38)/J38</f>
        <v>187.69084615384617</v>
      </c>
    </row>
    <row r="39" spans="1:14" ht="19.5" customHeight="1" thickBot="1" x14ac:dyDescent="0.3">
      <c r="A39" s="96"/>
      <c r="B39" s="54">
        <v>843</v>
      </c>
      <c r="C39" s="563" t="s">
        <v>113</v>
      </c>
      <c r="D39" s="8"/>
      <c r="E39" s="8"/>
      <c r="F39" s="8"/>
      <c r="G39" s="8"/>
      <c r="H39" s="8"/>
      <c r="I39" s="8"/>
      <c r="J39" s="648"/>
      <c r="K39" s="549">
        <f>K38*0.9</f>
        <v>2439.9810000000002</v>
      </c>
      <c r="L39" s="550">
        <f>K39/J38</f>
        <v>93.845423076923083</v>
      </c>
      <c r="M39" s="576">
        <f t="shared" si="0"/>
        <v>1951.9848000000002</v>
      </c>
      <c r="N39" s="109">
        <f>(M39+K39)/J38</f>
        <v>168.92176153846154</v>
      </c>
    </row>
    <row r="40" spans="1:14" ht="19.5" customHeight="1" x14ac:dyDescent="0.25">
      <c r="A40" s="95">
        <v>17</v>
      </c>
      <c r="B40" s="14">
        <v>163</v>
      </c>
      <c r="C40" s="562" t="s">
        <v>114</v>
      </c>
      <c r="D40" s="11"/>
      <c r="E40" s="11"/>
      <c r="F40" s="11"/>
      <c r="G40" s="11"/>
      <c r="H40" s="11"/>
      <c r="I40" s="11"/>
      <c r="J40" s="647">
        <v>19</v>
      </c>
      <c r="K40" s="547">
        <v>1731.07</v>
      </c>
      <c r="L40" s="548">
        <f>K40/J40</f>
        <v>91.108947368421056</v>
      </c>
      <c r="M40" s="575">
        <f>K40*0.8+M42</f>
        <v>1636.4639999999999</v>
      </c>
      <c r="N40" s="108">
        <f>(M40+K40)/J40</f>
        <v>177.23863157894735</v>
      </c>
    </row>
    <row r="41" spans="1:14" ht="19.5" customHeight="1" thickBot="1" x14ac:dyDescent="0.3">
      <c r="A41" s="96"/>
      <c r="B41" s="54">
        <v>1528</v>
      </c>
      <c r="C41" s="563" t="s">
        <v>212</v>
      </c>
      <c r="D41" s="8"/>
      <c r="E41" s="8"/>
      <c r="F41" s="8"/>
      <c r="G41" s="8"/>
      <c r="H41" s="8"/>
      <c r="I41" s="8"/>
      <c r="J41" s="648"/>
      <c r="K41" s="549">
        <f>K40*0.9</f>
        <v>1557.963</v>
      </c>
      <c r="L41" s="550">
        <f>K41/J40</f>
        <v>81.998052631578943</v>
      </c>
      <c r="M41" s="576">
        <f t="shared" si="0"/>
        <v>1246.3704</v>
      </c>
      <c r="N41" s="109">
        <f>(M41+K41)/J40</f>
        <v>147.59649473684212</v>
      </c>
    </row>
    <row r="42" spans="1:14" ht="19.5" hidden="1" customHeight="1" thickBot="1" x14ac:dyDescent="0.3">
      <c r="A42" s="537">
        <v>18</v>
      </c>
      <c r="B42" s="14">
        <v>163</v>
      </c>
      <c r="C42" s="562" t="s">
        <v>114</v>
      </c>
      <c r="D42" s="539"/>
      <c r="E42" s="539"/>
      <c r="F42" s="539"/>
      <c r="G42" s="539"/>
      <c r="H42" s="539"/>
      <c r="I42" s="539"/>
      <c r="J42" s="639">
        <v>5</v>
      </c>
      <c r="K42" s="555">
        <v>314.51</v>
      </c>
      <c r="L42" s="548">
        <f>K42/J42</f>
        <v>62.902000000000001</v>
      </c>
      <c r="M42" s="575">
        <f t="shared" si="0"/>
        <v>251.608</v>
      </c>
      <c r="N42" s="109">
        <f t="shared" si="1"/>
        <v>566.11799999999994</v>
      </c>
    </row>
    <row r="43" spans="1:14" ht="19.5" customHeight="1" x14ac:dyDescent="0.25">
      <c r="A43" s="95">
        <v>18</v>
      </c>
      <c r="B43" s="14">
        <v>1232</v>
      </c>
      <c r="C43" s="562" t="s">
        <v>105</v>
      </c>
      <c r="D43" s="11"/>
      <c r="E43" s="11"/>
      <c r="F43" s="11"/>
      <c r="G43" s="11"/>
      <c r="H43" s="11"/>
      <c r="I43" s="11"/>
      <c r="J43" s="647">
        <v>17</v>
      </c>
      <c r="K43" s="547">
        <v>1049.75</v>
      </c>
      <c r="L43" s="548">
        <f>K43/J43</f>
        <v>61.75</v>
      </c>
      <c r="M43" s="575">
        <f>K43*0.8+M45</f>
        <v>873.43200000000002</v>
      </c>
      <c r="N43" s="108">
        <f>(M43+K43)/J43</f>
        <v>113.12835294117647</v>
      </c>
    </row>
    <row r="44" spans="1:14" ht="19.5" customHeight="1" thickBot="1" x14ac:dyDescent="0.3">
      <c r="A44" s="96"/>
      <c r="B44" s="54">
        <v>419</v>
      </c>
      <c r="C44" s="563" t="s">
        <v>213</v>
      </c>
      <c r="D44" s="8"/>
      <c r="E44" s="8"/>
      <c r="F44" s="8"/>
      <c r="G44" s="8"/>
      <c r="H44" s="8"/>
      <c r="I44" s="8"/>
      <c r="J44" s="648"/>
      <c r="K44" s="549">
        <f>K43*0.9</f>
        <v>944.77499999999998</v>
      </c>
      <c r="L44" s="550">
        <f>K44/J43</f>
        <v>55.574999999999996</v>
      </c>
      <c r="M44" s="576">
        <f t="shared" si="0"/>
        <v>755.82</v>
      </c>
      <c r="N44" s="109">
        <f>(M44+K44)/J43</f>
        <v>100.035</v>
      </c>
    </row>
    <row r="45" spans="1:14" ht="19.5" hidden="1" customHeight="1" thickBot="1" x14ac:dyDescent="0.3">
      <c r="A45" s="537"/>
      <c r="B45" s="538">
        <v>1232</v>
      </c>
      <c r="C45" s="562" t="s">
        <v>105</v>
      </c>
      <c r="D45" s="539"/>
      <c r="E45" s="539"/>
      <c r="F45" s="539"/>
      <c r="G45" s="539"/>
      <c r="H45" s="539"/>
      <c r="I45" s="539"/>
      <c r="J45" s="639">
        <v>1</v>
      </c>
      <c r="K45" s="555">
        <v>42.04</v>
      </c>
      <c r="L45" s="548">
        <f>K45/J45</f>
        <v>42.04</v>
      </c>
      <c r="M45" s="575">
        <f t="shared" si="0"/>
        <v>33.631999999999998</v>
      </c>
      <c r="N45" s="109">
        <f t="shared" si="1"/>
        <v>75.671999999999997</v>
      </c>
    </row>
    <row r="46" spans="1:14" ht="19.5" customHeight="1" x14ac:dyDescent="0.25">
      <c r="A46" s="95">
        <v>19</v>
      </c>
      <c r="B46" s="14">
        <v>161</v>
      </c>
      <c r="C46" s="562" t="s">
        <v>53</v>
      </c>
      <c r="D46" s="11"/>
      <c r="E46" s="11"/>
      <c r="F46" s="11"/>
      <c r="G46" s="11"/>
      <c r="H46" s="11"/>
      <c r="I46" s="11"/>
      <c r="J46" s="647">
        <v>16</v>
      </c>
      <c r="K46" s="547">
        <v>1678.26</v>
      </c>
      <c r="L46" s="548">
        <f>K46/J46</f>
        <v>104.89125</v>
      </c>
      <c r="M46" s="575">
        <f t="shared" si="0"/>
        <v>1342.6080000000002</v>
      </c>
      <c r="N46" s="108">
        <f>(M46+K46)/J46</f>
        <v>188.80425000000002</v>
      </c>
    </row>
    <row r="47" spans="1:14" ht="19.5" customHeight="1" thickBot="1" x14ac:dyDescent="0.3">
      <c r="A47" s="96"/>
      <c r="B47" s="54">
        <v>291</v>
      </c>
      <c r="C47" s="563" t="s">
        <v>24</v>
      </c>
      <c r="D47" s="8"/>
      <c r="E47" s="8"/>
      <c r="F47" s="8"/>
      <c r="G47" s="8"/>
      <c r="H47" s="8"/>
      <c r="I47" s="8"/>
      <c r="J47" s="648"/>
      <c r="K47" s="549">
        <f>K46*0.9</f>
        <v>1510.434</v>
      </c>
      <c r="L47" s="550">
        <f>K47/J46</f>
        <v>94.402124999999998</v>
      </c>
      <c r="M47" s="576">
        <f t="shared" si="0"/>
        <v>1208.3471999999999</v>
      </c>
      <c r="N47" s="109">
        <f>(M47+K47)/J46</f>
        <v>169.92382499999999</v>
      </c>
    </row>
    <row r="48" spans="1:14" ht="19.5" customHeight="1" x14ac:dyDescent="0.25">
      <c r="A48" s="95">
        <v>20</v>
      </c>
      <c r="B48" s="14">
        <v>101</v>
      </c>
      <c r="C48" s="562" t="s">
        <v>214</v>
      </c>
      <c r="D48" s="11"/>
      <c r="E48" s="11"/>
      <c r="F48" s="11"/>
      <c r="G48" s="11"/>
      <c r="H48" s="11"/>
      <c r="I48" s="11"/>
      <c r="J48" s="647">
        <v>20</v>
      </c>
      <c r="K48" s="547">
        <v>863.49</v>
      </c>
      <c r="L48" s="548">
        <f>K48/J48</f>
        <v>43.174500000000002</v>
      </c>
      <c r="M48" s="575">
        <f t="shared" si="0"/>
        <v>690.79200000000003</v>
      </c>
      <c r="N48" s="108">
        <f>(M48+K48)/J48</f>
        <v>77.714100000000002</v>
      </c>
    </row>
    <row r="49" spans="1:17" ht="19.5" customHeight="1" thickBot="1" x14ac:dyDescent="0.3">
      <c r="A49" s="96"/>
      <c r="B49" s="54">
        <v>1010</v>
      </c>
      <c r="C49" s="563" t="s">
        <v>115</v>
      </c>
      <c r="D49" s="8"/>
      <c r="E49" s="8"/>
      <c r="F49" s="8"/>
      <c r="G49" s="8"/>
      <c r="H49" s="8"/>
      <c r="I49" s="8"/>
      <c r="J49" s="648"/>
      <c r="K49" s="549">
        <f>K48*0.9</f>
        <v>777.14100000000008</v>
      </c>
      <c r="L49" s="550">
        <f>K49/J48</f>
        <v>38.857050000000001</v>
      </c>
      <c r="M49" s="576">
        <f t="shared" si="0"/>
        <v>621.71280000000013</v>
      </c>
      <c r="N49" s="109">
        <f>(M49+K49)/J48</f>
        <v>69.942690000000013</v>
      </c>
    </row>
    <row r="50" spans="1:17" ht="19.5" customHeight="1" x14ac:dyDescent="0.25">
      <c r="A50" s="95">
        <v>21</v>
      </c>
      <c r="B50" s="14">
        <v>113</v>
      </c>
      <c r="C50" s="562" t="s">
        <v>116</v>
      </c>
      <c r="D50" s="11"/>
      <c r="E50" s="11"/>
      <c r="F50" s="11"/>
      <c r="G50" s="11"/>
      <c r="H50" s="11"/>
      <c r="I50" s="11"/>
      <c r="J50" s="647">
        <v>24</v>
      </c>
      <c r="K50" s="547">
        <v>2022.61</v>
      </c>
      <c r="L50" s="548">
        <f>K50/J50</f>
        <v>84.275416666666658</v>
      </c>
      <c r="M50" s="575">
        <f t="shared" si="0"/>
        <v>1618.088</v>
      </c>
      <c r="N50" s="108">
        <f>(M50+K50)/J50</f>
        <v>151.69575</v>
      </c>
    </row>
    <row r="51" spans="1:17" ht="19.5" customHeight="1" thickBot="1" x14ac:dyDescent="0.3">
      <c r="A51" s="96"/>
      <c r="B51" s="54">
        <v>1854</v>
      </c>
      <c r="C51" s="563" t="s">
        <v>117</v>
      </c>
      <c r="D51" s="8"/>
      <c r="E51" s="8"/>
      <c r="F51" s="8"/>
      <c r="G51" s="8"/>
      <c r="H51" s="8"/>
      <c r="I51" s="8"/>
      <c r="J51" s="648"/>
      <c r="K51" s="549">
        <f>K50*0.9</f>
        <v>1820.3489999999999</v>
      </c>
      <c r="L51" s="550">
        <f>K51/J50</f>
        <v>75.847875000000002</v>
      </c>
      <c r="M51" s="576">
        <f t="shared" si="0"/>
        <v>1456.2791999999999</v>
      </c>
      <c r="N51" s="109">
        <f>(M51+K51)/J50</f>
        <v>136.52617499999999</v>
      </c>
    </row>
    <row r="52" spans="1:17" ht="15" hidden="1" customHeight="1" x14ac:dyDescent="0.25">
      <c r="A52" s="308"/>
      <c r="B52" s="309">
        <v>1321</v>
      </c>
      <c r="C52" s="649" t="s">
        <v>219</v>
      </c>
      <c r="D52" s="310"/>
      <c r="E52" s="310"/>
      <c r="F52" s="310"/>
      <c r="G52" s="310"/>
      <c r="H52" s="310"/>
      <c r="I52" s="310"/>
      <c r="J52" s="651">
        <v>21</v>
      </c>
      <c r="K52" s="558">
        <v>2313.42</v>
      </c>
      <c r="L52" s="559">
        <f>K52/J52</f>
        <v>110.16285714285715</v>
      </c>
      <c r="M52" s="580">
        <f t="shared" si="0"/>
        <v>1850.7360000000001</v>
      </c>
      <c r="N52" s="108">
        <f t="shared" si="1"/>
        <v>4164.1559999999999</v>
      </c>
      <c r="P52" s="311"/>
      <c r="Q52">
        <f>P52*0.8</f>
        <v>0</v>
      </c>
    </row>
    <row r="53" spans="1:17" ht="15.75" hidden="1" customHeight="1" x14ac:dyDescent="0.25">
      <c r="A53" s="312"/>
      <c r="B53" s="313">
        <v>1376</v>
      </c>
      <c r="C53" s="650"/>
      <c r="D53" s="314"/>
      <c r="E53" s="314"/>
      <c r="F53" s="314"/>
      <c r="G53" s="314"/>
      <c r="H53" s="314"/>
      <c r="I53" s="314"/>
      <c r="J53" s="652"/>
      <c r="K53" s="560">
        <f>K52*0.9</f>
        <v>2082.078</v>
      </c>
      <c r="L53" s="561">
        <f>K53/J52</f>
        <v>99.146571428571434</v>
      </c>
      <c r="M53" s="581">
        <f t="shared" si="0"/>
        <v>1665.6624000000002</v>
      </c>
      <c r="N53" s="109">
        <f t="shared" si="1"/>
        <v>3747.7404000000001</v>
      </c>
      <c r="P53" s="315"/>
      <c r="Q53">
        <f t="shared" ref="Q53:Q57" si="3">P53*0.8</f>
        <v>0</v>
      </c>
    </row>
    <row r="54" spans="1:17" ht="15" hidden="1" customHeight="1" x14ac:dyDescent="0.25">
      <c r="A54" s="308"/>
      <c r="B54" s="309">
        <v>1343</v>
      </c>
      <c r="C54" s="649" t="s">
        <v>217</v>
      </c>
      <c r="D54" s="310"/>
      <c r="E54" s="310"/>
      <c r="F54" s="310"/>
      <c r="G54" s="310"/>
      <c r="H54" s="310"/>
      <c r="I54" s="310"/>
      <c r="J54" s="651">
        <v>21</v>
      </c>
      <c r="K54" s="558">
        <v>2134.6799999999998</v>
      </c>
      <c r="L54" s="559">
        <f>K54/J54</f>
        <v>101.65142857142857</v>
      </c>
      <c r="M54" s="580">
        <f t="shared" si="0"/>
        <v>1707.7439999999999</v>
      </c>
      <c r="N54" s="108">
        <f t="shared" si="1"/>
        <v>3842.424</v>
      </c>
      <c r="P54" s="311"/>
      <c r="Q54">
        <f t="shared" si="3"/>
        <v>0</v>
      </c>
    </row>
    <row r="55" spans="1:17" ht="15.75" hidden="1" customHeight="1" x14ac:dyDescent="0.25">
      <c r="A55" s="312"/>
      <c r="B55" s="313">
        <v>1374</v>
      </c>
      <c r="C55" s="650"/>
      <c r="D55" s="314"/>
      <c r="E55" s="314"/>
      <c r="F55" s="314"/>
      <c r="G55" s="314"/>
      <c r="H55" s="314"/>
      <c r="I55" s="314"/>
      <c r="J55" s="652"/>
      <c r="K55" s="560">
        <f>K54*0.9</f>
        <v>1921.212</v>
      </c>
      <c r="L55" s="561">
        <f>K55/J54</f>
        <v>91.486285714285714</v>
      </c>
      <c r="M55" s="581">
        <f t="shared" si="0"/>
        <v>1536.9696000000001</v>
      </c>
      <c r="N55" s="109">
        <f t="shared" si="1"/>
        <v>3458.1815999999999</v>
      </c>
      <c r="P55" s="315"/>
      <c r="Q55">
        <f t="shared" si="3"/>
        <v>0</v>
      </c>
    </row>
    <row r="56" spans="1:17" ht="15" hidden="1" customHeight="1" x14ac:dyDescent="0.25">
      <c r="A56" s="308"/>
      <c r="B56" s="309">
        <v>1340</v>
      </c>
      <c r="C56" s="649" t="s">
        <v>218</v>
      </c>
      <c r="D56" s="310"/>
      <c r="E56" s="310"/>
      <c r="F56" s="310"/>
      <c r="G56" s="310"/>
      <c r="H56" s="310"/>
      <c r="I56" s="310"/>
      <c r="J56" s="651">
        <v>22</v>
      </c>
      <c r="K56" s="558">
        <v>2177.14</v>
      </c>
      <c r="L56" s="559">
        <f>K56/J56</f>
        <v>98.960909090909084</v>
      </c>
      <c r="M56" s="580">
        <f t="shared" si="0"/>
        <v>1741.712</v>
      </c>
      <c r="N56" s="108">
        <f t="shared" si="1"/>
        <v>3918.8519999999999</v>
      </c>
      <c r="P56" s="311"/>
      <c r="Q56">
        <f t="shared" si="3"/>
        <v>0</v>
      </c>
    </row>
    <row r="57" spans="1:17" ht="15.75" hidden="1" customHeight="1" x14ac:dyDescent="0.25">
      <c r="A57" s="312"/>
      <c r="B57" s="313">
        <v>1667</v>
      </c>
      <c r="C57" s="650"/>
      <c r="D57" s="314"/>
      <c r="E57" s="314"/>
      <c r="F57" s="314"/>
      <c r="G57" s="314"/>
      <c r="H57" s="314"/>
      <c r="I57" s="314"/>
      <c r="J57" s="652"/>
      <c r="K57" s="560">
        <f>K56*0.9</f>
        <v>1959.4259999999999</v>
      </c>
      <c r="L57" s="561">
        <f>K57/J56</f>
        <v>89.064818181818183</v>
      </c>
      <c r="M57" s="581">
        <f t="shared" si="0"/>
        <v>1567.5408</v>
      </c>
      <c r="N57" s="109">
        <f t="shared" si="1"/>
        <v>3526.9668000000001</v>
      </c>
      <c r="P57" s="315"/>
      <c r="Q57">
        <f t="shared" si="3"/>
        <v>0</v>
      </c>
    </row>
    <row r="58" spans="1:17" ht="23.25" customHeight="1" thickBot="1" x14ac:dyDescent="0.3">
      <c r="A58" s="508">
        <v>22</v>
      </c>
      <c r="B58" s="509">
        <v>199</v>
      </c>
      <c r="C58" s="568" t="s">
        <v>215</v>
      </c>
      <c r="D58" s="4"/>
      <c r="E58" s="4"/>
      <c r="F58" s="4"/>
      <c r="G58" s="4"/>
      <c r="H58" s="4"/>
      <c r="I58" s="4"/>
      <c r="J58" s="510">
        <v>29</v>
      </c>
      <c r="K58" s="556">
        <v>4524.8500000000004</v>
      </c>
      <c r="L58" s="557">
        <f>K58/J58</f>
        <v>156.02931034482759</v>
      </c>
      <c r="M58" s="579">
        <f>K58*0.8</f>
        <v>3619.8800000000006</v>
      </c>
      <c r="N58" s="108">
        <f>(M58+K58)/J58</f>
        <v>280.85275862068971</v>
      </c>
      <c r="O58" s="215"/>
    </row>
    <row r="59" spans="1:17" ht="35.25" customHeight="1" thickBot="1" x14ac:dyDescent="0.3">
      <c r="A59" s="10"/>
      <c r="B59" s="13"/>
      <c r="C59" s="573" t="s">
        <v>5</v>
      </c>
      <c r="D59" s="100"/>
      <c r="E59" s="100"/>
      <c r="F59" s="100"/>
      <c r="G59" s="100"/>
      <c r="H59" s="100"/>
      <c r="I59" s="100"/>
      <c r="J59" s="643">
        <f>SUM(J4:J58)</f>
        <v>603</v>
      </c>
      <c r="K59" s="571">
        <f>SUM(K4:K58)</f>
        <v>103745.03799999999</v>
      </c>
      <c r="L59" s="572">
        <f>K59/J59/2</f>
        <v>86.024077943615239</v>
      </c>
      <c r="M59" s="110">
        <f>SUM(M4:M58)</f>
        <v>83526.406400000022</v>
      </c>
      <c r="N59" s="110"/>
    </row>
    <row r="61" spans="1:17" x14ac:dyDescent="0.25">
      <c r="B61" s="2"/>
      <c r="C61" s="2" t="s">
        <v>6</v>
      </c>
      <c r="E61" s="92"/>
      <c r="F61" s="2"/>
      <c r="G61" s="2" t="s">
        <v>62</v>
      </c>
      <c r="H61" s="9"/>
      <c r="I61" s="2"/>
      <c r="J61" s="2"/>
      <c r="K61" s="2"/>
      <c r="L61" s="2" t="s">
        <v>119</v>
      </c>
      <c r="M61" s="2"/>
      <c r="N61" s="641"/>
      <c r="O61" s="2"/>
    </row>
    <row r="64" spans="1:17" x14ac:dyDescent="0.25">
      <c r="N64" s="583"/>
    </row>
  </sheetData>
  <mergeCells count="29">
    <mergeCell ref="J13:J14"/>
    <mergeCell ref="A2:M2"/>
    <mergeCell ref="J4:J5"/>
    <mergeCell ref="J6:J7"/>
    <mergeCell ref="J8:J9"/>
    <mergeCell ref="J10:J11"/>
    <mergeCell ref="J38:J39"/>
    <mergeCell ref="J15:J16"/>
    <mergeCell ref="J17:J18"/>
    <mergeCell ref="J20:J21"/>
    <mergeCell ref="J22:J23"/>
    <mergeCell ref="J24:J25"/>
    <mergeCell ref="J28:J29"/>
    <mergeCell ref="J30:J31"/>
    <mergeCell ref="J32:J33"/>
    <mergeCell ref="J34:J35"/>
    <mergeCell ref="C36:C37"/>
    <mergeCell ref="J36:J37"/>
    <mergeCell ref="C54:C55"/>
    <mergeCell ref="J54:J55"/>
    <mergeCell ref="C56:C57"/>
    <mergeCell ref="J56:J57"/>
    <mergeCell ref="J40:J41"/>
    <mergeCell ref="J43:J44"/>
    <mergeCell ref="J46:J47"/>
    <mergeCell ref="J48:J49"/>
    <mergeCell ref="J50:J51"/>
    <mergeCell ref="C52:C53"/>
    <mergeCell ref="J52:J53"/>
  </mergeCells>
  <pageMargins left="0.70866141732283472" right="0" top="0.55118110236220474" bottom="0.35433070866141736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5" sqref="A5"/>
    </sheetView>
  </sheetViews>
  <sheetFormatPr defaultRowHeight="15.75" x14ac:dyDescent="0.25"/>
  <cols>
    <col min="1" max="1" width="20.28515625" style="28" customWidth="1"/>
    <col min="2" max="2" width="12.5703125" style="28" customWidth="1"/>
    <col min="3" max="3" width="12" style="28" customWidth="1"/>
    <col min="4" max="4" width="13.85546875" style="28" customWidth="1"/>
    <col min="5" max="5" width="11.140625" style="28" customWidth="1"/>
    <col min="6" max="6" width="10.7109375" style="28" customWidth="1"/>
    <col min="7" max="7" width="16" style="28" customWidth="1"/>
    <col min="8" max="8" width="16.42578125" style="28" customWidth="1"/>
    <col min="9" max="9" width="11.7109375" style="28" customWidth="1"/>
    <col min="10" max="16384" width="9.140625" style="28"/>
  </cols>
  <sheetData>
    <row r="1" spans="1:9" s="316" customFormat="1" ht="47.25" x14ac:dyDescent="0.25">
      <c r="A1" s="318"/>
      <c r="B1" s="318" t="s">
        <v>150</v>
      </c>
      <c r="C1" s="318" t="s">
        <v>149</v>
      </c>
      <c r="D1" s="318" t="s">
        <v>154</v>
      </c>
      <c r="E1" s="318" t="s">
        <v>152</v>
      </c>
      <c r="F1" s="318" t="s">
        <v>151</v>
      </c>
      <c r="G1" s="318" t="s">
        <v>153</v>
      </c>
      <c r="H1" s="318" t="s">
        <v>156</v>
      </c>
      <c r="I1" s="319" t="s">
        <v>155</v>
      </c>
    </row>
    <row r="2" spans="1:9" x14ac:dyDescent="0.25">
      <c r="A2" s="320" t="s">
        <v>143</v>
      </c>
      <c r="B2" s="321">
        <v>2105.52</v>
      </c>
      <c r="C2" s="321">
        <v>367.34</v>
      </c>
      <c r="D2" s="321">
        <v>92.8</v>
      </c>
      <c r="E2" s="321">
        <v>1467.96</v>
      </c>
      <c r="F2" s="321">
        <f>0.8*E2</f>
        <v>1174.3680000000002</v>
      </c>
      <c r="G2" s="321"/>
      <c r="H2" s="321">
        <f>B2+C2+D2+F2+G2</f>
        <v>3740.0280000000002</v>
      </c>
      <c r="I2" s="322">
        <f>H2*0.86</f>
        <v>3216.4240800000002</v>
      </c>
    </row>
    <row r="3" spans="1:9" x14ac:dyDescent="0.25">
      <c r="A3" s="320" t="s">
        <v>144</v>
      </c>
      <c r="B3" s="321">
        <v>1956.07</v>
      </c>
      <c r="C3" s="321">
        <v>348.29</v>
      </c>
      <c r="D3" s="321">
        <v>92.8</v>
      </c>
      <c r="E3" s="321">
        <v>1321.16</v>
      </c>
      <c r="F3" s="321">
        <f>0.8*E3</f>
        <v>1056.9280000000001</v>
      </c>
      <c r="G3" s="321"/>
      <c r="H3" s="321">
        <f>B3+C3+D3+F3+G3</f>
        <v>3454.0880000000006</v>
      </c>
      <c r="I3" s="322">
        <f>H3*0.86</f>
        <v>2970.5156800000004</v>
      </c>
    </row>
    <row r="4" spans="1:9" x14ac:dyDescent="0.25">
      <c r="A4" s="320"/>
      <c r="B4" s="321"/>
      <c r="C4" s="321"/>
      <c r="D4" s="321"/>
      <c r="E4" s="321"/>
      <c r="F4" s="321"/>
      <c r="G4" s="321"/>
      <c r="H4" s="323"/>
      <c r="I4" s="322"/>
    </row>
    <row r="5" spans="1:9" x14ac:dyDescent="0.25">
      <c r="A5" s="320" t="s">
        <v>145</v>
      </c>
      <c r="B5" s="321">
        <v>2107.34</v>
      </c>
      <c r="C5" s="321">
        <v>351.27</v>
      </c>
      <c r="D5" s="321">
        <v>107.3</v>
      </c>
      <c r="E5" s="321">
        <v>1617.94</v>
      </c>
      <c r="F5" s="321">
        <f t="shared" ref="F5:F6" si="0">0.8*E5</f>
        <v>1294.3520000000001</v>
      </c>
      <c r="G5" s="321">
        <v>232</v>
      </c>
      <c r="H5" s="321">
        <f t="shared" ref="H5:H6" si="1">B5+C5+D5+F5+G5</f>
        <v>4092.2620000000006</v>
      </c>
      <c r="I5" s="322">
        <f t="shared" ref="I5:I6" si="2">H5*0.86</f>
        <v>3519.3453200000004</v>
      </c>
    </row>
    <row r="6" spans="1:9" x14ac:dyDescent="0.25">
      <c r="A6" s="320" t="s">
        <v>146</v>
      </c>
      <c r="B6" s="321">
        <v>1929.84</v>
      </c>
      <c r="C6" s="321">
        <v>328.22</v>
      </c>
      <c r="D6" s="321">
        <v>107.3</v>
      </c>
      <c r="E6" s="321">
        <v>1456.15</v>
      </c>
      <c r="F6" s="321">
        <f t="shared" si="0"/>
        <v>1164.92</v>
      </c>
      <c r="G6" s="321">
        <v>174</v>
      </c>
      <c r="H6" s="321">
        <f t="shared" si="1"/>
        <v>3704.28</v>
      </c>
      <c r="I6" s="322">
        <f t="shared" si="2"/>
        <v>3185.6808000000001</v>
      </c>
    </row>
    <row r="7" spans="1:9" x14ac:dyDescent="0.25">
      <c r="A7" s="320"/>
      <c r="B7" s="321"/>
      <c r="C7" s="321"/>
      <c r="D7" s="321"/>
      <c r="E7" s="321"/>
      <c r="F7" s="321"/>
      <c r="G7" s="321"/>
      <c r="H7" s="323"/>
      <c r="I7" s="322"/>
    </row>
    <row r="8" spans="1:9" x14ac:dyDescent="0.25">
      <c r="A8" s="320" t="s">
        <v>147</v>
      </c>
      <c r="B8" s="321">
        <v>2108.34</v>
      </c>
      <c r="C8" s="321">
        <v>348.35</v>
      </c>
      <c r="D8" s="321">
        <v>179.8</v>
      </c>
      <c r="E8" s="321">
        <v>1643.69</v>
      </c>
      <c r="F8" s="321">
        <f t="shared" ref="F8:F9" si="3">0.8*E8</f>
        <v>1314.9520000000002</v>
      </c>
      <c r="G8" s="321">
        <v>232</v>
      </c>
      <c r="H8" s="321">
        <f t="shared" ref="H8:H9" si="4">B8+C8+D8+F8+G8</f>
        <v>4183.4420000000009</v>
      </c>
      <c r="I8" s="322">
        <f t="shared" ref="I8:I9" si="5">H8*0.86</f>
        <v>3597.7601200000008</v>
      </c>
    </row>
    <row r="9" spans="1:9" x14ac:dyDescent="0.25">
      <c r="A9" s="320" t="s">
        <v>148</v>
      </c>
      <c r="B9" s="321">
        <v>1934.08</v>
      </c>
      <c r="C9" s="321">
        <v>327.14</v>
      </c>
      <c r="D9" s="321">
        <v>179.8</v>
      </c>
      <c r="E9" s="321">
        <v>1479.32</v>
      </c>
      <c r="F9" s="321">
        <f t="shared" si="3"/>
        <v>1183.4559999999999</v>
      </c>
      <c r="G9" s="321">
        <v>174</v>
      </c>
      <c r="H9" s="321">
        <f t="shared" si="4"/>
        <v>3798.4759999999997</v>
      </c>
      <c r="I9" s="322">
        <f t="shared" si="5"/>
        <v>3266.6893599999999</v>
      </c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2">
        <f>SUM(H2:H9)</f>
        <v>22972.576000000001</v>
      </c>
      <c r="I11" s="324">
        <f>SUM(I2:I9)</f>
        <v>19756.415360000003</v>
      </c>
    </row>
    <row r="14" spans="1:9" x14ac:dyDescent="0.25">
      <c r="I14" s="317"/>
    </row>
  </sheetData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"/>
  <sheetViews>
    <sheetView workbookViewId="0">
      <pane xSplit="1" ySplit="2" topLeftCell="U46" activePane="bottomRight" state="frozen"/>
      <selection pane="topRight" activeCell="B1" sqref="B1"/>
      <selection pane="bottomLeft" activeCell="A3" sqref="A3"/>
      <selection pane="bottomRight" activeCell="AG92" sqref="AG92"/>
    </sheetView>
  </sheetViews>
  <sheetFormatPr defaultRowHeight="15" x14ac:dyDescent="0.25"/>
  <cols>
    <col min="1" max="1" width="6.85546875" customWidth="1"/>
    <col min="2" max="2" width="10.42578125" customWidth="1"/>
    <col min="3" max="3" width="27.7109375" customWidth="1"/>
    <col min="4" max="4" width="8" customWidth="1"/>
    <col min="5" max="5" width="7.85546875" customWidth="1"/>
    <col min="6" max="9" width="8.28515625" customWidth="1"/>
    <col min="10" max="10" width="7.85546875" customWidth="1"/>
    <col min="11" max="11" width="8.42578125" customWidth="1"/>
    <col min="12" max="12" width="8.7109375" customWidth="1"/>
    <col min="13" max="13" width="8.42578125" customWidth="1"/>
    <col min="14" max="14" width="9" customWidth="1"/>
    <col min="15" max="15" width="8.5703125" customWidth="1"/>
    <col min="16" max="16" width="7.85546875" customWidth="1"/>
    <col min="17" max="17" width="8.42578125" customWidth="1"/>
    <col min="18" max="18" width="9" customWidth="1"/>
    <col min="19" max="19" width="8" customWidth="1"/>
    <col min="20" max="20" width="8.42578125" customWidth="1"/>
    <col min="21" max="21" width="8.140625" customWidth="1"/>
    <col min="22" max="23" width="8.28515625" customWidth="1"/>
    <col min="24" max="24" width="7.42578125" customWidth="1"/>
    <col min="25" max="26" width="7.85546875" customWidth="1"/>
    <col min="27" max="27" width="7.85546875" style="220" customWidth="1"/>
    <col min="28" max="32" width="7.85546875" customWidth="1"/>
    <col min="33" max="34" width="7.7109375" customWidth="1"/>
    <col min="35" max="35" width="7.42578125" customWidth="1"/>
    <col min="36" max="36" width="8.140625" customWidth="1"/>
    <col min="37" max="37" width="9.85546875" customWidth="1"/>
    <col min="38" max="38" width="5.42578125" customWidth="1"/>
    <col min="39" max="39" width="7.85546875" customWidth="1"/>
    <col min="40" max="40" width="8.140625" customWidth="1"/>
    <col min="41" max="41" width="7.5703125" customWidth="1"/>
  </cols>
  <sheetData>
    <row r="1" spans="1:41" ht="26.25" customHeight="1" thickBot="1" x14ac:dyDescent="0.3">
      <c r="C1" s="2"/>
      <c r="D1" s="665"/>
      <c r="E1" s="665"/>
      <c r="F1" s="665"/>
      <c r="G1" s="665"/>
      <c r="H1" s="665"/>
      <c r="I1" s="665"/>
      <c r="J1" s="665"/>
      <c r="K1" s="665"/>
      <c r="L1" s="665"/>
      <c r="M1" s="665"/>
      <c r="N1" s="208"/>
      <c r="O1" s="208"/>
      <c r="P1" s="208"/>
      <c r="Q1" s="208"/>
      <c r="R1" s="36"/>
      <c r="S1" s="36"/>
      <c r="T1" s="36"/>
      <c r="U1" s="36"/>
      <c r="V1" s="36"/>
      <c r="W1" s="36"/>
      <c r="X1" s="36"/>
      <c r="Y1" s="268"/>
      <c r="Z1" s="268"/>
      <c r="AA1" s="268"/>
      <c r="AB1" s="268"/>
      <c r="AC1" s="268"/>
      <c r="AD1" s="268"/>
      <c r="AE1" s="268"/>
      <c r="AF1" s="268"/>
      <c r="AG1" s="268" t="s">
        <v>200</v>
      </c>
      <c r="AH1" s="268" t="s">
        <v>199</v>
      </c>
      <c r="AI1" s="268"/>
      <c r="AJ1" s="268"/>
      <c r="AK1" s="36"/>
      <c r="AL1" s="219"/>
    </row>
    <row r="2" spans="1:41" ht="37.5" thickBot="1" x14ac:dyDescent="0.3">
      <c r="A2" t="s">
        <v>191</v>
      </c>
      <c r="C2" s="354" t="s">
        <v>177</v>
      </c>
      <c r="D2" s="228">
        <v>44747</v>
      </c>
      <c r="E2" s="228">
        <v>44753</v>
      </c>
      <c r="F2" s="228">
        <v>44756</v>
      </c>
      <c r="G2" s="228">
        <v>44757</v>
      </c>
      <c r="H2" s="228">
        <v>44758</v>
      </c>
      <c r="I2" s="228">
        <v>44760</v>
      </c>
      <c r="J2" s="228">
        <v>44761</v>
      </c>
      <c r="K2" s="228">
        <v>44762</v>
      </c>
      <c r="L2" s="228">
        <v>44763</v>
      </c>
      <c r="M2" s="228">
        <v>44764</v>
      </c>
      <c r="N2" s="228">
        <v>44765</v>
      </c>
      <c r="O2" s="228">
        <v>44767</v>
      </c>
      <c r="P2" s="228">
        <v>44768</v>
      </c>
      <c r="Q2" s="228">
        <v>44769</v>
      </c>
      <c r="R2" s="228">
        <v>44770</v>
      </c>
      <c r="S2" s="228">
        <v>44771</v>
      </c>
      <c r="T2" s="228">
        <v>44772</v>
      </c>
      <c r="U2" s="228">
        <v>44774</v>
      </c>
      <c r="V2" s="228">
        <v>44775</v>
      </c>
      <c r="W2" s="228">
        <v>44776</v>
      </c>
      <c r="X2" s="228">
        <v>44777</v>
      </c>
      <c r="Y2" s="228">
        <v>44778</v>
      </c>
      <c r="Z2" s="228">
        <v>44779</v>
      </c>
      <c r="AA2" s="228">
        <v>44780</v>
      </c>
      <c r="AB2" s="228">
        <v>44781</v>
      </c>
      <c r="AC2" s="228">
        <v>44782</v>
      </c>
      <c r="AD2" s="228">
        <v>44783</v>
      </c>
      <c r="AE2" s="228">
        <v>44784</v>
      </c>
      <c r="AF2" s="228">
        <v>44785</v>
      </c>
      <c r="AG2" s="228">
        <v>44788</v>
      </c>
      <c r="AH2" s="228">
        <v>44789</v>
      </c>
      <c r="AI2" s="228">
        <v>44790</v>
      </c>
      <c r="AJ2" s="228">
        <v>44791</v>
      </c>
      <c r="AK2" s="227" t="s">
        <v>27</v>
      </c>
      <c r="AL2" s="221" t="s">
        <v>90</v>
      </c>
      <c r="AM2" s="222" t="s">
        <v>71</v>
      </c>
      <c r="AN2" s="214" t="s">
        <v>88</v>
      </c>
      <c r="AO2" s="214" t="s">
        <v>89</v>
      </c>
    </row>
    <row r="3" spans="1:41" ht="15.75" x14ac:dyDescent="0.25">
      <c r="A3">
        <v>14.95</v>
      </c>
      <c r="B3">
        <v>13.57</v>
      </c>
      <c r="C3" s="355" t="s">
        <v>72</v>
      </c>
      <c r="D3" s="209">
        <v>2</v>
      </c>
      <c r="E3" s="209">
        <v>7.6</v>
      </c>
      <c r="F3" s="209">
        <v>4.4000000000000004</v>
      </c>
      <c r="G3" s="209"/>
      <c r="H3" s="209"/>
      <c r="I3" s="209">
        <v>2.95</v>
      </c>
      <c r="J3" s="209"/>
      <c r="K3" s="209">
        <v>2</v>
      </c>
      <c r="L3" s="209">
        <v>3.4</v>
      </c>
      <c r="M3" s="209">
        <v>2</v>
      </c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498">
        <f t="shared" ref="AK3:AK34" si="0">SUM(D3:AJ3)</f>
        <v>24.349999999999998</v>
      </c>
      <c r="AL3" s="78"/>
      <c r="AM3" s="27"/>
      <c r="AN3" s="217">
        <f>COUNT(D3:D3)</f>
        <v>1</v>
      </c>
      <c r="AO3" s="217">
        <f>COUNT(E5:I5)</f>
        <v>1</v>
      </c>
    </row>
    <row r="4" spans="1:41" ht="15.75" x14ac:dyDescent="0.25">
      <c r="B4">
        <v>2.71</v>
      </c>
      <c r="C4" s="356" t="s">
        <v>34</v>
      </c>
      <c r="D4" s="212"/>
      <c r="E4" s="212"/>
      <c r="F4" s="212"/>
      <c r="G4" s="212"/>
      <c r="H4" s="212"/>
      <c r="I4" s="212"/>
      <c r="J4" s="27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498">
        <f t="shared" si="0"/>
        <v>0</v>
      </c>
      <c r="AL4" s="78"/>
      <c r="AM4" s="223"/>
      <c r="AN4" s="218">
        <f>SUM(D6:D6)</f>
        <v>27.14</v>
      </c>
      <c r="AO4" s="218">
        <f>SUM(E6:I6)</f>
        <v>243.55149999999998</v>
      </c>
    </row>
    <row r="5" spans="1:41" ht="15.75" x14ac:dyDescent="0.25">
      <c r="A5">
        <v>2.4900000000000002</v>
      </c>
      <c r="B5">
        <v>2.2599999999999998</v>
      </c>
      <c r="C5" s="356" t="s">
        <v>1</v>
      </c>
      <c r="D5" s="212"/>
      <c r="E5" s="212"/>
      <c r="F5" s="212"/>
      <c r="G5" s="212"/>
      <c r="H5" s="212">
        <v>18</v>
      </c>
      <c r="I5" s="212"/>
      <c r="J5" s="212"/>
      <c r="K5" s="212">
        <v>32.44</v>
      </c>
      <c r="L5" s="212"/>
      <c r="M5" s="212">
        <v>9</v>
      </c>
      <c r="N5" s="212">
        <v>56.64</v>
      </c>
      <c r="O5" s="212">
        <v>65.98</v>
      </c>
      <c r="P5" s="212">
        <v>61.53</v>
      </c>
      <c r="Q5" s="212"/>
      <c r="R5" s="212">
        <v>54.06</v>
      </c>
      <c r="S5" s="212">
        <v>65.38</v>
      </c>
      <c r="T5" s="212">
        <v>62.21</v>
      </c>
      <c r="U5" s="212">
        <v>6.68</v>
      </c>
      <c r="V5" s="212">
        <v>41.8</v>
      </c>
      <c r="W5" s="212">
        <v>45.55</v>
      </c>
      <c r="X5" s="212">
        <v>75.319999999999993</v>
      </c>
      <c r="Y5" s="212">
        <v>73.459999999999994</v>
      </c>
      <c r="Z5" s="212">
        <v>48.6</v>
      </c>
      <c r="AA5" s="212">
        <v>21.46</v>
      </c>
      <c r="AB5" s="212">
        <v>42.94</v>
      </c>
      <c r="AC5" s="212">
        <v>34.43</v>
      </c>
      <c r="AD5" s="212">
        <v>26.16</v>
      </c>
      <c r="AE5" s="212">
        <v>8.86</v>
      </c>
      <c r="AF5" s="212"/>
      <c r="AG5" s="212"/>
      <c r="AH5" s="212"/>
      <c r="AI5" s="212"/>
      <c r="AJ5" s="212"/>
      <c r="AK5" s="498">
        <f t="shared" si="0"/>
        <v>850.49999999999989</v>
      </c>
      <c r="AL5" s="78"/>
      <c r="AM5" s="223"/>
    </row>
    <row r="6" spans="1:41" ht="16.5" thickBot="1" x14ac:dyDescent="0.3">
      <c r="C6" s="357" t="s">
        <v>74</v>
      </c>
      <c r="D6" s="352">
        <f t="shared" ref="D6:T6" si="1">D3*13.57+D4*2.71+D5*2.26</f>
        <v>27.14</v>
      </c>
      <c r="E6" s="352">
        <f t="shared" si="1"/>
        <v>103.13199999999999</v>
      </c>
      <c r="F6" s="352">
        <f t="shared" si="1"/>
        <v>59.708000000000006</v>
      </c>
      <c r="G6" s="352"/>
      <c r="H6" s="352">
        <f t="shared" si="1"/>
        <v>40.679999999999993</v>
      </c>
      <c r="I6" s="352">
        <f t="shared" si="1"/>
        <v>40.031500000000001</v>
      </c>
      <c r="J6" s="352"/>
      <c r="K6" s="352">
        <f t="shared" si="1"/>
        <v>100.45439999999999</v>
      </c>
      <c r="L6" s="352">
        <f t="shared" si="1"/>
        <v>46.137999999999998</v>
      </c>
      <c r="M6" s="352">
        <f t="shared" si="1"/>
        <v>47.48</v>
      </c>
      <c r="N6" s="352">
        <f t="shared" si="1"/>
        <v>128.00639999999999</v>
      </c>
      <c r="O6" s="352">
        <f t="shared" si="1"/>
        <v>149.1148</v>
      </c>
      <c r="P6" s="352">
        <f t="shared" si="1"/>
        <v>139.05779999999999</v>
      </c>
      <c r="Q6" s="352"/>
      <c r="R6" s="352">
        <f t="shared" si="1"/>
        <v>122.17559999999999</v>
      </c>
      <c r="S6" s="352">
        <f t="shared" si="1"/>
        <v>147.75879999999998</v>
      </c>
      <c r="T6" s="352">
        <f t="shared" si="1"/>
        <v>140.59459999999999</v>
      </c>
      <c r="U6" s="352">
        <f>U3*14.95+U4*2.99+U5*2.49</f>
        <v>16.633200000000002</v>
      </c>
      <c r="V6" s="352">
        <f t="shared" ref="V6:AE6" si="2">V3*14.95+V4*2.99+V5*2.49</f>
        <v>104.08200000000001</v>
      </c>
      <c r="W6" s="352">
        <f t="shared" si="2"/>
        <v>113.4195</v>
      </c>
      <c r="X6" s="352">
        <f t="shared" si="2"/>
        <v>187.54679999999999</v>
      </c>
      <c r="Y6" s="352">
        <f t="shared" si="2"/>
        <v>182.91540000000001</v>
      </c>
      <c r="Z6" s="352">
        <f t="shared" si="2"/>
        <v>121.01400000000001</v>
      </c>
      <c r="AA6" s="352">
        <f t="shared" si="2"/>
        <v>53.435400000000008</v>
      </c>
      <c r="AB6" s="352">
        <f t="shared" si="2"/>
        <v>106.92060000000001</v>
      </c>
      <c r="AC6" s="352">
        <f t="shared" si="2"/>
        <v>85.730700000000013</v>
      </c>
      <c r="AD6" s="352">
        <f t="shared" si="2"/>
        <v>65.138400000000004</v>
      </c>
      <c r="AE6" s="352">
        <f t="shared" si="2"/>
        <v>22.061399999999999</v>
      </c>
      <c r="AF6" s="352"/>
      <c r="AG6" s="352"/>
      <c r="AH6" s="352"/>
      <c r="AI6" s="352"/>
      <c r="AJ6" s="352"/>
      <c r="AK6" s="507">
        <f t="shared" si="0"/>
        <v>2350.3692999999998</v>
      </c>
      <c r="AL6" s="224">
        <f>COUNT(D6:AJ6)</f>
        <v>25</v>
      </c>
      <c r="AM6" s="213">
        <f>AK6/AL6</f>
        <v>94.014771999999994</v>
      </c>
      <c r="AN6" s="215">
        <f>AN4/AN3</f>
        <v>27.14</v>
      </c>
      <c r="AO6" s="215">
        <f>AO4/AO3</f>
        <v>243.55149999999998</v>
      </c>
    </row>
    <row r="7" spans="1:41" ht="15.75" x14ac:dyDescent="0.25">
      <c r="A7">
        <v>14.11</v>
      </c>
      <c r="B7">
        <v>12.81</v>
      </c>
      <c r="C7" s="355" t="s">
        <v>73</v>
      </c>
      <c r="D7" s="209"/>
      <c r="E7" s="209">
        <v>0.2</v>
      </c>
      <c r="F7" s="209"/>
      <c r="G7" s="209"/>
      <c r="H7" s="209"/>
      <c r="I7" s="209">
        <v>0.6</v>
      </c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498">
        <f t="shared" si="0"/>
        <v>0.8</v>
      </c>
      <c r="AL7" s="78"/>
      <c r="AM7" s="27"/>
      <c r="AN7" s="217"/>
      <c r="AO7" s="217"/>
    </row>
    <row r="8" spans="1:41" ht="15.75" x14ac:dyDescent="0.25">
      <c r="B8">
        <v>2.56</v>
      </c>
      <c r="C8" s="356" t="s">
        <v>34</v>
      </c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498">
        <f t="shared" si="0"/>
        <v>0</v>
      </c>
      <c r="AL8" s="78"/>
      <c r="AM8" s="223"/>
      <c r="AN8" s="217"/>
      <c r="AO8" s="217"/>
    </row>
    <row r="9" spans="1:41" ht="15.75" x14ac:dyDescent="0.25">
      <c r="A9">
        <v>2.35</v>
      </c>
      <c r="B9">
        <v>2.14</v>
      </c>
      <c r="C9" s="356" t="s">
        <v>1</v>
      </c>
      <c r="D9" s="212"/>
      <c r="E9" s="212">
        <v>11.4</v>
      </c>
      <c r="F9" s="212"/>
      <c r="G9" s="212">
        <v>29.72</v>
      </c>
      <c r="H9" s="212">
        <v>16.36</v>
      </c>
      <c r="I9" s="212"/>
      <c r="J9" s="212"/>
      <c r="K9" s="212">
        <v>23.16</v>
      </c>
      <c r="L9" s="212"/>
      <c r="M9" s="212">
        <v>28.94</v>
      </c>
      <c r="N9" s="212">
        <v>55.34</v>
      </c>
      <c r="O9" s="212">
        <v>59.58</v>
      </c>
      <c r="P9" s="212">
        <v>55.69</v>
      </c>
      <c r="Q9" s="212"/>
      <c r="R9" s="212">
        <v>45.23</v>
      </c>
      <c r="S9" s="212">
        <v>56.2</v>
      </c>
      <c r="T9" s="212">
        <v>53.47</v>
      </c>
      <c r="U9" s="212">
        <v>8.08</v>
      </c>
      <c r="V9" s="212">
        <v>46.54</v>
      </c>
      <c r="W9" s="212">
        <v>38.67</v>
      </c>
      <c r="X9" s="212">
        <v>63.88</v>
      </c>
      <c r="Y9" s="212">
        <v>33.25</v>
      </c>
      <c r="Z9" s="212">
        <v>30.1</v>
      </c>
      <c r="AA9" s="212">
        <v>24.94</v>
      </c>
      <c r="AB9" s="212">
        <v>35.08</v>
      </c>
      <c r="AC9" s="212">
        <v>34.549999999999997</v>
      </c>
      <c r="AD9" s="212">
        <v>28.7</v>
      </c>
      <c r="AE9" s="212">
        <v>18.350000000000001</v>
      </c>
      <c r="AF9" s="212">
        <v>49.57</v>
      </c>
      <c r="AG9" s="212"/>
      <c r="AH9" s="212"/>
      <c r="AI9" s="212"/>
      <c r="AJ9" s="212"/>
      <c r="AK9" s="498">
        <f t="shared" si="0"/>
        <v>846.80000000000018</v>
      </c>
      <c r="AL9" s="78"/>
      <c r="AM9" s="223"/>
      <c r="AN9" s="217"/>
      <c r="AO9" s="217"/>
    </row>
    <row r="10" spans="1:41" ht="16.5" thickBot="1" x14ac:dyDescent="0.3">
      <c r="C10" s="357" t="s">
        <v>75</v>
      </c>
      <c r="D10" s="210"/>
      <c r="E10" s="210">
        <f>E7*B7+E9*4.27</f>
        <v>51.239999999999995</v>
      </c>
      <c r="F10" s="210"/>
      <c r="G10" s="210">
        <f>G9*2.14</f>
        <v>63.6008</v>
      </c>
      <c r="H10" s="210">
        <f>H9*2.14</f>
        <v>35.010400000000004</v>
      </c>
      <c r="I10" s="210">
        <f t="shared" ref="I10:T10" si="3">I7*12.81+I8*2.56+I9*2.14</f>
        <v>7.6859999999999999</v>
      </c>
      <c r="J10" s="210"/>
      <c r="K10" s="210">
        <f t="shared" si="3"/>
        <v>49.562400000000004</v>
      </c>
      <c r="L10" s="210"/>
      <c r="M10" s="210">
        <f t="shared" si="3"/>
        <v>61.931600000000003</v>
      </c>
      <c r="N10" s="210">
        <f t="shared" si="3"/>
        <v>118.42760000000001</v>
      </c>
      <c r="O10" s="210">
        <f t="shared" si="3"/>
        <v>127.5012</v>
      </c>
      <c r="P10" s="210">
        <f t="shared" si="3"/>
        <v>119.17660000000001</v>
      </c>
      <c r="Q10" s="210"/>
      <c r="R10" s="210">
        <f t="shared" si="3"/>
        <v>96.792199999999994</v>
      </c>
      <c r="S10" s="210">
        <f t="shared" si="3"/>
        <v>120.26800000000001</v>
      </c>
      <c r="T10" s="210">
        <f t="shared" si="3"/>
        <v>114.42580000000001</v>
      </c>
      <c r="U10" s="210">
        <f>U7*A7+A9*U9</f>
        <v>18.988</v>
      </c>
      <c r="V10" s="210">
        <f>V7*14.11+V9*2.35</f>
        <v>109.369</v>
      </c>
      <c r="W10" s="210">
        <f t="shared" ref="W10:AF10" si="4">W7*14.11+W9*2.35</f>
        <v>90.874500000000012</v>
      </c>
      <c r="X10" s="210">
        <f t="shared" si="4"/>
        <v>150.11800000000002</v>
      </c>
      <c r="Y10" s="210">
        <f t="shared" si="4"/>
        <v>78.137500000000003</v>
      </c>
      <c r="Z10" s="210">
        <f t="shared" si="4"/>
        <v>70.734999999999999</v>
      </c>
      <c r="AA10" s="210">
        <f t="shared" si="4"/>
        <v>58.609000000000002</v>
      </c>
      <c r="AB10" s="210">
        <f t="shared" si="4"/>
        <v>82.438000000000002</v>
      </c>
      <c r="AC10" s="210">
        <f t="shared" si="4"/>
        <v>81.192499999999995</v>
      </c>
      <c r="AD10" s="210">
        <f t="shared" si="4"/>
        <v>67.445000000000007</v>
      </c>
      <c r="AE10" s="210">
        <f t="shared" si="4"/>
        <v>43.122500000000002</v>
      </c>
      <c r="AF10" s="210">
        <f t="shared" si="4"/>
        <v>116.48950000000001</v>
      </c>
      <c r="AG10" s="210"/>
      <c r="AH10" s="210"/>
      <c r="AI10" s="210"/>
      <c r="AJ10" s="210"/>
      <c r="AK10" s="507">
        <f t="shared" si="0"/>
        <v>1933.1410999999998</v>
      </c>
      <c r="AL10" s="224">
        <f>COUNT(D10:AJ10)</f>
        <v>24</v>
      </c>
      <c r="AM10" s="213">
        <f>AK10/AL10</f>
        <v>80.547545833333331</v>
      </c>
      <c r="AN10" s="211"/>
    </row>
    <row r="11" spans="1:41" ht="15.75" x14ac:dyDescent="0.25">
      <c r="A11">
        <v>14.11</v>
      </c>
      <c r="B11">
        <v>12.81</v>
      </c>
      <c r="C11" s="355" t="s">
        <v>76</v>
      </c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>
        <v>0</v>
      </c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498">
        <f t="shared" si="0"/>
        <v>0</v>
      </c>
      <c r="AL11" s="78"/>
      <c r="AM11" s="27"/>
      <c r="AN11" s="217"/>
      <c r="AO11" s="217"/>
    </row>
    <row r="12" spans="1:41" ht="15.75" x14ac:dyDescent="0.25">
      <c r="B12">
        <v>2.56</v>
      </c>
      <c r="C12" s="356" t="s">
        <v>34</v>
      </c>
      <c r="D12" s="212"/>
      <c r="E12" s="212"/>
      <c r="F12" s="212"/>
      <c r="G12" s="212"/>
      <c r="H12" s="212"/>
      <c r="I12" s="27"/>
      <c r="J12" s="212"/>
      <c r="K12" s="212"/>
      <c r="L12" s="212"/>
      <c r="M12" s="212">
        <v>31.1</v>
      </c>
      <c r="N12" s="212"/>
      <c r="O12" s="212"/>
      <c r="P12" s="212"/>
      <c r="Q12" s="212">
        <v>43.2</v>
      </c>
      <c r="R12" s="212">
        <v>68.3</v>
      </c>
      <c r="S12" s="212">
        <v>59</v>
      </c>
      <c r="T12" s="212">
        <v>73.099999999999994</v>
      </c>
      <c r="U12" s="212"/>
      <c r="V12" s="212"/>
      <c r="W12" s="212"/>
      <c r="X12" s="212">
        <v>0</v>
      </c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498">
        <f t="shared" si="0"/>
        <v>274.70000000000005</v>
      </c>
      <c r="AL12" s="78"/>
      <c r="AM12" s="223"/>
      <c r="AN12" s="217"/>
      <c r="AO12" s="217"/>
    </row>
    <row r="13" spans="1:41" ht="15.75" x14ac:dyDescent="0.25">
      <c r="A13">
        <v>2.35</v>
      </c>
      <c r="B13">
        <v>2.14</v>
      </c>
      <c r="C13" s="356" t="s">
        <v>1</v>
      </c>
      <c r="D13" s="212"/>
      <c r="E13" s="212"/>
      <c r="F13" s="212"/>
      <c r="G13" s="212">
        <v>34.22</v>
      </c>
      <c r="H13" s="212">
        <v>11.9</v>
      </c>
      <c r="I13" s="212">
        <v>29</v>
      </c>
      <c r="J13" s="212"/>
      <c r="K13" s="212">
        <v>56.67</v>
      </c>
      <c r="L13" s="212"/>
      <c r="M13" s="212"/>
      <c r="N13" s="212">
        <v>52.2</v>
      </c>
      <c r="O13" s="212">
        <v>71.8</v>
      </c>
      <c r="P13" s="212">
        <v>57.07</v>
      </c>
      <c r="Q13" s="212"/>
      <c r="R13" s="212"/>
      <c r="S13" s="212"/>
      <c r="T13" s="212"/>
      <c r="U13" s="212">
        <v>20.65</v>
      </c>
      <c r="V13" s="212">
        <v>53.43</v>
      </c>
      <c r="W13" s="212">
        <v>48.02</v>
      </c>
      <c r="X13" s="212">
        <v>3.8</v>
      </c>
      <c r="Y13" s="349">
        <v>84.52</v>
      </c>
      <c r="Z13" s="349">
        <v>52.99</v>
      </c>
      <c r="AA13" s="349">
        <v>22.06</v>
      </c>
      <c r="AB13" s="349">
        <v>31.9</v>
      </c>
      <c r="AC13" s="349">
        <v>19.510000000000002</v>
      </c>
      <c r="AD13" s="349">
        <v>33.54</v>
      </c>
      <c r="AE13" s="349">
        <v>9.6199999999999992</v>
      </c>
      <c r="AF13" s="349">
        <v>48.56</v>
      </c>
      <c r="AG13" s="349"/>
      <c r="AH13" s="349"/>
      <c r="AI13" s="349"/>
      <c r="AJ13" s="349"/>
      <c r="AK13" s="498">
        <f t="shared" si="0"/>
        <v>741.45999999999981</v>
      </c>
      <c r="AL13" s="78"/>
      <c r="AM13" s="223"/>
      <c r="AN13" s="217"/>
      <c r="AO13" s="217"/>
    </row>
    <row r="14" spans="1:41" ht="16.5" thickBot="1" x14ac:dyDescent="0.3">
      <c r="C14" s="357" t="s">
        <v>75</v>
      </c>
      <c r="D14" s="210"/>
      <c r="E14" s="210"/>
      <c r="F14" s="210"/>
      <c r="G14" s="210">
        <f t="shared" ref="G14:T14" si="5">G11*12.81+G12*2.56+G13*2.14</f>
        <v>73.230800000000002</v>
      </c>
      <c r="H14" s="210">
        <f t="shared" si="5"/>
        <v>25.466000000000001</v>
      </c>
      <c r="I14" s="210">
        <f t="shared" si="5"/>
        <v>62.06</v>
      </c>
      <c r="J14" s="210"/>
      <c r="K14" s="210">
        <f t="shared" si="5"/>
        <v>121.27380000000001</v>
      </c>
      <c r="L14" s="210"/>
      <c r="M14" s="210">
        <f t="shared" si="5"/>
        <v>79.616</v>
      </c>
      <c r="N14" s="210">
        <f t="shared" si="5"/>
        <v>111.70800000000001</v>
      </c>
      <c r="O14" s="210">
        <f t="shared" si="5"/>
        <v>153.65200000000002</v>
      </c>
      <c r="P14" s="210">
        <f t="shared" si="5"/>
        <v>122.1298</v>
      </c>
      <c r="Q14" s="210">
        <f t="shared" si="5"/>
        <v>110.59200000000001</v>
      </c>
      <c r="R14" s="210">
        <f t="shared" si="5"/>
        <v>174.84799999999998</v>
      </c>
      <c r="S14" s="210">
        <f t="shared" si="5"/>
        <v>151.04</v>
      </c>
      <c r="T14" s="210">
        <f t="shared" si="5"/>
        <v>187.136</v>
      </c>
      <c r="U14" s="210">
        <f>U13*2.35+U11*14.11</f>
        <v>48.527499999999996</v>
      </c>
      <c r="V14" s="210">
        <f t="shared" ref="V14:AF14" si="6">V13*2.35+V11*14.11</f>
        <v>125.5605</v>
      </c>
      <c r="W14" s="210">
        <f t="shared" si="6"/>
        <v>112.84700000000001</v>
      </c>
      <c r="X14" s="210">
        <f t="shared" si="6"/>
        <v>8.93</v>
      </c>
      <c r="Y14" s="210">
        <f t="shared" si="6"/>
        <v>198.62199999999999</v>
      </c>
      <c r="Z14" s="210">
        <f t="shared" si="6"/>
        <v>124.52650000000001</v>
      </c>
      <c r="AA14" s="210">
        <f t="shared" si="6"/>
        <v>51.841000000000001</v>
      </c>
      <c r="AB14" s="210">
        <f t="shared" si="6"/>
        <v>74.965000000000003</v>
      </c>
      <c r="AC14" s="210">
        <f t="shared" si="6"/>
        <v>45.848500000000008</v>
      </c>
      <c r="AD14" s="210">
        <f t="shared" si="6"/>
        <v>78.819000000000003</v>
      </c>
      <c r="AE14" s="210">
        <f t="shared" si="6"/>
        <v>22.606999999999999</v>
      </c>
      <c r="AF14" s="210">
        <f t="shared" si="6"/>
        <v>114.11600000000001</v>
      </c>
      <c r="AG14" s="210"/>
      <c r="AH14" s="210"/>
      <c r="AI14" s="210"/>
      <c r="AJ14" s="210"/>
      <c r="AK14" s="507">
        <f t="shared" si="0"/>
        <v>2379.9623999999999</v>
      </c>
      <c r="AL14" s="224">
        <f>COUNT(D14:AJ14)</f>
        <v>24</v>
      </c>
      <c r="AM14" s="213">
        <f>AK14/AL14</f>
        <v>99.165099999999995</v>
      </c>
      <c r="AN14" s="211"/>
    </row>
    <row r="15" spans="1:41" ht="15.75" x14ac:dyDescent="0.25">
      <c r="A15">
        <v>13.76</v>
      </c>
      <c r="B15">
        <v>12.49</v>
      </c>
      <c r="C15" s="355" t="s">
        <v>77</v>
      </c>
      <c r="D15" s="209">
        <v>2.1</v>
      </c>
      <c r="E15" s="209">
        <v>8.8000000000000007</v>
      </c>
      <c r="F15" s="209">
        <v>4.7</v>
      </c>
      <c r="G15" s="209"/>
      <c r="H15" s="209"/>
      <c r="I15" s="209">
        <v>3.7</v>
      </c>
      <c r="J15" s="209"/>
      <c r="K15" s="209"/>
      <c r="L15" s="209">
        <v>11</v>
      </c>
      <c r="M15" s="209">
        <v>12</v>
      </c>
      <c r="N15" s="209"/>
      <c r="O15" s="209"/>
      <c r="P15" s="209"/>
      <c r="Q15" s="209"/>
      <c r="R15" s="209"/>
      <c r="S15" s="209">
        <v>3.9</v>
      </c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498">
        <f t="shared" si="0"/>
        <v>46.199999999999996</v>
      </c>
      <c r="AL15" s="78"/>
      <c r="AM15" s="27"/>
      <c r="AN15" s="229">
        <f>COUNT(D15:H15)-0.5</f>
        <v>2.5</v>
      </c>
      <c r="AO15" s="229">
        <f>COUNT(F17:I17)-0.5</f>
        <v>0.5</v>
      </c>
    </row>
    <row r="16" spans="1:41" ht="15.75" x14ac:dyDescent="0.25">
      <c r="B16">
        <v>2.5</v>
      </c>
      <c r="C16" s="356" t="s">
        <v>34</v>
      </c>
      <c r="D16" s="212"/>
      <c r="E16" s="212"/>
      <c r="F16" s="212"/>
      <c r="G16" s="212"/>
      <c r="H16" s="212"/>
      <c r="I16" s="27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498">
        <f t="shared" si="0"/>
        <v>0</v>
      </c>
      <c r="AL16" s="78"/>
      <c r="AM16" s="223"/>
      <c r="AN16" s="218">
        <f>SUM(D18:D18)+15.9*10.99</f>
        <v>200.97000000000003</v>
      </c>
      <c r="AO16" s="218">
        <f>F18+G18+I18+12.98*1.83</f>
        <v>128.6694</v>
      </c>
    </row>
    <row r="17" spans="1:41" ht="15.75" x14ac:dyDescent="0.25">
      <c r="A17">
        <v>2.29</v>
      </c>
      <c r="B17">
        <v>2.08</v>
      </c>
      <c r="C17" s="356" t="s">
        <v>1</v>
      </c>
      <c r="D17" s="212"/>
      <c r="E17" s="212"/>
      <c r="F17" s="212"/>
      <c r="G17" s="212"/>
      <c r="H17" s="212">
        <v>9.6</v>
      </c>
      <c r="I17" s="212"/>
      <c r="J17" s="212"/>
      <c r="K17" s="212">
        <v>51.87</v>
      </c>
      <c r="L17" s="212"/>
      <c r="M17" s="212"/>
      <c r="N17" s="212">
        <v>51.77</v>
      </c>
      <c r="O17" s="212">
        <v>86.44</v>
      </c>
      <c r="P17" s="212">
        <v>83.22</v>
      </c>
      <c r="Q17" s="212"/>
      <c r="R17" s="212">
        <v>82.34</v>
      </c>
      <c r="S17" s="212">
        <v>45.7</v>
      </c>
      <c r="T17" s="212">
        <v>81.97</v>
      </c>
      <c r="U17" s="212">
        <v>22.4</v>
      </c>
      <c r="V17" s="212">
        <v>50.75</v>
      </c>
      <c r="W17" s="212">
        <v>100.4</v>
      </c>
      <c r="X17" s="212">
        <v>113.68</v>
      </c>
      <c r="Y17" s="212">
        <v>71.86</v>
      </c>
      <c r="Z17" s="212">
        <v>55.18</v>
      </c>
      <c r="AA17" s="212"/>
      <c r="AB17" s="271">
        <v>55.53</v>
      </c>
      <c r="AC17" s="212">
        <v>46.82</v>
      </c>
      <c r="AD17" s="212">
        <v>19.079999999999998</v>
      </c>
      <c r="AE17" s="212">
        <v>31.25</v>
      </c>
      <c r="AF17" s="212">
        <v>81.05</v>
      </c>
      <c r="AG17" s="212">
        <v>1</v>
      </c>
      <c r="AH17" s="212">
        <v>55.45</v>
      </c>
      <c r="AI17" s="212">
        <v>29.2</v>
      </c>
      <c r="AJ17" s="212">
        <v>14.6</v>
      </c>
      <c r="AK17" s="498">
        <f t="shared" si="0"/>
        <v>1241.1599999999999</v>
      </c>
      <c r="AL17" s="78"/>
      <c r="AM17" s="27"/>
    </row>
    <row r="18" spans="1:41" ht="16.5" thickBot="1" x14ac:dyDescent="0.3">
      <c r="C18" s="357" t="s">
        <v>75</v>
      </c>
      <c r="D18" s="210">
        <f t="shared" ref="D18:T18" si="7">D15*12.49+D16*2.5+D17*2.08</f>
        <v>26.229000000000003</v>
      </c>
      <c r="E18" s="210">
        <f t="shared" si="7"/>
        <v>109.91200000000001</v>
      </c>
      <c r="F18" s="210">
        <f t="shared" si="7"/>
        <v>58.703000000000003</v>
      </c>
      <c r="G18" s="210">
        <f t="shared" si="7"/>
        <v>0</v>
      </c>
      <c r="H18" s="210">
        <f t="shared" si="7"/>
        <v>19.968</v>
      </c>
      <c r="I18" s="210">
        <f t="shared" si="7"/>
        <v>46.213000000000001</v>
      </c>
      <c r="J18" s="210"/>
      <c r="K18" s="210">
        <f t="shared" si="7"/>
        <v>107.8896</v>
      </c>
      <c r="L18" s="210">
        <f t="shared" si="7"/>
        <v>137.39000000000001</v>
      </c>
      <c r="M18" s="210">
        <f t="shared" si="7"/>
        <v>149.88</v>
      </c>
      <c r="N18" s="210">
        <f t="shared" si="7"/>
        <v>107.6816</v>
      </c>
      <c r="O18" s="210">
        <f t="shared" si="7"/>
        <v>179.79519999999999</v>
      </c>
      <c r="P18" s="210">
        <f t="shared" si="7"/>
        <v>173.0976</v>
      </c>
      <c r="Q18" s="210"/>
      <c r="R18" s="210">
        <f t="shared" si="7"/>
        <v>171.2672</v>
      </c>
      <c r="S18" s="210">
        <f t="shared" si="7"/>
        <v>143.767</v>
      </c>
      <c r="T18" s="210">
        <f t="shared" si="7"/>
        <v>170.49760000000001</v>
      </c>
      <c r="U18" s="210">
        <f>U17*2.29+U15*13.76</f>
        <v>51.295999999999999</v>
      </c>
      <c r="V18" s="210">
        <f t="shared" ref="V18:AF18" si="8">V17*2.29+V15*13.76</f>
        <v>116.2175</v>
      </c>
      <c r="W18" s="210">
        <f t="shared" si="8"/>
        <v>229.91600000000003</v>
      </c>
      <c r="X18" s="210">
        <f t="shared" si="8"/>
        <v>260.3272</v>
      </c>
      <c r="Y18" s="210">
        <f t="shared" si="8"/>
        <v>164.55940000000001</v>
      </c>
      <c r="Z18" s="210">
        <f t="shared" si="8"/>
        <v>126.3622</v>
      </c>
      <c r="AA18" s="210"/>
      <c r="AB18" s="210">
        <f t="shared" si="8"/>
        <v>127.16370000000001</v>
      </c>
      <c r="AC18" s="210">
        <f t="shared" si="8"/>
        <v>107.2178</v>
      </c>
      <c r="AD18" s="210">
        <f t="shared" si="8"/>
        <v>43.693199999999997</v>
      </c>
      <c r="AE18" s="210">
        <f t="shared" si="8"/>
        <v>71.5625</v>
      </c>
      <c r="AF18" s="210">
        <f t="shared" si="8"/>
        <v>185.6045</v>
      </c>
      <c r="AG18" s="210">
        <f>AG17*4.59</f>
        <v>4.59</v>
      </c>
      <c r="AH18" s="210">
        <f>AH17*4.59</f>
        <v>254.5155</v>
      </c>
      <c r="AI18" s="210">
        <f t="shared" ref="AI18:AJ18" si="9">AI17*4.59</f>
        <v>134.02799999999999</v>
      </c>
      <c r="AJ18" s="210">
        <f t="shared" si="9"/>
        <v>67.013999999999996</v>
      </c>
      <c r="AK18" s="507">
        <f t="shared" si="0"/>
        <v>3546.3583000000003</v>
      </c>
      <c r="AL18" s="224">
        <f>COUNT(D18:AJ18)</f>
        <v>30</v>
      </c>
      <c r="AM18" s="213">
        <f>AK18/AL18</f>
        <v>118.21194333333334</v>
      </c>
      <c r="AN18" s="215">
        <f>AN16/AN15</f>
        <v>80.388000000000005</v>
      </c>
      <c r="AO18" s="215">
        <f>AO16/AO15</f>
        <v>257.33879999999999</v>
      </c>
    </row>
    <row r="19" spans="1:41" ht="15.75" x14ac:dyDescent="0.25">
      <c r="A19">
        <v>13.76</v>
      </c>
      <c r="B19">
        <v>12.49</v>
      </c>
      <c r="C19" s="355" t="s">
        <v>168</v>
      </c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498">
        <f t="shared" si="0"/>
        <v>0</v>
      </c>
      <c r="AL19" s="78"/>
      <c r="AM19" s="27"/>
      <c r="AN19" s="217"/>
      <c r="AO19" s="217"/>
    </row>
    <row r="20" spans="1:41" ht="15.75" x14ac:dyDescent="0.25">
      <c r="B20">
        <v>2.5</v>
      </c>
      <c r="C20" s="356" t="s">
        <v>34</v>
      </c>
      <c r="D20" s="212"/>
      <c r="E20" s="212"/>
      <c r="F20" s="212"/>
      <c r="G20" s="212"/>
      <c r="H20" s="212"/>
      <c r="I20" s="27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498">
        <f t="shared" si="0"/>
        <v>0</v>
      </c>
      <c r="AL20" s="78"/>
      <c r="AM20" s="223"/>
      <c r="AN20" s="217"/>
      <c r="AO20" s="217"/>
    </row>
    <row r="21" spans="1:41" ht="15.75" x14ac:dyDescent="0.25">
      <c r="A21">
        <v>2.29</v>
      </c>
      <c r="B21">
        <v>2.08</v>
      </c>
      <c r="C21" s="356" t="s">
        <v>1</v>
      </c>
      <c r="D21" s="212">
        <v>30.76</v>
      </c>
      <c r="E21" s="212"/>
      <c r="F21" s="212"/>
      <c r="G21" s="212">
        <v>29.42</v>
      </c>
      <c r="H21" s="212">
        <v>18.52</v>
      </c>
      <c r="I21" s="212">
        <v>28</v>
      </c>
      <c r="J21" s="212">
        <v>4.5</v>
      </c>
      <c r="K21" s="212">
        <v>17.37</v>
      </c>
      <c r="L21" s="212">
        <v>23.02</v>
      </c>
      <c r="M21" s="212">
        <v>45.62</v>
      </c>
      <c r="N21" s="212">
        <v>41.4</v>
      </c>
      <c r="O21" s="212">
        <v>66.16</v>
      </c>
      <c r="P21" s="212">
        <v>52.76</v>
      </c>
      <c r="Q21" s="212"/>
      <c r="R21" s="212">
        <v>71.459999999999994</v>
      </c>
      <c r="S21" s="212">
        <v>53.94</v>
      </c>
      <c r="T21" s="212">
        <v>54.56</v>
      </c>
      <c r="U21" s="212">
        <v>14.7</v>
      </c>
      <c r="V21" s="212">
        <v>47.48</v>
      </c>
      <c r="W21" s="212">
        <v>32.56</v>
      </c>
      <c r="X21" s="212">
        <v>18.14</v>
      </c>
      <c r="Y21" s="212"/>
      <c r="Z21" s="212">
        <v>55.54</v>
      </c>
      <c r="AA21" s="212">
        <v>17.8</v>
      </c>
      <c r="AB21" s="212">
        <v>35.4</v>
      </c>
      <c r="AC21" s="212">
        <v>38.619999999999997</v>
      </c>
      <c r="AD21" s="212">
        <v>15.38</v>
      </c>
      <c r="AE21" s="212">
        <v>14.1</v>
      </c>
      <c r="AF21" s="212">
        <v>44.46</v>
      </c>
      <c r="AG21" s="212"/>
      <c r="AH21" s="212"/>
      <c r="AI21" s="212"/>
      <c r="AJ21" s="212"/>
      <c r="AK21" s="498">
        <f t="shared" si="0"/>
        <v>871.67</v>
      </c>
      <c r="AL21" s="78"/>
      <c r="AM21" s="223"/>
      <c r="AN21" s="217"/>
      <c r="AO21" s="217"/>
    </row>
    <row r="22" spans="1:41" ht="16.5" thickBot="1" x14ac:dyDescent="0.3">
      <c r="C22" s="357" t="s">
        <v>75</v>
      </c>
      <c r="D22" s="210">
        <f>D21*$B$21</f>
        <v>63.980800000000002</v>
      </c>
      <c r="E22" s="210"/>
      <c r="F22" s="210"/>
      <c r="G22" s="210">
        <f t="shared" ref="G22:T22" si="10">G21*$B$21</f>
        <v>61.193600000000004</v>
      </c>
      <c r="H22" s="210">
        <f t="shared" si="10"/>
        <v>38.521599999999999</v>
      </c>
      <c r="I22" s="210">
        <f t="shared" si="10"/>
        <v>58.24</v>
      </c>
      <c r="J22" s="210">
        <f t="shared" si="10"/>
        <v>9.36</v>
      </c>
      <c r="K22" s="210">
        <f t="shared" si="10"/>
        <v>36.129600000000003</v>
      </c>
      <c r="L22" s="210">
        <f t="shared" si="10"/>
        <v>47.881599999999999</v>
      </c>
      <c r="M22" s="210">
        <f t="shared" si="10"/>
        <v>94.889600000000002</v>
      </c>
      <c r="N22" s="210">
        <f t="shared" si="10"/>
        <v>86.111999999999995</v>
      </c>
      <c r="O22" s="210">
        <f t="shared" si="10"/>
        <v>137.61279999999999</v>
      </c>
      <c r="P22" s="210">
        <f t="shared" si="10"/>
        <v>109.74079999999999</v>
      </c>
      <c r="Q22" s="210"/>
      <c r="R22" s="210">
        <f t="shared" si="10"/>
        <v>148.63679999999999</v>
      </c>
      <c r="S22" s="210">
        <f t="shared" si="10"/>
        <v>112.1952</v>
      </c>
      <c r="T22" s="210">
        <f t="shared" si="10"/>
        <v>113.48480000000001</v>
      </c>
      <c r="U22" s="210">
        <f>U21*2.29+U19*13.76</f>
        <v>33.662999999999997</v>
      </c>
      <c r="V22" s="210">
        <f t="shared" ref="V22:AF22" si="11">V21*2.29+V19*13.76</f>
        <v>108.72919999999999</v>
      </c>
      <c r="W22" s="210">
        <f t="shared" si="11"/>
        <v>74.562400000000011</v>
      </c>
      <c r="X22" s="210">
        <f t="shared" si="11"/>
        <v>41.540600000000005</v>
      </c>
      <c r="Y22" s="210"/>
      <c r="Z22" s="210">
        <f t="shared" si="11"/>
        <v>127.1866</v>
      </c>
      <c r="AA22" s="210">
        <f t="shared" si="11"/>
        <v>40.762</v>
      </c>
      <c r="AB22" s="210">
        <f t="shared" si="11"/>
        <v>81.066000000000003</v>
      </c>
      <c r="AC22" s="210">
        <f t="shared" si="11"/>
        <v>88.439799999999991</v>
      </c>
      <c r="AD22" s="210">
        <f t="shared" si="11"/>
        <v>35.220200000000006</v>
      </c>
      <c r="AE22" s="210">
        <f t="shared" si="11"/>
        <v>32.289000000000001</v>
      </c>
      <c r="AF22" s="210">
        <f t="shared" si="11"/>
        <v>101.8134</v>
      </c>
      <c r="AG22" s="210"/>
      <c r="AH22" s="210"/>
      <c r="AI22" s="210"/>
      <c r="AJ22" s="210"/>
      <c r="AK22" s="507">
        <f t="shared" si="0"/>
        <v>1883.2514000000001</v>
      </c>
      <c r="AL22" s="224">
        <f>COUNT(D22:AJ22)</f>
        <v>25</v>
      </c>
      <c r="AM22" s="213">
        <f>AK22/AL22</f>
        <v>75.330055999999999</v>
      </c>
      <c r="AN22" s="211"/>
    </row>
    <row r="23" spans="1:41" ht="15.75" x14ac:dyDescent="0.25">
      <c r="A23">
        <v>13.76</v>
      </c>
      <c r="B23">
        <v>12.49</v>
      </c>
      <c r="C23" s="355" t="s">
        <v>78</v>
      </c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498">
        <f t="shared" si="0"/>
        <v>0</v>
      </c>
      <c r="AL23" s="78"/>
      <c r="AM23" s="27"/>
      <c r="AN23" s="217"/>
      <c r="AO23" s="217"/>
    </row>
    <row r="24" spans="1:41" ht="15.75" x14ac:dyDescent="0.25">
      <c r="B24">
        <v>2.5</v>
      </c>
      <c r="C24" s="356" t="s">
        <v>34</v>
      </c>
      <c r="D24" s="212"/>
      <c r="E24" s="212"/>
      <c r="F24" s="212"/>
      <c r="G24" s="212"/>
      <c r="H24" s="212"/>
      <c r="I24" s="27"/>
      <c r="J24" s="212"/>
      <c r="K24" s="212"/>
      <c r="L24" s="212"/>
      <c r="M24" s="212"/>
      <c r="N24" s="212"/>
      <c r="O24" s="212"/>
      <c r="P24" s="212">
        <v>36.700000000000003</v>
      </c>
      <c r="Q24" s="212">
        <v>30.8</v>
      </c>
      <c r="R24" s="212">
        <v>49</v>
      </c>
      <c r="S24" s="212">
        <v>47.4</v>
      </c>
      <c r="T24" s="212">
        <v>65.7</v>
      </c>
      <c r="U24" s="212"/>
      <c r="V24" s="212"/>
      <c r="W24" s="212"/>
      <c r="X24" s="212"/>
      <c r="Y24" s="349"/>
      <c r="Z24" s="349"/>
      <c r="AA24" s="349"/>
      <c r="AB24" s="349"/>
      <c r="AC24" s="349"/>
      <c r="AD24" s="349"/>
      <c r="AE24" s="349"/>
      <c r="AF24" s="349"/>
      <c r="AG24" s="349"/>
      <c r="AH24" s="349"/>
      <c r="AI24" s="349"/>
      <c r="AJ24" s="349"/>
      <c r="AK24" s="498">
        <f t="shared" si="0"/>
        <v>229.60000000000002</v>
      </c>
      <c r="AL24" s="78"/>
      <c r="AM24" s="223"/>
      <c r="AN24" s="217"/>
      <c r="AO24" s="217"/>
    </row>
    <row r="25" spans="1:41" ht="15.75" x14ac:dyDescent="0.25">
      <c r="A25">
        <v>2.29</v>
      </c>
      <c r="B25">
        <v>2.08</v>
      </c>
      <c r="C25" s="356" t="s">
        <v>1</v>
      </c>
      <c r="D25" s="212">
        <v>41.72</v>
      </c>
      <c r="E25" s="212"/>
      <c r="F25" s="212">
        <v>30</v>
      </c>
      <c r="G25" s="212">
        <v>20.3</v>
      </c>
      <c r="H25" s="212">
        <v>22.7</v>
      </c>
      <c r="I25" s="212">
        <v>39.31</v>
      </c>
      <c r="J25" s="212">
        <v>4.5</v>
      </c>
      <c r="K25" s="212">
        <v>21.61</v>
      </c>
      <c r="L25" s="212">
        <v>7.58</v>
      </c>
      <c r="M25" s="212">
        <v>36.82</v>
      </c>
      <c r="N25" s="212">
        <v>44.65</v>
      </c>
      <c r="O25" s="212">
        <v>64.599999999999994</v>
      </c>
      <c r="P25" s="212"/>
      <c r="Q25" s="212"/>
      <c r="R25" s="212"/>
      <c r="S25" s="212"/>
      <c r="T25" s="212"/>
      <c r="U25" s="212">
        <v>17.55</v>
      </c>
      <c r="V25" s="212">
        <v>30.45</v>
      </c>
      <c r="W25" s="212">
        <v>96.9</v>
      </c>
      <c r="X25" s="212">
        <v>110.36</v>
      </c>
      <c r="Y25" s="349">
        <v>76.989999999999995</v>
      </c>
      <c r="Z25" s="349">
        <v>55.48</v>
      </c>
      <c r="AA25" s="349">
        <v>18.97</v>
      </c>
      <c r="AB25" s="349">
        <v>50.82</v>
      </c>
      <c r="AC25" s="349">
        <v>21.46</v>
      </c>
      <c r="AD25" s="349">
        <v>30.7</v>
      </c>
      <c r="AE25" s="349">
        <v>15.84</v>
      </c>
      <c r="AF25" s="349">
        <v>58.02</v>
      </c>
      <c r="AG25" s="349"/>
      <c r="AH25" s="349">
        <v>28</v>
      </c>
      <c r="AI25" s="349">
        <v>27.1</v>
      </c>
      <c r="AJ25" s="349">
        <v>11.1</v>
      </c>
      <c r="AK25" s="498">
        <f t="shared" si="0"/>
        <v>983.5300000000002</v>
      </c>
      <c r="AL25" s="78"/>
      <c r="AM25" s="223"/>
      <c r="AN25" s="217"/>
      <c r="AO25" s="217"/>
    </row>
    <row r="26" spans="1:41" ht="16.5" thickBot="1" x14ac:dyDescent="0.3">
      <c r="C26" s="357" t="s">
        <v>75</v>
      </c>
      <c r="D26" s="210">
        <f>D25*B25</f>
        <v>86.777600000000007</v>
      </c>
      <c r="E26" s="210"/>
      <c r="F26" s="210">
        <f>F23*12.49+F24*2.5+F25*2.08</f>
        <v>62.400000000000006</v>
      </c>
      <c r="G26" s="210">
        <f t="shared" ref="G26:T26" si="12">G23*12.49+G24*2.5+G25*2.08</f>
        <v>42.224000000000004</v>
      </c>
      <c r="H26" s="210">
        <f t="shared" si="12"/>
        <v>47.216000000000001</v>
      </c>
      <c r="I26" s="210">
        <f t="shared" si="12"/>
        <v>81.764800000000008</v>
      </c>
      <c r="J26" s="210">
        <f t="shared" si="12"/>
        <v>9.36</v>
      </c>
      <c r="K26" s="210">
        <f t="shared" si="12"/>
        <v>44.948799999999999</v>
      </c>
      <c r="L26" s="210">
        <f t="shared" si="12"/>
        <v>15.766400000000001</v>
      </c>
      <c r="M26" s="210">
        <f t="shared" si="12"/>
        <v>76.585599999999999</v>
      </c>
      <c r="N26" s="210">
        <f t="shared" si="12"/>
        <v>92.872</v>
      </c>
      <c r="O26" s="210">
        <f t="shared" si="12"/>
        <v>134.36799999999999</v>
      </c>
      <c r="P26" s="210">
        <f t="shared" si="12"/>
        <v>91.75</v>
      </c>
      <c r="Q26" s="210">
        <f t="shared" si="12"/>
        <v>77</v>
      </c>
      <c r="R26" s="210">
        <f t="shared" si="12"/>
        <v>122.5</v>
      </c>
      <c r="S26" s="210">
        <f t="shared" si="12"/>
        <v>118.5</v>
      </c>
      <c r="T26" s="210">
        <f t="shared" si="12"/>
        <v>164.25</v>
      </c>
      <c r="U26" s="210">
        <f>U25*2.29</f>
        <v>40.189500000000002</v>
      </c>
      <c r="V26" s="210">
        <f t="shared" ref="V26:AF26" si="13">V25*2.29</f>
        <v>69.730500000000006</v>
      </c>
      <c r="W26" s="210">
        <f t="shared" si="13"/>
        <v>221.90100000000001</v>
      </c>
      <c r="X26" s="210">
        <f t="shared" si="13"/>
        <v>252.7244</v>
      </c>
      <c r="Y26" s="210">
        <f t="shared" si="13"/>
        <v>176.30709999999999</v>
      </c>
      <c r="Z26" s="210">
        <f t="shared" si="13"/>
        <v>127.0492</v>
      </c>
      <c r="AA26" s="210">
        <f t="shared" si="13"/>
        <v>43.441299999999998</v>
      </c>
      <c r="AB26" s="210">
        <f t="shared" si="13"/>
        <v>116.37780000000001</v>
      </c>
      <c r="AC26" s="210">
        <f t="shared" si="13"/>
        <v>49.1434</v>
      </c>
      <c r="AD26" s="210">
        <f t="shared" si="13"/>
        <v>70.302999999999997</v>
      </c>
      <c r="AE26" s="210">
        <f t="shared" si="13"/>
        <v>36.273600000000002</v>
      </c>
      <c r="AF26" s="210">
        <f t="shared" si="13"/>
        <v>132.86580000000001</v>
      </c>
      <c r="AG26" s="210"/>
      <c r="AH26" s="210">
        <f>AH25*4.59</f>
        <v>128.51999999999998</v>
      </c>
      <c r="AI26" s="210">
        <f t="shared" ref="AI26:AJ26" si="14">AI25*4.59</f>
        <v>124.389</v>
      </c>
      <c r="AJ26" s="210">
        <f t="shared" si="14"/>
        <v>50.948999999999998</v>
      </c>
      <c r="AK26" s="507">
        <f t="shared" si="0"/>
        <v>2908.4478000000004</v>
      </c>
      <c r="AL26" s="224">
        <f>COUNT(D26:AJ26)</f>
        <v>31</v>
      </c>
      <c r="AM26" s="213">
        <f>AK26/AL26</f>
        <v>93.820896774193557</v>
      </c>
      <c r="AN26" s="211"/>
    </row>
    <row r="27" spans="1:41" ht="15.75" x14ac:dyDescent="0.25">
      <c r="A27">
        <v>13.76</v>
      </c>
      <c r="B27">
        <v>12.49</v>
      </c>
      <c r="C27" s="355" t="s">
        <v>79</v>
      </c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348"/>
      <c r="Z27" s="348"/>
      <c r="AA27" s="348"/>
      <c r="AB27" s="348"/>
      <c r="AC27" s="348"/>
      <c r="AD27" s="348"/>
      <c r="AE27" s="348"/>
      <c r="AF27" s="348"/>
      <c r="AG27" s="348"/>
      <c r="AH27" s="348"/>
      <c r="AI27" s="348"/>
      <c r="AJ27" s="348"/>
      <c r="AK27" s="498">
        <f t="shared" si="0"/>
        <v>0</v>
      </c>
      <c r="AL27" s="78"/>
      <c r="AM27" s="27"/>
      <c r="AN27" s="217"/>
      <c r="AO27" s="217"/>
    </row>
    <row r="28" spans="1:41" ht="15.75" x14ac:dyDescent="0.25">
      <c r="B28">
        <v>2.5</v>
      </c>
      <c r="C28" s="356" t="s">
        <v>34</v>
      </c>
      <c r="D28" s="212"/>
      <c r="E28" s="212"/>
      <c r="F28" s="212"/>
      <c r="G28" s="212"/>
      <c r="H28" s="212"/>
      <c r="I28" s="27"/>
      <c r="J28" s="212"/>
      <c r="K28" s="212"/>
      <c r="L28" s="212"/>
      <c r="M28" s="212"/>
      <c r="N28" s="212"/>
      <c r="O28" s="212"/>
      <c r="P28" s="212">
        <v>36.1</v>
      </c>
      <c r="Q28" s="212">
        <v>18.8</v>
      </c>
      <c r="R28" s="212">
        <v>63.7</v>
      </c>
      <c r="S28" s="212">
        <v>44</v>
      </c>
      <c r="T28" s="212">
        <v>56.3</v>
      </c>
      <c r="U28" s="212"/>
      <c r="V28" s="212"/>
      <c r="W28" s="212"/>
      <c r="X28" s="212"/>
      <c r="Y28" s="349"/>
      <c r="Z28" s="349"/>
      <c r="AA28" s="349"/>
      <c r="AB28" s="349"/>
      <c r="AC28" s="349"/>
      <c r="AD28" s="349"/>
      <c r="AE28" s="349"/>
      <c r="AF28" s="349"/>
      <c r="AG28" s="349"/>
      <c r="AH28" s="349"/>
      <c r="AI28" s="349"/>
      <c r="AJ28" s="349"/>
      <c r="AK28" s="498">
        <f t="shared" si="0"/>
        <v>218.90000000000003</v>
      </c>
      <c r="AL28" s="78"/>
      <c r="AM28" s="223"/>
      <c r="AN28" s="217"/>
      <c r="AO28" s="217"/>
    </row>
    <row r="29" spans="1:41" ht="15.75" x14ac:dyDescent="0.25">
      <c r="A29">
        <v>2.29</v>
      </c>
      <c r="B29">
        <v>2.08</v>
      </c>
      <c r="C29" s="356" t="s">
        <v>1</v>
      </c>
      <c r="D29" s="212"/>
      <c r="E29" s="212"/>
      <c r="F29" s="212"/>
      <c r="G29" s="212"/>
      <c r="H29" s="212"/>
      <c r="I29" s="212">
        <v>14.1</v>
      </c>
      <c r="J29" s="212">
        <v>4.5999999999999996</v>
      </c>
      <c r="K29" s="212">
        <v>21.61</v>
      </c>
      <c r="L29" s="212">
        <v>7.6</v>
      </c>
      <c r="M29" s="212">
        <v>20.96</v>
      </c>
      <c r="N29" s="212">
        <v>52.05</v>
      </c>
      <c r="O29" s="212">
        <v>48.8</v>
      </c>
      <c r="P29" s="212"/>
      <c r="Q29" s="212"/>
      <c r="R29" s="212"/>
      <c r="S29" s="212"/>
      <c r="T29" s="212"/>
      <c r="U29" s="212">
        <v>7.4</v>
      </c>
      <c r="V29" s="212">
        <v>7.3</v>
      </c>
      <c r="W29" s="212">
        <v>76.45</v>
      </c>
      <c r="X29" s="212">
        <v>91.18</v>
      </c>
      <c r="Y29" s="349">
        <v>86.34</v>
      </c>
      <c r="Z29" s="349">
        <v>32.14</v>
      </c>
      <c r="AA29" s="349">
        <v>29.21</v>
      </c>
      <c r="AB29" s="349">
        <v>29.7</v>
      </c>
      <c r="AC29" s="349">
        <v>28.93</v>
      </c>
      <c r="AD29" s="349">
        <v>6.36</v>
      </c>
      <c r="AE29" s="349"/>
      <c r="AF29" s="349">
        <v>44.58</v>
      </c>
      <c r="AG29" s="349">
        <v>0.8</v>
      </c>
      <c r="AH29" s="349">
        <v>20.25</v>
      </c>
      <c r="AI29" s="349">
        <v>24.5</v>
      </c>
      <c r="AJ29" s="349">
        <v>8.6</v>
      </c>
      <c r="AK29" s="498">
        <f t="shared" si="0"/>
        <v>663.45999999999992</v>
      </c>
      <c r="AL29" s="78"/>
      <c r="AM29" s="223"/>
      <c r="AN29" s="217"/>
      <c r="AO29" s="217"/>
    </row>
    <row r="30" spans="1:41" ht="16.5" thickBot="1" x14ac:dyDescent="0.3">
      <c r="C30" s="357" t="s">
        <v>75</v>
      </c>
      <c r="D30" s="210"/>
      <c r="E30" s="210"/>
      <c r="F30" s="210"/>
      <c r="G30" s="210"/>
      <c r="H30" s="210"/>
      <c r="I30" s="210">
        <f t="shared" ref="I30:T30" si="15">I27*12.49+I28*2.5+I29*2.08</f>
        <v>29.327999999999999</v>
      </c>
      <c r="J30" s="210">
        <f t="shared" si="15"/>
        <v>9.5679999999999996</v>
      </c>
      <c r="K30" s="210">
        <f t="shared" si="15"/>
        <v>44.948799999999999</v>
      </c>
      <c r="L30" s="210">
        <f t="shared" si="15"/>
        <v>15.808</v>
      </c>
      <c r="M30" s="210">
        <f t="shared" si="15"/>
        <v>43.596800000000002</v>
      </c>
      <c r="N30" s="210">
        <f t="shared" si="15"/>
        <v>108.264</v>
      </c>
      <c r="O30" s="210">
        <f t="shared" si="15"/>
        <v>101.50399999999999</v>
      </c>
      <c r="P30" s="210">
        <f t="shared" si="15"/>
        <v>90.25</v>
      </c>
      <c r="Q30" s="210">
        <f t="shared" si="15"/>
        <v>47</v>
      </c>
      <c r="R30" s="210">
        <f t="shared" si="15"/>
        <v>159.25</v>
      </c>
      <c r="S30" s="210">
        <f t="shared" si="15"/>
        <v>110</v>
      </c>
      <c r="T30" s="210">
        <f t="shared" si="15"/>
        <v>140.75</v>
      </c>
      <c r="U30" s="210">
        <f>U29*2.29</f>
        <v>16.946000000000002</v>
      </c>
      <c r="V30" s="210">
        <f t="shared" ref="V30:AF30" si="16">V29*2.29</f>
        <v>16.716999999999999</v>
      </c>
      <c r="W30" s="210">
        <f t="shared" si="16"/>
        <v>175.07050000000001</v>
      </c>
      <c r="X30" s="210">
        <f t="shared" si="16"/>
        <v>208.80220000000003</v>
      </c>
      <c r="Y30" s="210">
        <f t="shared" si="16"/>
        <v>197.71860000000001</v>
      </c>
      <c r="Z30" s="210">
        <f t="shared" si="16"/>
        <v>73.6006</v>
      </c>
      <c r="AA30" s="210">
        <f t="shared" si="16"/>
        <v>66.890900000000002</v>
      </c>
      <c r="AB30" s="210">
        <f t="shared" si="16"/>
        <v>68.013000000000005</v>
      </c>
      <c r="AC30" s="210">
        <f t="shared" si="16"/>
        <v>66.249700000000004</v>
      </c>
      <c r="AD30" s="210">
        <f t="shared" si="16"/>
        <v>14.564400000000001</v>
      </c>
      <c r="AE30" s="210"/>
      <c r="AF30" s="210">
        <f t="shared" si="16"/>
        <v>102.0882</v>
      </c>
      <c r="AG30" s="210">
        <f>AG29*4.59</f>
        <v>3.6720000000000002</v>
      </c>
      <c r="AH30" s="210">
        <f t="shared" ref="AH30:AJ30" si="17">AH29*4.59</f>
        <v>92.947499999999991</v>
      </c>
      <c r="AI30" s="210">
        <f t="shared" si="17"/>
        <v>112.455</v>
      </c>
      <c r="AJ30" s="210">
        <f t="shared" si="17"/>
        <v>39.473999999999997</v>
      </c>
      <c r="AK30" s="507">
        <f t="shared" si="0"/>
        <v>2155.4772000000003</v>
      </c>
      <c r="AL30" s="224">
        <f>COUNT(D30:AJ30)</f>
        <v>27</v>
      </c>
      <c r="AM30" s="213">
        <f>AK30/AL30</f>
        <v>79.832488888888903</v>
      </c>
      <c r="AN30" s="211"/>
    </row>
    <row r="31" spans="1:41" ht="15.75" x14ac:dyDescent="0.25">
      <c r="A31">
        <v>13.76</v>
      </c>
      <c r="B31">
        <v>12.49</v>
      </c>
      <c r="C31" s="355" t="s">
        <v>80</v>
      </c>
      <c r="D31" s="209"/>
      <c r="E31" s="209"/>
      <c r="F31" s="209"/>
      <c r="G31" s="209"/>
      <c r="H31" s="209"/>
      <c r="I31" s="209">
        <v>2.15</v>
      </c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348"/>
      <c r="Z31" s="348"/>
      <c r="AA31" s="348"/>
      <c r="AB31" s="348"/>
      <c r="AC31" s="348"/>
      <c r="AD31" s="348"/>
      <c r="AE31" s="348"/>
      <c r="AF31" s="348"/>
      <c r="AG31" s="348"/>
      <c r="AH31" s="348"/>
      <c r="AI31" s="348"/>
      <c r="AJ31" s="348"/>
      <c r="AK31" s="498">
        <f t="shared" si="0"/>
        <v>2.15</v>
      </c>
      <c r="AL31" s="78"/>
      <c r="AM31" s="27"/>
      <c r="AN31" s="217"/>
      <c r="AO31" s="217"/>
    </row>
    <row r="32" spans="1:41" ht="15.75" x14ac:dyDescent="0.25">
      <c r="B32">
        <v>2.5</v>
      </c>
      <c r="C32" s="356" t="s">
        <v>34</v>
      </c>
      <c r="D32" s="212"/>
      <c r="E32" s="212"/>
      <c r="F32" s="212"/>
      <c r="G32" s="212"/>
      <c r="H32" s="212"/>
      <c r="I32" s="27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349"/>
      <c r="Z32" s="349"/>
      <c r="AA32" s="349"/>
      <c r="AB32" s="349"/>
      <c r="AC32" s="349"/>
      <c r="AD32" s="349"/>
      <c r="AE32" s="349"/>
      <c r="AF32" s="349"/>
      <c r="AG32" s="349"/>
      <c r="AH32" s="349"/>
      <c r="AI32" s="349"/>
      <c r="AJ32" s="349"/>
      <c r="AK32" s="498">
        <f t="shared" si="0"/>
        <v>0</v>
      </c>
      <c r="AL32" s="78"/>
      <c r="AM32" s="223"/>
      <c r="AN32" s="217"/>
      <c r="AO32" s="217"/>
    </row>
    <row r="33" spans="1:41" ht="15.75" x14ac:dyDescent="0.25">
      <c r="A33">
        <v>2.29</v>
      </c>
      <c r="B33">
        <v>2.08</v>
      </c>
      <c r="C33" s="356" t="s">
        <v>1</v>
      </c>
      <c r="D33" s="212"/>
      <c r="E33" s="212"/>
      <c r="F33" s="212"/>
      <c r="G33" s="212">
        <v>21.94</v>
      </c>
      <c r="H33" s="212">
        <v>18.059999999999999</v>
      </c>
      <c r="I33" s="212"/>
      <c r="J33" s="212"/>
      <c r="K33" s="212">
        <v>42.49</v>
      </c>
      <c r="L33" s="212"/>
      <c r="M33" s="212">
        <v>28.42</v>
      </c>
      <c r="N33" s="212">
        <v>44.86</v>
      </c>
      <c r="O33" s="212">
        <v>67.12</v>
      </c>
      <c r="P33" s="212">
        <v>64.11</v>
      </c>
      <c r="Q33" s="212"/>
      <c r="R33" s="212">
        <v>29.59</v>
      </c>
      <c r="S33" s="212"/>
      <c r="T33" s="212">
        <v>57.1</v>
      </c>
      <c r="U33" s="212">
        <v>16.75</v>
      </c>
      <c r="V33" s="212">
        <v>44.2</v>
      </c>
      <c r="W33" s="212">
        <v>74.900000000000006</v>
      </c>
      <c r="X33" s="212">
        <v>93.96</v>
      </c>
      <c r="Y33" s="349">
        <v>56.45</v>
      </c>
      <c r="Z33" s="349">
        <v>55.14</v>
      </c>
      <c r="AA33" s="349"/>
      <c r="AB33" s="271">
        <v>28.32</v>
      </c>
      <c r="AC33" s="349">
        <v>39.5</v>
      </c>
      <c r="AD33" s="349">
        <v>19.5</v>
      </c>
      <c r="AE33" s="349">
        <v>24.5</v>
      </c>
      <c r="AF33" s="349">
        <v>60.62</v>
      </c>
      <c r="AG33" s="349"/>
      <c r="AH33" s="349">
        <v>30.1</v>
      </c>
      <c r="AI33" s="349">
        <v>17.600000000000001</v>
      </c>
      <c r="AJ33" s="349">
        <v>9.9</v>
      </c>
      <c r="AK33" s="498">
        <f t="shared" si="0"/>
        <v>945.13000000000011</v>
      </c>
      <c r="AL33" s="78"/>
      <c r="AM33" s="223"/>
      <c r="AN33" s="217"/>
      <c r="AO33" s="217"/>
    </row>
    <row r="34" spans="1:41" ht="16.5" thickBot="1" x14ac:dyDescent="0.3">
      <c r="C34" s="357" t="s">
        <v>75</v>
      </c>
      <c r="D34" s="210"/>
      <c r="E34" s="210"/>
      <c r="F34" s="210"/>
      <c r="G34" s="210">
        <f>G31*12.49+G32*2.5+G33*2.08</f>
        <v>45.635200000000005</v>
      </c>
      <c r="H34" s="210">
        <f t="shared" ref="H34:T34" si="18">H31*12.49+H32*2.5+H33*2.08</f>
        <v>37.564799999999998</v>
      </c>
      <c r="I34" s="210">
        <f t="shared" si="18"/>
        <v>26.8535</v>
      </c>
      <c r="J34" s="210"/>
      <c r="K34" s="210">
        <f t="shared" si="18"/>
        <v>88.379200000000012</v>
      </c>
      <c r="L34" s="210">
        <f t="shared" si="18"/>
        <v>0</v>
      </c>
      <c r="M34" s="210">
        <f t="shared" si="18"/>
        <v>59.113600000000005</v>
      </c>
      <c r="N34" s="210">
        <f t="shared" si="18"/>
        <v>93.308800000000005</v>
      </c>
      <c r="O34" s="210">
        <f t="shared" si="18"/>
        <v>139.6096</v>
      </c>
      <c r="P34" s="210">
        <f t="shared" si="18"/>
        <v>133.34880000000001</v>
      </c>
      <c r="Q34" s="210"/>
      <c r="R34" s="210">
        <f t="shared" si="18"/>
        <v>61.547200000000004</v>
      </c>
      <c r="S34" s="210"/>
      <c r="T34" s="210">
        <f t="shared" si="18"/>
        <v>118.768</v>
      </c>
      <c r="U34" s="210">
        <f>U33*2.29</f>
        <v>38.357500000000002</v>
      </c>
      <c r="V34" s="210">
        <f t="shared" ref="V34:AF34" si="19">V33*2.29</f>
        <v>101.218</v>
      </c>
      <c r="W34" s="210">
        <f t="shared" si="19"/>
        <v>171.52100000000002</v>
      </c>
      <c r="X34" s="210">
        <f t="shared" si="19"/>
        <v>215.16839999999999</v>
      </c>
      <c r="Y34" s="210">
        <f t="shared" si="19"/>
        <v>129.2705</v>
      </c>
      <c r="Z34" s="210">
        <f t="shared" si="19"/>
        <v>126.2706</v>
      </c>
      <c r="AA34" s="210"/>
      <c r="AB34" s="210">
        <f t="shared" si="19"/>
        <v>64.852800000000002</v>
      </c>
      <c r="AC34" s="210">
        <f t="shared" si="19"/>
        <v>90.454999999999998</v>
      </c>
      <c r="AD34" s="210">
        <f t="shared" si="19"/>
        <v>44.655000000000001</v>
      </c>
      <c r="AE34" s="210">
        <f t="shared" si="19"/>
        <v>56.105000000000004</v>
      </c>
      <c r="AF34" s="210">
        <f t="shared" si="19"/>
        <v>138.81979999999999</v>
      </c>
      <c r="AG34" s="210"/>
      <c r="AH34" s="210">
        <f>AH33*4.59</f>
        <v>138.15899999999999</v>
      </c>
      <c r="AI34" s="210">
        <f t="shared" ref="AI34:AJ34" si="20">AI33*4.59</f>
        <v>80.784000000000006</v>
      </c>
      <c r="AJ34" s="210">
        <f t="shared" si="20"/>
        <v>45.441000000000003</v>
      </c>
      <c r="AK34" s="507">
        <f t="shared" si="0"/>
        <v>2245.2063000000003</v>
      </c>
      <c r="AL34" s="224">
        <f>COUNT(D34:AJ34)</f>
        <v>25</v>
      </c>
      <c r="AM34" s="213">
        <f>AK34/AL34</f>
        <v>89.80825200000001</v>
      </c>
      <c r="AN34" s="211"/>
    </row>
    <row r="35" spans="1:41" ht="15.75" x14ac:dyDescent="0.25">
      <c r="A35">
        <v>13.76</v>
      </c>
      <c r="B35">
        <v>12.49</v>
      </c>
      <c r="C35" s="355" t="s">
        <v>169</v>
      </c>
      <c r="D35" s="209"/>
      <c r="E35" s="209"/>
      <c r="F35" s="209"/>
      <c r="G35" s="209"/>
      <c r="H35" s="209"/>
      <c r="I35" s="209">
        <v>2.5</v>
      </c>
      <c r="J35" s="209"/>
      <c r="K35" s="209"/>
      <c r="L35" s="209">
        <v>7.3</v>
      </c>
      <c r="M35" s="209">
        <v>6.9</v>
      </c>
      <c r="N35" s="209"/>
      <c r="O35" s="209"/>
      <c r="P35" s="209"/>
      <c r="Q35" s="209"/>
      <c r="R35" s="209"/>
      <c r="S35" s="209">
        <v>3.25</v>
      </c>
      <c r="T35" s="209"/>
      <c r="U35" s="209"/>
      <c r="V35" s="209"/>
      <c r="W35" s="209"/>
      <c r="X35" s="209"/>
      <c r="Y35" s="348"/>
      <c r="Z35" s="348"/>
      <c r="AA35" s="348"/>
      <c r="AB35" s="348"/>
      <c r="AC35" s="348"/>
      <c r="AD35" s="348"/>
      <c r="AE35" s="348"/>
      <c r="AF35" s="348"/>
      <c r="AG35" s="348"/>
      <c r="AH35" s="348"/>
      <c r="AI35" s="348"/>
      <c r="AJ35" s="348"/>
      <c r="AK35" s="498">
        <f t="shared" ref="AK35:AK66" si="21">SUM(D35:AJ35)</f>
        <v>19.950000000000003</v>
      </c>
      <c r="AL35" s="78"/>
      <c r="AM35" s="27"/>
      <c r="AN35" s="217">
        <f>COUNT(D35:H35)</f>
        <v>0</v>
      </c>
      <c r="AO35" s="217">
        <f>COUNT(E37:G37)</f>
        <v>1</v>
      </c>
    </row>
    <row r="36" spans="1:41" ht="15.75" x14ac:dyDescent="0.25">
      <c r="B36">
        <v>2.5</v>
      </c>
      <c r="C36" s="356" t="s">
        <v>34</v>
      </c>
      <c r="D36" s="212"/>
      <c r="E36" s="212"/>
      <c r="F36" s="212"/>
      <c r="G36" s="212"/>
      <c r="H36" s="212"/>
      <c r="I36" s="27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349"/>
      <c r="Z36" s="349"/>
      <c r="AA36" s="349"/>
      <c r="AB36" s="349"/>
      <c r="AC36" s="349"/>
      <c r="AD36" s="349"/>
      <c r="AE36" s="349"/>
      <c r="AF36" s="349"/>
      <c r="AG36" s="349"/>
      <c r="AH36" s="349"/>
      <c r="AI36" s="349"/>
      <c r="AJ36" s="349"/>
      <c r="AK36" s="498">
        <f t="shared" si="21"/>
        <v>0</v>
      </c>
      <c r="AL36" s="78"/>
      <c r="AM36" s="223"/>
      <c r="AN36" s="218">
        <f>SUM(D38:D38)+H38</f>
        <v>41.516800000000003</v>
      </c>
      <c r="AO36" s="218">
        <f>SUM(E38:G38)</f>
        <v>69.721600000000009</v>
      </c>
    </row>
    <row r="37" spans="1:41" ht="15.75" x14ac:dyDescent="0.25">
      <c r="A37">
        <v>2.29</v>
      </c>
      <c r="B37">
        <v>2.08</v>
      </c>
      <c r="C37" s="356" t="s">
        <v>1</v>
      </c>
      <c r="D37" s="212"/>
      <c r="E37" s="212"/>
      <c r="F37" s="212"/>
      <c r="G37" s="212">
        <v>33.520000000000003</v>
      </c>
      <c r="H37" s="212">
        <v>19.96</v>
      </c>
      <c r="I37" s="212"/>
      <c r="J37" s="212"/>
      <c r="K37" s="212">
        <v>45.23</v>
      </c>
      <c r="L37" s="212"/>
      <c r="M37" s="212"/>
      <c r="N37" s="212">
        <v>37.17</v>
      </c>
      <c r="O37" s="212">
        <v>56.48</v>
      </c>
      <c r="P37" s="212">
        <v>74.400000000000006</v>
      </c>
      <c r="Q37" s="212"/>
      <c r="R37" s="212">
        <v>59.35</v>
      </c>
      <c r="S37" s="212">
        <v>38.4</v>
      </c>
      <c r="T37" s="212">
        <v>67.45</v>
      </c>
      <c r="U37" s="212">
        <v>22.1</v>
      </c>
      <c r="V37" s="212">
        <v>48</v>
      </c>
      <c r="W37" s="212">
        <v>84.3</v>
      </c>
      <c r="X37" s="212">
        <v>97</v>
      </c>
      <c r="Y37" s="349">
        <v>82.05</v>
      </c>
      <c r="Z37" s="349">
        <v>57.46</v>
      </c>
      <c r="AA37" s="349"/>
      <c r="AB37" s="271">
        <v>25.15</v>
      </c>
      <c r="AC37" s="349">
        <v>44.08</v>
      </c>
      <c r="AD37" s="349">
        <v>22.6</v>
      </c>
      <c r="AE37" s="349">
        <v>35.15</v>
      </c>
      <c r="AF37" s="349">
        <v>69.510000000000005</v>
      </c>
      <c r="AG37" s="349"/>
      <c r="AH37" s="349"/>
      <c r="AI37" s="349">
        <v>24.7</v>
      </c>
      <c r="AJ37" s="349">
        <v>10.1</v>
      </c>
      <c r="AK37" s="498">
        <f t="shared" si="21"/>
        <v>1054.1599999999999</v>
      </c>
      <c r="AL37" s="78"/>
      <c r="AM37" s="223"/>
      <c r="AN37" s="217"/>
      <c r="AO37" s="217"/>
    </row>
    <row r="38" spans="1:41" ht="16.5" thickBot="1" x14ac:dyDescent="0.3">
      <c r="C38" s="357" t="s">
        <v>75</v>
      </c>
      <c r="D38" s="210"/>
      <c r="E38" s="210"/>
      <c r="F38" s="210"/>
      <c r="G38" s="210">
        <f>G35*12.49+G36*2.5+G37*2.08</f>
        <v>69.721600000000009</v>
      </c>
      <c r="H38" s="210">
        <f t="shared" ref="H38:AF38" si="22">H35*12.49+H36*2.5+H37*2.08</f>
        <v>41.516800000000003</v>
      </c>
      <c r="I38" s="210">
        <f t="shared" si="22"/>
        <v>31.225000000000001</v>
      </c>
      <c r="J38" s="210"/>
      <c r="K38" s="210">
        <f t="shared" si="22"/>
        <v>94.078400000000002</v>
      </c>
      <c r="L38" s="210">
        <f t="shared" si="22"/>
        <v>91.176999999999992</v>
      </c>
      <c r="M38" s="210">
        <f t="shared" si="22"/>
        <v>86.181000000000012</v>
      </c>
      <c r="N38" s="210">
        <f t="shared" si="22"/>
        <v>77.313600000000008</v>
      </c>
      <c r="O38" s="210">
        <f t="shared" si="22"/>
        <v>117.47839999999999</v>
      </c>
      <c r="P38" s="210">
        <f t="shared" si="22"/>
        <v>154.75200000000001</v>
      </c>
      <c r="Q38" s="210"/>
      <c r="R38" s="210">
        <f t="shared" si="22"/>
        <v>123.44800000000001</v>
      </c>
      <c r="S38" s="210">
        <f t="shared" si="22"/>
        <v>120.4645</v>
      </c>
      <c r="T38" s="210">
        <f t="shared" si="22"/>
        <v>140.29600000000002</v>
      </c>
      <c r="U38" s="210">
        <f t="shared" si="22"/>
        <v>45.968000000000004</v>
      </c>
      <c r="V38" s="210">
        <f t="shared" si="22"/>
        <v>99.84</v>
      </c>
      <c r="W38" s="210">
        <f t="shared" si="22"/>
        <v>175.34399999999999</v>
      </c>
      <c r="X38" s="210">
        <f t="shared" si="22"/>
        <v>201.76000000000002</v>
      </c>
      <c r="Y38" s="210">
        <f t="shared" si="22"/>
        <v>170.66399999999999</v>
      </c>
      <c r="Z38" s="210">
        <f t="shared" si="22"/>
        <v>119.5168</v>
      </c>
      <c r="AA38" s="210"/>
      <c r="AB38" s="210">
        <f t="shared" si="22"/>
        <v>52.311999999999998</v>
      </c>
      <c r="AC38" s="210">
        <f t="shared" si="22"/>
        <v>91.686400000000006</v>
      </c>
      <c r="AD38" s="210">
        <f t="shared" si="22"/>
        <v>47.008000000000003</v>
      </c>
      <c r="AE38" s="210">
        <f t="shared" si="22"/>
        <v>73.111999999999995</v>
      </c>
      <c r="AF38" s="210">
        <f t="shared" si="22"/>
        <v>144.58080000000001</v>
      </c>
      <c r="AG38" s="210"/>
      <c r="AH38" s="210"/>
      <c r="AI38" s="210">
        <f>AI37*4.7</f>
        <v>116.09</v>
      </c>
      <c r="AJ38" s="210">
        <f>AJ37*4.7</f>
        <v>47.47</v>
      </c>
      <c r="AK38" s="507">
        <f t="shared" si="21"/>
        <v>2533.0043000000001</v>
      </c>
      <c r="AL38" s="224">
        <f>COUNT(D38:AJ38)</f>
        <v>25</v>
      </c>
      <c r="AM38" s="213">
        <f>AK38/AL38</f>
        <v>101.320172</v>
      </c>
      <c r="AN38" s="215" t="e">
        <f>AN36/AN35</f>
        <v>#DIV/0!</v>
      </c>
      <c r="AO38" s="215">
        <f>AO36/AO35</f>
        <v>69.721600000000009</v>
      </c>
    </row>
    <row r="39" spans="1:41" ht="15.75" x14ac:dyDescent="0.25">
      <c r="A39">
        <v>14.1</v>
      </c>
      <c r="B39">
        <v>12.81</v>
      </c>
      <c r="C39" s="355" t="s">
        <v>81</v>
      </c>
      <c r="D39" s="209"/>
      <c r="E39" s="209"/>
      <c r="F39" s="209"/>
      <c r="G39" s="209"/>
      <c r="H39" s="209"/>
      <c r="I39" s="209">
        <v>2.5</v>
      </c>
      <c r="J39" s="209"/>
      <c r="K39" s="209"/>
      <c r="L39" s="209">
        <v>2.8</v>
      </c>
      <c r="M39" s="209">
        <v>1.4</v>
      </c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348"/>
      <c r="AJ39" s="348"/>
      <c r="AK39" s="498">
        <f t="shared" si="21"/>
        <v>6.6999999999999993</v>
      </c>
      <c r="AL39" s="78"/>
      <c r="AM39" s="27"/>
      <c r="AN39" s="217"/>
      <c r="AO39" s="217"/>
    </row>
    <row r="40" spans="1:41" ht="15.75" x14ac:dyDescent="0.25">
      <c r="B40">
        <v>2.56</v>
      </c>
      <c r="C40" s="356" t="s">
        <v>34</v>
      </c>
      <c r="D40" s="212"/>
      <c r="E40" s="212"/>
      <c r="F40" s="212"/>
      <c r="G40" s="212"/>
      <c r="H40" s="212"/>
      <c r="I40" s="27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349"/>
      <c r="Z40" s="349"/>
      <c r="AA40" s="349"/>
      <c r="AB40" s="349"/>
      <c r="AC40" s="349"/>
      <c r="AD40" s="349"/>
      <c r="AE40" s="349"/>
      <c r="AF40" s="349"/>
      <c r="AG40" s="349"/>
      <c r="AH40" s="349"/>
      <c r="AI40" s="349"/>
      <c r="AJ40" s="349"/>
      <c r="AK40" s="498">
        <f t="shared" si="21"/>
        <v>0</v>
      </c>
      <c r="AL40" s="78"/>
      <c r="AM40" s="223"/>
      <c r="AN40" s="217"/>
      <c r="AO40" s="217"/>
    </row>
    <row r="41" spans="1:41" ht="15.75" x14ac:dyDescent="0.25">
      <c r="A41">
        <v>2.35</v>
      </c>
      <c r="B41">
        <v>2.14</v>
      </c>
      <c r="C41" s="356" t="s">
        <v>1</v>
      </c>
      <c r="D41" s="212"/>
      <c r="E41" s="212"/>
      <c r="F41" s="212"/>
      <c r="G41" s="212">
        <v>28.14</v>
      </c>
      <c r="H41" s="212">
        <v>18.760000000000002</v>
      </c>
      <c r="I41" s="212"/>
      <c r="J41" s="212"/>
      <c r="K41" s="212">
        <v>44.74</v>
      </c>
      <c r="L41" s="212"/>
      <c r="M41" s="212">
        <v>3.1</v>
      </c>
      <c r="N41" s="212">
        <v>55.05</v>
      </c>
      <c r="O41" s="212">
        <v>59.38</v>
      </c>
      <c r="P41" s="212">
        <v>39.82</v>
      </c>
      <c r="Q41" s="212"/>
      <c r="R41" s="212">
        <v>43.62</v>
      </c>
      <c r="S41" s="212"/>
      <c r="T41" s="212">
        <v>43.19</v>
      </c>
      <c r="U41" s="212">
        <v>17.350000000000001</v>
      </c>
      <c r="V41" s="212">
        <v>43.25</v>
      </c>
      <c r="W41" s="212">
        <v>39.729999999999997</v>
      </c>
      <c r="X41" s="212">
        <v>39.46</v>
      </c>
      <c r="Y41" s="349">
        <v>76.73</v>
      </c>
      <c r="Z41" s="349">
        <v>40.51</v>
      </c>
      <c r="AA41" s="349">
        <v>20.74</v>
      </c>
      <c r="AB41" s="349">
        <v>16.68</v>
      </c>
      <c r="AC41" s="349">
        <v>28.7</v>
      </c>
      <c r="AD41" s="349">
        <v>27.62</v>
      </c>
      <c r="AE41" s="349">
        <v>15.44</v>
      </c>
      <c r="AF41" s="349">
        <v>43.72</v>
      </c>
      <c r="AG41" s="349"/>
      <c r="AH41" s="349"/>
      <c r="AI41" s="349"/>
      <c r="AJ41" s="349">
        <v>8.1999999999999993</v>
      </c>
      <c r="AK41" s="498">
        <f t="shared" si="21"/>
        <v>753.93000000000018</v>
      </c>
      <c r="AL41" s="78"/>
      <c r="AM41" s="223"/>
      <c r="AN41" s="217"/>
      <c r="AO41" s="217"/>
    </row>
    <row r="42" spans="1:41" ht="16.5" thickBot="1" x14ac:dyDescent="0.3">
      <c r="C42" s="357" t="s">
        <v>75</v>
      </c>
      <c r="D42" s="210"/>
      <c r="E42" s="210"/>
      <c r="F42" s="210"/>
      <c r="G42" s="210">
        <f>G39*12.81+G40*2.56+G41*2.14</f>
        <v>60.219600000000007</v>
      </c>
      <c r="H42" s="210">
        <f t="shared" ref="H42:T42" si="23">H39*12.81+H40*2.56+H41*2.14</f>
        <v>40.146400000000007</v>
      </c>
      <c r="I42" s="210">
        <f t="shared" si="23"/>
        <v>32.024999999999999</v>
      </c>
      <c r="J42" s="210"/>
      <c r="K42" s="210">
        <f t="shared" si="23"/>
        <v>95.743600000000015</v>
      </c>
      <c r="L42" s="210">
        <f t="shared" si="23"/>
        <v>35.868000000000002</v>
      </c>
      <c r="M42" s="210">
        <f t="shared" si="23"/>
        <v>24.568000000000001</v>
      </c>
      <c r="N42" s="210">
        <f t="shared" si="23"/>
        <v>117.807</v>
      </c>
      <c r="O42" s="210">
        <f t="shared" si="23"/>
        <v>127.07320000000001</v>
      </c>
      <c r="P42" s="210">
        <f t="shared" si="23"/>
        <v>85.214800000000011</v>
      </c>
      <c r="Q42" s="210"/>
      <c r="R42" s="210">
        <f t="shared" si="23"/>
        <v>93.346800000000002</v>
      </c>
      <c r="S42" s="210"/>
      <c r="T42" s="210">
        <f t="shared" si="23"/>
        <v>92.426599999999993</v>
      </c>
      <c r="U42" s="210">
        <f>U41*2.35</f>
        <v>40.772500000000008</v>
      </c>
      <c r="V42" s="210">
        <f t="shared" ref="V42:AF42" si="24">V41*2.35</f>
        <v>101.6375</v>
      </c>
      <c r="W42" s="210">
        <f t="shared" si="24"/>
        <v>93.365499999999997</v>
      </c>
      <c r="X42" s="210">
        <f t="shared" si="24"/>
        <v>92.731000000000009</v>
      </c>
      <c r="Y42" s="210">
        <f t="shared" si="24"/>
        <v>180.31550000000001</v>
      </c>
      <c r="Z42" s="210">
        <f t="shared" si="24"/>
        <v>95.198499999999996</v>
      </c>
      <c r="AA42" s="210">
        <f t="shared" si="24"/>
        <v>48.738999999999997</v>
      </c>
      <c r="AB42" s="210">
        <f t="shared" si="24"/>
        <v>39.198</v>
      </c>
      <c r="AC42" s="210">
        <f t="shared" si="24"/>
        <v>67.445000000000007</v>
      </c>
      <c r="AD42" s="210">
        <f t="shared" si="24"/>
        <v>64.907000000000011</v>
      </c>
      <c r="AE42" s="210">
        <f t="shared" si="24"/>
        <v>36.283999999999999</v>
      </c>
      <c r="AF42" s="210">
        <f t="shared" si="24"/>
        <v>102.742</v>
      </c>
      <c r="AG42" s="210"/>
      <c r="AH42" s="210"/>
      <c r="AI42" s="210"/>
      <c r="AJ42" s="210">
        <f>AJ41*4.7</f>
        <v>38.54</v>
      </c>
      <c r="AK42" s="507">
        <f t="shared" si="21"/>
        <v>1806.3145</v>
      </c>
      <c r="AL42" s="224">
        <f>COUNT(D42:AJ42)</f>
        <v>24</v>
      </c>
      <c r="AM42" s="213">
        <f>AK42/AL42</f>
        <v>75.263104166666665</v>
      </c>
      <c r="AN42" s="211"/>
    </row>
    <row r="43" spans="1:41" ht="15.75" x14ac:dyDescent="0.25">
      <c r="A43">
        <v>14.1</v>
      </c>
      <c r="B43">
        <v>12.81</v>
      </c>
      <c r="C43" s="355" t="s">
        <v>82</v>
      </c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348"/>
      <c r="Z43" s="348"/>
      <c r="AA43" s="348"/>
      <c r="AB43" s="348"/>
      <c r="AC43" s="348"/>
      <c r="AD43" s="348"/>
      <c r="AE43" s="348"/>
      <c r="AF43" s="348"/>
      <c r="AG43" s="348"/>
      <c r="AH43" s="348"/>
      <c r="AI43" s="348"/>
      <c r="AJ43" s="348"/>
      <c r="AK43" s="498">
        <f t="shared" si="21"/>
        <v>0</v>
      </c>
      <c r="AL43" s="78"/>
      <c r="AM43" s="27"/>
      <c r="AN43" s="217"/>
      <c r="AO43" s="217"/>
    </row>
    <row r="44" spans="1:41" ht="15.75" x14ac:dyDescent="0.25">
      <c r="B44">
        <v>2.56</v>
      </c>
      <c r="C44" s="356" t="s">
        <v>34</v>
      </c>
      <c r="D44" s="212"/>
      <c r="E44" s="212"/>
      <c r="F44" s="212"/>
      <c r="G44" s="212"/>
      <c r="H44" s="212"/>
      <c r="I44" s="27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349"/>
      <c r="Z44" s="349"/>
      <c r="AA44" s="349"/>
      <c r="AB44" s="349"/>
      <c r="AC44" s="349"/>
      <c r="AD44" s="349"/>
      <c r="AE44" s="349"/>
      <c r="AF44" s="349"/>
      <c r="AG44" s="349"/>
      <c r="AH44" s="349"/>
      <c r="AI44" s="349"/>
      <c r="AJ44" s="349"/>
      <c r="AK44" s="498">
        <f t="shared" si="21"/>
        <v>0</v>
      </c>
      <c r="AL44" s="78"/>
      <c r="AM44" s="223"/>
      <c r="AN44" s="217"/>
      <c r="AO44" s="217"/>
    </row>
    <row r="45" spans="1:41" ht="15.75" x14ac:dyDescent="0.25">
      <c r="A45">
        <v>2.35</v>
      </c>
      <c r="B45">
        <v>2.14</v>
      </c>
      <c r="C45" s="356" t="s">
        <v>1</v>
      </c>
      <c r="D45" s="212"/>
      <c r="E45" s="212"/>
      <c r="F45" s="212"/>
      <c r="G45" s="212">
        <v>24.14</v>
      </c>
      <c r="H45" s="212">
        <v>17</v>
      </c>
      <c r="I45" s="212">
        <v>43.95</v>
      </c>
      <c r="J45" s="212">
        <v>6</v>
      </c>
      <c r="K45" s="212">
        <v>26.54</v>
      </c>
      <c r="L45" s="212">
        <v>39.58</v>
      </c>
      <c r="M45" s="212">
        <v>52.66</v>
      </c>
      <c r="N45" s="212">
        <v>67</v>
      </c>
      <c r="O45" s="212">
        <v>76.86</v>
      </c>
      <c r="P45" s="212">
        <v>67.959999999999994</v>
      </c>
      <c r="Q45" s="212"/>
      <c r="R45" s="212">
        <v>55.69</v>
      </c>
      <c r="S45" s="212">
        <v>59.36</v>
      </c>
      <c r="T45" s="212">
        <v>68.19</v>
      </c>
      <c r="U45" s="212">
        <v>23.2</v>
      </c>
      <c r="V45" s="212">
        <v>37.19</v>
      </c>
      <c r="W45" s="212">
        <v>25.56</v>
      </c>
      <c r="X45" s="212">
        <v>41.38</v>
      </c>
      <c r="Y45" s="349">
        <v>102.92</v>
      </c>
      <c r="Z45" s="349">
        <v>49.87</v>
      </c>
      <c r="AA45" s="349">
        <v>23.79</v>
      </c>
      <c r="AB45" s="349">
        <v>27.2</v>
      </c>
      <c r="AC45" s="349">
        <v>33.979999999999997</v>
      </c>
      <c r="AD45" s="349">
        <v>33.24</v>
      </c>
      <c r="AE45" s="349">
        <v>24.97</v>
      </c>
      <c r="AF45" s="349">
        <v>63.25</v>
      </c>
      <c r="AG45" s="349"/>
      <c r="AH45" s="349"/>
      <c r="AI45" s="349"/>
      <c r="AJ45" s="349"/>
      <c r="AK45" s="498">
        <f t="shared" si="21"/>
        <v>1091.48</v>
      </c>
      <c r="AL45" s="78"/>
      <c r="AM45" s="223"/>
      <c r="AN45" s="217"/>
      <c r="AO45" s="217"/>
    </row>
    <row r="46" spans="1:41" ht="16.5" thickBot="1" x14ac:dyDescent="0.3">
      <c r="C46" s="357" t="s">
        <v>75</v>
      </c>
      <c r="D46" s="210"/>
      <c r="E46" s="210"/>
      <c r="F46" s="210"/>
      <c r="G46" s="210">
        <f>G43*12.81+G44*2.56+G45*2.14</f>
        <v>51.659600000000005</v>
      </c>
      <c r="H46" s="210">
        <f t="shared" ref="H46:T46" si="25">H43*12.81+H44*2.56+H45*2.14</f>
        <v>36.380000000000003</v>
      </c>
      <c r="I46" s="210">
        <f t="shared" si="25"/>
        <v>94.053000000000011</v>
      </c>
      <c r="J46" s="210">
        <f t="shared" si="25"/>
        <v>12.84</v>
      </c>
      <c r="K46" s="210">
        <f t="shared" si="25"/>
        <v>56.7956</v>
      </c>
      <c r="L46" s="210">
        <f t="shared" si="25"/>
        <v>84.7012</v>
      </c>
      <c r="M46" s="210">
        <f t="shared" si="25"/>
        <v>112.69240000000001</v>
      </c>
      <c r="N46" s="210">
        <f t="shared" si="25"/>
        <v>143.38</v>
      </c>
      <c r="O46" s="210">
        <f t="shared" si="25"/>
        <v>164.4804</v>
      </c>
      <c r="P46" s="210">
        <f t="shared" si="25"/>
        <v>145.43439999999998</v>
      </c>
      <c r="Q46" s="210"/>
      <c r="R46" s="210">
        <f t="shared" si="25"/>
        <v>119.17660000000001</v>
      </c>
      <c r="S46" s="210">
        <f t="shared" si="25"/>
        <v>127.0304</v>
      </c>
      <c r="T46" s="210">
        <f t="shared" si="25"/>
        <v>145.92660000000001</v>
      </c>
      <c r="U46" s="210">
        <f>U45*2.35</f>
        <v>54.52</v>
      </c>
      <c r="V46" s="210">
        <f t="shared" ref="V46:AF46" si="26">V45*2.35</f>
        <v>87.396500000000003</v>
      </c>
      <c r="W46" s="210">
        <f t="shared" si="26"/>
        <v>60.066000000000003</v>
      </c>
      <c r="X46" s="210">
        <f t="shared" si="26"/>
        <v>97.243000000000009</v>
      </c>
      <c r="Y46" s="210">
        <f t="shared" si="26"/>
        <v>241.86200000000002</v>
      </c>
      <c r="Z46" s="210">
        <f t="shared" si="26"/>
        <v>117.19450000000001</v>
      </c>
      <c r="AA46" s="210">
        <f t="shared" si="26"/>
        <v>55.906500000000001</v>
      </c>
      <c r="AB46" s="210">
        <f t="shared" si="26"/>
        <v>63.92</v>
      </c>
      <c r="AC46" s="210">
        <f t="shared" si="26"/>
        <v>79.852999999999994</v>
      </c>
      <c r="AD46" s="210">
        <f t="shared" si="26"/>
        <v>78.114000000000004</v>
      </c>
      <c r="AE46" s="210">
        <f t="shared" si="26"/>
        <v>58.679499999999997</v>
      </c>
      <c r="AF46" s="210">
        <f t="shared" si="26"/>
        <v>148.63750000000002</v>
      </c>
      <c r="AG46" s="210"/>
      <c r="AH46" s="210"/>
      <c r="AI46" s="210"/>
      <c r="AJ46" s="210"/>
      <c r="AK46" s="507">
        <f t="shared" si="21"/>
        <v>2437.9427000000005</v>
      </c>
      <c r="AL46" s="224">
        <f>COUNT(D46:AJ46)</f>
        <v>25</v>
      </c>
      <c r="AM46" s="213">
        <f>AK46/AL46</f>
        <v>97.517708000000027</v>
      </c>
      <c r="AN46" s="211"/>
    </row>
    <row r="47" spans="1:41" ht="15.75" x14ac:dyDescent="0.25">
      <c r="A47">
        <v>14.1</v>
      </c>
      <c r="B47">
        <v>12.81</v>
      </c>
      <c r="C47" s="355" t="s">
        <v>83</v>
      </c>
      <c r="D47" s="209"/>
      <c r="E47" s="209"/>
      <c r="F47" s="209"/>
      <c r="G47" s="209"/>
      <c r="H47" s="209"/>
      <c r="I47" s="209">
        <v>1.65</v>
      </c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348"/>
      <c r="Y47" s="348"/>
      <c r="Z47" s="348"/>
      <c r="AA47" s="348"/>
      <c r="AB47" s="348"/>
      <c r="AC47" s="348"/>
      <c r="AD47" s="348"/>
      <c r="AE47" s="348"/>
      <c r="AF47" s="348"/>
      <c r="AG47" s="348"/>
      <c r="AH47" s="348"/>
      <c r="AI47" s="348"/>
      <c r="AJ47" s="348"/>
      <c r="AK47" s="498">
        <f t="shared" si="21"/>
        <v>1.65</v>
      </c>
      <c r="AL47" s="78"/>
      <c r="AM47" s="27"/>
      <c r="AN47" s="217"/>
      <c r="AO47" s="217"/>
    </row>
    <row r="48" spans="1:41" ht="15.75" x14ac:dyDescent="0.25">
      <c r="B48">
        <v>2.56</v>
      </c>
      <c r="C48" s="356" t="s">
        <v>34</v>
      </c>
      <c r="D48" s="212"/>
      <c r="E48" s="212"/>
      <c r="F48" s="212"/>
      <c r="G48" s="212"/>
      <c r="H48" s="212"/>
      <c r="I48" s="27"/>
      <c r="J48" s="212"/>
      <c r="K48" s="212"/>
      <c r="L48" s="212"/>
      <c r="M48" s="212">
        <v>18.8</v>
      </c>
      <c r="N48" s="212"/>
      <c r="O48" s="212"/>
      <c r="P48" s="212"/>
      <c r="Q48" s="212"/>
      <c r="R48" s="212">
        <v>50.9</v>
      </c>
      <c r="S48" s="212">
        <v>56.1</v>
      </c>
      <c r="T48" s="212">
        <v>70.3</v>
      </c>
      <c r="U48" s="212"/>
      <c r="V48" s="212"/>
      <c r="W48" s="212"/>
      <c r="X48" s="349"/>
      <c r="Y48" s="349"/>
      <c r="Z48" s="349"/>
      <c r="AA48" s="349"/>
      <c r="AB48" s="349"/>
      <c r="AC48" s="349"/>
      <c r="AD48" s="349"/>
      <c r="AE48" s="349"/>
      <c r="AF48" s="349"/>
      <c r="AG48" s="349"/>
      <c r="AH48" s="349"/>
      <c r="AI48" s="349"/>
      <c r="AJ48" s="349"/>
      <c r="AK48" s="498">
        <f t="shared" si="21"/>
        <v>196.10000000000002</v>
      </c>
      <c r="AL48" s="78"/>
      <c r="AM48" s="223"/>
      <c r="AN48" s="217"/>
      <c r="AO48" s="217"/>
    </row>
    <row r="49" spans="1:41" ht="15.75" x14ac:dyDescent="0.25">
      <c r="A49">
        <v>2.35</v>
      </c>
      <c r="B49">
        <v>2.14</v>
      </c>
      <c r="C49" s="356" t="s">
        <v>1</v>
      </c>
      <c r="D49" s="212"/>
      <c r="E49" s="212"/>
      <c r="F49" s="212"/>
      <c r="G49" s="212">
        <v>18.899999999999999</v>
      </c>
      <c r="H49" s="212">
        <v>9.6</v>
      </c>
      <c r="I49" s="212"/>
      <c r="J49" s="212"/>
      <c r="K49" s="212">
        <v>48.09</v>
      </c>
      <c r="L49" s="212"/>
      <c r="M49" s="212"/>
      <c r="N49" s="212">
        <v>43.12</v>
      </c>
      <c r="O49" s="212">
        <v>49.38</v>
      </c>
      <c r="P49" s="212">
        <v>44.64</v>
      </c>
      <c r="Q49" s="212"/>
      <c r="R49" s="212"/>
      <c r="S49" s="212"/>
      <c r="T49" s="212"/>
      <c r="U49" s="212">
        <v>0.18</v>
      </c>
      <c r="V49" s="212">
        <v>49.66</v>
      </c>
      <c r="W49" s="212">
        <v>32.950000000000003</v>
      </c>
      <c r="X49" s="349">
        <v>34.22</v>
      </c>
      <c r="Y49" s="349">
        <v>72.31</v>
      </c>
      <c r="Z49" s="349">
        <v>53.74</v>
      </c>
      <c r="AA49" s="349"/>
      <c r="AB49" s="349">
        <v>1.7</v>
      </c>
      <c r="AC49" s="349">
        <v>37.5</v>
      </c>
      <c r="AD49" s="349">
        <v>17.14</v>
      </c>
      <c r="AE49" s="349">
        <v>10.7</v>
      </c>
      <c r="AF49" s="349"/>
      <c r="AG49" s="349"/>
      <c r="AH49" s="349"/>
      <c r="AI49" s="349"/>
      <c r="AJ49" s="349"/>
      <c r="AK49" s="498">
        <f t="shared" si="21"/>
        <v>523.83000000000004</v>
      </c>
      <c r="AL49" s="78"/>
      <c r="AM49" s="223"/>
      <c r="AN49" s="217"/>
      <c r="AO49" s="217"/>
    </row>
    <row r="50" spans="1:41" ht="16.5" thickBot="1" x14ac:dyDescent="0.3">
      <c r="C50" s="357" t="s">
        <v>75</v>
      </c>
      <c r="D50" s="210"/>
      <c r="E50" s="210"/>
      <c r="F50" s="210"/>
      <c r="G50" s="210">
        <f>G47*12.81+G48*2.56+G49*2.14</f>
        <v>40.445999999999998</v>
      </c>
      <c r="H50" s="210">
        <f t="shared" ref="H50:T50" si="27">H47*12.81+H48*2.56+H49*2.14</f>
        <v>20.544</v>
      </c>
      <c r="I50" s="210">
        <f t="shared" si="27"/>
        <v>21.136499999999998</v>
      </c>
      <c r="J50" s="210"/>
      <c r="K50" s="210">
        <f t="shared" si="27"/>
        <v>102.91260000000001</v>
      </c>
      <c r="L50" s="210"/>
      <c r="M50" s="210">
        <f t="shared" si="27"/>
        <v>48.128</v>
      </c>
      <c r="N50" s="210">
        <f t="shared" si="27"/>
        <v>92.276799999999994</v>
      </c>
      <c r="O50" s="210">
        <f t="shared" si="27"/>
        <v>105.67320000000001</v>
      </c>
      <c r="P50" s="210">
        <f t="shared" si="27"/>
        <v>95.529600000000002</v>
      </c>
      <c r="Q50" s="210"/>
      <c r="R50" s="210">
        <f t="shared" si="27"/>
        <v>130.304</v>
      </c>
      <c r="S50" s="210">
        <f t="shared" si="27"/>
        <v>143.61600000000001</v>
      </c>
      <c r="T50" s="210">
        <f t="shared" si="27"/>
        <v>179.96799999999999</v>
      </c>
      <c r="U50" s="210">
        <f>U49*2.35</f>
        <v>0.42299999999999999</v>
      </c>
      <c r="V50" s="210">
        <f t="shared" ref="V50:AE50" si="28">V49*2.35</f>
        <v>116.70099999999999</v>
      </c>
      <c r="W50" s="210">
        <f t="shared" si="28"/>
        <v>77.432500000000005</v>
      </c>
      <c r="X50" s="210">
        <f t="shared" si="28"/>
        <v>80.417000000000002</v>
      </c>
      <c r="Y50" s="210">
        <f t="shared" si="28"/>
        <v>169.92850000000001</v>
      </c>
      <c r="Z50" s="210">
        <f t="shared" si="28"/>
        <v>126.28900000000002</v>
      </c>
      <c r="AA50" s="210"/>
      <c r="AB50" s="210">
        <f t="shared" si="28"/>
        <v>3.9950000000000001</v>
      </c>
      <c r="AC50" s="210">
        <f t="shared" si="28"/>
        <v>88.125</v>
      </c>
      <c r="AD50" s="210">
        <f t="shared" si="28"/>
        <v>40.279000000000003</v>
      </c>
      <c r="AE50" s="210">
        <f t="shared" si="28"/>
        <v>25.145</v>
      </c>
      <c r="AF50" s="210"/>
      <c r="AG50" s="210"/>
      <c r="AH50" s="210"/>
      <c r="AI50" s="210"/>
      <c r="AJ50" s="210"/>
      <c r="AK50" s="507">
        <f t="shared" si="21"/>
        <v>1709.2696999999996</v>
      </c>
      <c r="AL50" s="224">
        <f>COUNT(D50:AJ50)</f>
        <v>21</v>
      </c>
      <c r="AM50" s="213">
        <f>AK50/AL50</f>
        <v>81.393795238095223</v>
      </c>
      <c r="AN50" s="211"/>
    </row>
    <row r="51" spans="1:41" ht="15.75" x14ac:dyDescent="0.25">
      <c r="A51">
        <v>13.94</v>
      </c>
      <c r="B51">
        <v>12.65</v>
      </c>
      <c r="C51" s="355" t="s">
        <v>84</v>
      </c>
      <c r="D51" s="209"/>
      <c r="E51" s="209">
        <v>0.3</v>
      </c>
      <c r="F51" s="209"/>
      <c r="G51" s="209"/>
      <c r="H51" s="209"/>
      <c r="I51" s="209">
        <v>3.2</v>
      </c>
      <c r="J51" s="209"/>
      <c r="K51" s="209"/>
      <c r="L51" s="209">
        <v>9.3000000000000007</v>
      </c>
      <c r="M51" s="209">
        <v>10</v>
      </c>
      <c r="N51" s="209"/>
      <c r="O51" s="209"/>
      <c r="P51" s="209"/>
      <c r="Q51" s="209"/>
      <c r="R51" s="209"/>
      <c r="S51" s="209">
        <v>3.55</v>
      </c>
      <c r="T51" s="209"/>
      <c r="U51" s="209"/>
      <c r="V51" s="209"/>
      <c r="W51" s="209"/>
      <c r="X51" s="348"/>
      <c r="Y51" s="348"/>
      <c r="Z51" s="348"/>
      <c r="AA51" s="348"/>
      <c r="AB51" s="348"/>
      <c r="AC51" s="348"/>
      <c r="AD51" s="348"/>
      <c r="AE51" s="348"/>
      <c r="AF51" s="348"/>
      <c r="AG51" s="348"/>
      <c r="AH51" s="348"/>
      <c r="AI51" s="348"/>
      <c r="AJ51" s="348"/>
      <c r="AK51" s="498">
        <f t="shared" si="21"/>
        <v>26.35</v>
      </c>
      <c r="AL51" s="78"/>
      <c r="AM51" s="27"/>
      <c r="AN51" s="217">
        <f>COUNT(D51:H51)</f>
        <v>1</v>
      </c>
      <c r="AO51" s="217">
        <f>COUNT(E53:G53,I53:K53)</f>
        <v>5</v>
      </c>
    </row>
    <row r="52" spans="1:41" ht="15.75" x14ac:dyDescent="0.25">
      <c r="B52">
        <v>2.11</v>
      </c>
      <c r="C52" s="356" t="s">
        <v>1</v>
      </c>
      <c r="D52" s="212">
        <v>39.76</v>
      </c>
      <c r="E52" s="212">
        <v>13.2</v>
      </c>
      <c r="F52" s="212">
        <v>29.28</v>
      </c>
      <c r="G52" s="212">
        <v>40.46</v>
      </c>
      <c r="H52" s="212">
        <v>25.8</v>
      </c>
      <c r="I52" s="212"/>
      <c r="J52" s="212"/>
      <c r="K52" s="212">
        <v>53.97</v>
      </c>
      <c r="L52" s="212"/>
      <c r="M52" s="212"/>
      <c r="N52" s="212">
        <v>42.1</v>
      </c>
      <c r="O52" s="212">
        <v>77.8</v>
      </c>
      <c r="P52" s="212">
        <v>86.95</v>
      </c>
      <c r="Q52" s="212"/>
      <c r="R52" s="212">
        <v>68.48</v>
      </c>
      <c r="S52" s="212">
        <v>37.56</v>
      </c>
      <c r="T52" s="212">
        <v>61.76</v>
      </c>
      <c r="U52" s="212">
        <v>22.4</v>
      </c>
      <c r="V52" s="212"/>
      <c r="W52" s="212">
        <v>109.5</v>
      </c>
      <c r="X52" s="349">
        <v>90.82</v>
      </c>
      <c r="Y52" s="349">
        <v>87.93</v>
      </c>
      <c r="Z52" s="349">
        <v>63.88</v>
      </c>
      <c r="AA52" s="349"/>
      <c r="AB52" s="271">
        <v>38.450000000000003</v>
      </c>
      <c r="AC52" s="349">
        <v>40.06</v>
      </c>
      <c r="AD52" s="349">
        <v>11.18</v>
      </c>
      <c r="AE52" s="349">
        <v>25</v>
      </c>
      <c r="AF52" s="349">
        <v>7.5</v>
      </c>
      <c r="AG52" s="349"/>
      <c r="AH52" s="349"/>
      <c r="AI52" s="349"/>
      <c r="AJ52" s="349"/>
      <c r="AK52" s="498">
        <f t="shared" si="21"/>
        <v>1073.8400000000001</v>
      </c>
      <c r="AL52" s="78"/>
      <c r="AM52" s="223"/>
      <c r="AN52" s="218">
        <f>SUM(D53:D53)+H53</f>
        <v>138.33159999999998</v>
      </c>
      <c r="AO52" s="218">
        <f>SUM(E53:G53,I53:K53)</f>
        <v>361.00709999999998</v>
      </c>
    </row>
    <row r="53" spans="1:41" ht="16.5" thickBot="1" x14ac:dyDescent="0.3">
      <c r="A53">
        <v>2.3199999999999998</v>
      </c>
      <c r="C53" s="357" t="s">
        <v>75</v>
      </c>
      <c r="D53" s="210">
        <f>D51*12.65+D52*2.11</f>
        <v>83.893599999999992</v>
      </c>
      <c r="E53" s="210">
        <f>E51*12.65+E52*4.22</f>
        <v>59.498999999999995</v>
      </c>
      <c r="F53" s="210">
        <f>F51*12.65+F52*2.11</f>
        <v>61.780799999999999</v>
      </c>
      <c r="G53" s="210">
        <f t="shared" ref="G53:T53" si="29">G51*12.65+G52*2.11</f>
        <v>85.370599999999996</v>
      </c>
      <c r="H53" s="210">
        <f t="shared" si="29"/>
        <v>54.437999999999995</v>
      </c>
      <c r="I53" s="210">
        <f t="shared" si="29"/>
        <v>40.480000000000004</v>
      </c>
      <c r="J53" s="210"/>
      <c r="K53" s="210">
        <f t="shared" si="29"/>
        <v>113.87669999999999</v>
      </c>
      <c r="L53" s="210">
        <f t="shared" si="29"/>
        <v>117.64500000000001</v>
      </c>
      <c r="M53" s="210">
        <f t="shared" si="29"/>
        <v>126.5</v>
      </c>
      <c r="N53" s="210">
        <f t="shared" si="29"/>
        <v>88.831000000000003</v>
      </c>
      <c r="O53" s="210">
        <f t="shared" si="29"/>
        <v>164.15799999999999</v>
      </c>
      <c r="P53" s="210">
        <f t="shared" si="29"/>
        <v>183.46449999999999</v>
      </c>
      <c r="Q53" s="210"/>
      <c r="R53" s="210">
        <f t="shared" si="29"/>
        <v>144.49279999999999</v>
      </c>
      <c r="S53" s="210">
        <f t="shared" si="29"/>
        <v>124.1591</v>
      </c>
      <c r="T53" s="210">
        <f t="shared" si="29"/>
        <v>130.31359999999998</v>
      </c>
      <c r="U53" s="210">
        <f>U52*2.32</f>
        <v>51.967999999999996</v>
      </c>
      <c r="V53" s="210"/>
      <c r="W53" s="210">
        <f t="shared" ref="W53:AF53" si="30">W52*2.32</f>
        <v>254.04</v>
      </c>
      <c r="X53" s="210">
        <f t="shared" si="30"/>
        <v>210.70239999999998</v>
      </c>
      <c r="Y53" s="210">
        <f t="shared" si="30"/>
        <v>203.99760000000001</v>
      </c>
      <c r="Z53" s="210">
        <f t="shared" si="30"/>
        <v>148.20159999999998</v>
      </c>
      <c r="AA53" s="210"/>
      <c r="AB53" s="210">
        <f t="shared" si="30"/>
        <v>89.203999999999994</v>
      </c>
      <c r="AC53" s="210">
        <f t="shared" si="30"/>
        <v>92.9392</v>
      </c>
      <c r="AD53" s="210">
        <f t="shared" si="30"/>
        <v>25.937599999999996</v>
      </c>
      <c r="AE53" s="210">
        <f t="shared" si="30"/>
        <v>57.999999999999993</v>
      </c>
      <c r="AF53" s="210">
        <f t="shared" si="30"/>
        <v>17.399999999999999</v>
      </c>
      <c r="AG53" s="210"/>
      <c r="AH53" s="210"/>
      <c r="AI53" s="210"/>
      <c r="AJ53" s="210"/>
      <c r="AK53" s="507">
        <f t="shared" si="21"/>
        <v>2731.2931000000003</v>
      </c>
      <c r="AL53" s="224">
        <f>COUNT(D53:AJ53)</f>
        <v>25</v>
      </c>
      <c r="AM53" s="213">
        <f>AK53/AL53</f>
        <v>109.25172400000001</v>
      </c>
      <c r="AN53" s="215">
        <f>AN52/AN51</f>
        <v>138.33159999999998</v>
      </c>
      <c r="AO53" s="215">
        <f>AO52/AO51</f>
        <v>72.201419999999999</v>
      </c>
    </row>
    <row r="54" spans="1:41" ht="15.75" x14ac:dyDescent="0.25">
      <c r="A54">
        <v>13.94</v>
      </c>
      <c r="B54">
        <v>12.65</v>
      </c>
      <c r="C54" s="355" t="s">
        <v>85</v>
      </c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348"/>
      <c r="Y54" s="348"/>
      <c r="Z54" s="348"/>
      <c r="AA54" s="348"/>
      <c r="AB54" s="348"/>
      <c r="AC54" s="348"/>
      <c r="AD54" s="348"/>
      <c r="AE54" s="348"/>
      <c r="AF54" s="348"/>
      <c r="AG54" s="348"/>
      <c r="AH54" s="348"/>
      <c r="AI54" s="348"/>
      <c r="AJ54" s="348"/>
      <c r="AK54" s="498">
        <f t="shared" si="21"/>
        <v>0</v>
      </c>
      <c r="AL54" s="78"/>
      <c r="AM54" s="27"/>
      <c r="AN54" s="217">
        <f>COUNT(D54:D54)</f>
        <v>0</v>
      </c>
      <c r="AO54" s="217">
        <f>COUNT(E55:K55)</f>
        <v>6</v>
      </c>
    </row>
    <row r="55" spans="1:41" ht="15.75" x14ac:dyDescent="0.25">
      <c r="A55">
        <v>2.3199999999999998</v>
      </c>
      <c r="B55">
        <v>2.11</v>
      </c>
      <c r="C55" s="356" t="s">
        <v>1</v>
      </c>
      <c r="D55" s="212">
        <v>43.28</v>
      </c>
      <c r="E55" s="212"/>
      <c r="F55" s="212">
        <v>24</v>
      </c>
      <c r="G55" s="212">
        <v>34.92</v>
      </c>
      <c r="H55" s="212">
        <v>12.64</v>
      </c>
      <c r="I55" s="212">
        <v>35.35</v>
      </c>
      <c r="J55" s="212">
        <v>3.5</v>
      </c>
      <c r="K55" s="212">
        <v>21.59</v>
      </c>
      <c r="L55" s="212">
        <v>29.06</v>
      </c>
      <c r="M55" s="212">
        <v>45.56</v>
      </c>
      <c r="N55" s="212">
        <v>61.84</v>
      </c>
      <c r="O55" s="212">
        <v>68.84</v>
      </c>
      <c r="P55" s="212">
        <v>55.35</v>
      </c>
      <c r="Q55" s="212"/>
      <c r="R55" s="212">
        <v>59.14</v>
      </c>
      <c r="S55" s="212">
        <v>46.4</v>
      </c>
      <c r="T55" s="212">
        <v>71.75</v>
      </c>
      <c r="U55" s="212">
        <v>24.7</v>
      </c>
      <c r="V55" s="212">
        <v>50.6</v>
      </c>
      <c r="W55" s="212">
        <v>45.07</v>
      </c>
      <c r="X55" s="349">
        <v>48.38</v>
      </c>
      <c r="Y55" s="349">
        <v>93.32</v>
      </c>
      <c r="Z55" s="349">
        <v>39.619999999999997</v>
      </c>
      <c r="AA55" s="349">
        <v>19.82</v>
      </c>
      <c r="AB55" s="349">
        <v>46.08</v>
      </c>
      <c r="AC55" s="349">
        <v>37.46</v>
      </c>
      <c r="AD55" s="349">
        <v>26.08</v>
      </c>
      <c r="AE55" s="349">
        <v>20.05</v>
      </c>
      <c r="AF55" s="349">
        <v>52.54</v>
      </c>
      <c r="AG55" s="349"/>
      <c r="AH55" s="349"/>
      <c r="AI55" s="349"/>
      <c r="AJ55" s="349"/>
      <c r="AK55" s="498">
        <f t="shared" si="21"/>
        <v>1116.9400000000003</v>
      </c>
      <c r="AL55" s="78"/>
      <c r="AM55" s="27"/>
      <c r="AN55" s="218">
        <f>SUM(D56:D56)</f>
        <v>91.320799999999991</v>
      </c>
      <c r="AO55" s="218">
        <f>SUM(E56:K56)</f>
        <v>278.52</v>
      </c>
    </row>
    <row r="56" spans="1:41" ht="16.5" thickBot="1" x14ac:dyDescent="0.3">
      <c r="C56" s="357" t="s">
        <v>75</v>
      </c>
      <c r="D56" s="210">
        <f>D54*12.65+D55*2.11</f>
        <v>91.320799999999991</v>
      </c>
      <c r="E56" s="210"/>
      <c r="F56" s="210">
        <f t="shared" ref="F56:T56" si="31">F54*12.65+F55*2.11</f>
        <v>50.64</v>
      </c>
      <c r="G56" s="210">
        <f t="shared" si="31"/>
        <v>73.681200000000004</v>
      </c>
      <c r="H56" s="210">
        <f t="shared" si="31"/>
        <v>26.670400000000001</v>
      </c>
      <c r="I56" s="210">
        <f t="shared" si="31"/>
        <v>74.588499999999996</v>
      </c>
      <c r="J56" s="210">
        <f t="shared" si="31"/>
        <v>7.3849999999999998</v>
      </c>
      <c r="K56" s="210">
        <f t="shared" si="31"/>
        <v>45.554899999999996</v>
      </c>
      <c r="L56" s="210">
        <f t="shared" si="31"/>
        <v>61.316599999999994</v>
      </c>
      <c r="M56" s="210">
        <f t="shared" si="31"/>
        <v>96.131600000000006</v>
      </c>
      <c r="N56" s="210">
        <f t="shared" si="31"/>
        <v>130.48240000000001</v>
      </c>
      <c r="O56" s="210">
        <f t="shared" si="31"/>
        <v>145.25239999999999</v>
      </c>
      <c r="P56" s="210">
        <f t="shared" si="31"/>
        <v>116.7885</v>
      </c>
      <c r="Q56" s="210"/>
      <c r="R56" s="210">
        <f t="shared" si="31"/>
        <v>124.7854</v>
      </c>
      <c r="S56" s="210">
        <f t="shared" si="31"/>
        <v>97.903999999999996</v>
      </c>
      <c r="T56" s="210">
        <f t="shared" si="31"/>
        <v>151.39249999999998</v>
      </c>
      <c r="U56" s="210">
        <f>U55*2.32</f>
        <v>57.303999999999995</v>
      </c>
      <c r="V56" s="210">
        <f t="shared" ref="V56:AF56" si="32">V55*2.32</f>
        <v>117.392</v>
      </c>
      <c r="W56" s="210">
        <f t="shared" si="32"/>
        <v>104.5624</v>
      </c>
      <c r="X56" s="210">
        <f t="shared" si="32"/>
        <v>112.24159999999999</v>
      </c>
      <c r="Y56" s="210">
        <f t="shared" si="32"/>
        <v>216.50239999999997</v>
      </c>
      <c r="Z56" s="210">
        <f t="shared" si="32"/>
        <v>91.918399999999991</v>
      </c>
      <c r="AA56" s="210">
        <f t="shared" si="32"/>
        <v>45.982399999999998</v>
      </c>
      <c r="AB56" s="210">
        <f t="shared" si="32"/>
        <v>106.90559999999999</v>
      </c>
      <c r="AC56" s="210">
        <f t="shared" si="32"/>
        <v>86.907199999999989</v>
      </c>
      <c r="AD56" s="210">
        <f t="shared" si="32"/>
        <v>60.505599999999994</v>
      </c>
      <c r="AE56" s="210">
        <f t="shared" si="32"/>
        <v>46.515999999999998</v>
      </c>
      <c r="AF56" s="210">
        <f t="shared" si="32"/>
        <v>121.89279999999999</v>
      </c>
      <c r="AG56" s="210"/>
      <c r="AH56" s="210"/>
      <c r="AI56" s="210"/>
      <c r="AJ56" s="210"/>
      <c r="AK56" s="507">
        <f t="shared" si="21"/>
        <v>2462.5246000000002</v>
      </c>
      <c r="AL56" s="224">
        <f>COUNT(D56:AJ56)</f>
        <v>27</v>
      </c>
      <c r="AM56" s="213">
        <f>AK56/AL56</f>
        <v>91.204614814814818</v>
      </c>
      <c r="AN56" s="215" t="e">
        <f>AN55/AN54</f>
        <v>#DIV/0!</v>
      </c>
      <c r="AO56" s="215">
        <f>AO55/AO54</f>
        <v>46.419999999999995</v>
      </c>
    </row>
    <row r="57" spans="1:41" ht="15.75" x14ac:dyDescent="0.25">
      <c r="A57">
        <v>14.1</v>
      </c>
      <c r="B57">
        <v>12.81</v>
      </c>
      <c r="C57" s="355" t="s">
        <v>86</v>
      </c>
      <c r="D57" s="209"/>
      <c r="E57" s="209">
        <v>0.2</v>
      </c>
      <c r="F57" s="209"/>
      <c r="G57" s="209"/>
      <c r="H57" s="209"/>
      <c r="I57" s="209">
        <v>2.85</v>
      </c>
      <c r="J57" s="209"/>
      <c r="K57" s="209"/>
      <c r="L57" s="209">
        <v>6.4</v>
      </c>
      <c r="M57" s="209">
        <v>9.4</v>
      </c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348"/>
      <c r="Y57" s="348"/>
      <c r="Z57" s="348"/>
      <c r="AA57" s="348"/>
      <c r="AB57" s="348"/>
      <c r="AC57" s="348"/>
      <c r="AD57" s="348"/>
      <c r="AE57" s="348"/>
      <c r="AF57" s="348"/>
      <c r="AG57" s="348"/>
      <c r="AH57" s="348"/>
      <c r="AI57" s="348"/>
      <c r="AJ57" s="348"/>
      <c r="AK57" s="498">
        <f t="shared" si="21"/>
        <v>18.850000000000001</v>
      </c>
      <c r="AL57" s="78"/>
      <c r="AM57" s="27"/>
    </row>
    <row r="58" spans="1:41" ht="15.75" x14ac:dyDescent="0.25">
      <c r="B58">
        <v>2.56</v>
      </c>
      <c r="C58" s="356" t="s">
        <v>34</v>
      </c>
      <c r="D58" s="212"/>
      <c r="E58" s="212"/>
      <c r="F58" s="212"/>
      <c r="G58" s="212"/>
      <c r="H58" s="212"/>
      <c r="I58" s="27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349"/>
      <c r="Y58" s="349"/>
      <c r="Z58" s="349"/>
      <c r="AA58" s="349"/>
      <c r="AB58" s="349"/>
      <c r="AC58" s="349"/>
      <c r="AD58" s="349"/>
      <c r="AE58" s="349"/>
      <c r="AF58" s="349"/>
      <c r="AG58" s="349"/>
      <c r="AH58" s="349"/>
      <c r="AI58" s="349"/>
      <c r="AJ58" s="349"/>
      <c r="AK58" s="498">
        <f t="shared" si="21"/>
        <v>0</v>
      </c>
      <c r="AL58" s="78"/>
      <c r="AM58" s="27"/>
    </row>
    <row r="59" spans="1:41" ht="15.75" x14ac:dyDescent="0.25">
      <c r="A59">
        <v>2.35</v>
      </c>
      <c r="B59">
        <v>2.14</v>
      </c>
      <c r="C59" s="356" t="s">
        <v>1</v>
      </c>
      <c r="D59" s="212">
        <v>32.159999999999997</v>
      </c>
      <c r="E59" s="212">
        <v>18.3</v>
      </c>
      <c r="F59" s="212"/>
      <c r="G59" s="212"/>
      <c r="H59" s="212"/>
      <c r="I59" s="212"/>
      <c r="J59" s="212"/>
      <c r="K59" s="212">
        <v>50.77</v>
      </c>
      <c r="L59" s="212"/>
      <c r="M59" s="212"/>
      <c r="N59" s="212">
        <v>47.27</v>
      </c>
      <c r="O59" s="212">
        <v>70.86</v>
      </c>
      <c r="P59" s="212">
        <v>56.88</v>
      </c>
      <c r="Q59" s="212"/>
      <c r="R59" s="212">
        <v>51.71</v>
      </c>
      <c r="S59" s="212">
        <v>63.32</v>
      </c>
      <c r="T59" s="212">
        <v>57.24</v>
      </c>
      <c r="U59" s="212">
        <v>6.4</v>
      </c>
      <c r="V59" s="212">
        <v>45.36</v>
      </c>
      <c r="W59" s="212">
        <v>37.42</v>
      </c>
      <c r="X59" s="349">
        <v>62.68</v>
      </c>
      <c r="Y59" s="349">
        <v>78.77</v>
      </c>
      <c r="Z59" s="349">
        <v>56.15</v>
      </c>
      <c r="AA59" s="349">
        <v>25.68</v>
      </c>
      <c r="AB59" s="349">
        <v>34.86</v>
      </c>
      <c r="AC59" s="349">
        <v>39.020000000000003</v>
      </c>
      <c r="AD59" s="349">
        <v>28.2</v>
      </c>
      <c r="AE59" s="349">
        <v>31.31</v>
      </c>
      <c r="AF59" s="349">
        <v>53.86</v>
      </c>
      <c r="AG59" s="349"/>
      <c r="AH59" s="349"/>
      <c r="AI59" s="349"/>
      <c r="AJ59" s="349"/>
      <c r="AK59" s="498">
        <f t="shared" si="21"/>
        <v>948.2199999999998</v>
      </c>
      <c r="AL59" s="78"/>
      <c r="AM59" s="27"/>
    </row>
    <row r="60" spans="1:41" ht="16.5" thickBot="1" x14ac:dyDescent="0.3">
      <c r="C60" s="357" t="s">
        <v>75</v>
      </c>
      <c r="D60" s="210">
        <f>D59*2.14</f>
        <v>68.822400000000002</v>
      </c>
      <c r="E60" s="210">
        <f>E57*12.81+E58*2.56+E59*4.27</f>
        <v>80.702999999999989</v>
      </c>
      <c r="F60" s="210"/>
      <c r="G60" s="210"/>
      <c r="H60" s="210"/>
      <c r="I60" s="210">
        <f t="shared" ref="I60:T60" si="33">I57*12.81+I58*2.56+I59*2.14</f>
        <v>36.508500000000005</v>
      </c>
      <c r="J60" s="210"/>
      <c r="K60" s="210">
        <f t="shared" si="33"/>
        <v>108.64780000000002</v>
      </c>
      <c r="L60" s="210">
        <f t="shared" si="33"/>
        <v>81.984000000000009</v>
      </c>
      <c r="M60" s="210">
        <f t="shared" si="33"/>
        <v>120.41400000000002</v>
      </c>
      <c r="N60" s="210">
        <f t="shared" si="33"/>
        <v>101.15780000000001</v>
      </c>
      <c r="O60" s="210">
        <f t="shared" si="33"/>
        <v>151.6404</v>
      </c>
      <c r="P60" s="210">
        <f t="shared" si="33"/>
        <v>121.72320000000001</v>
      </c>
      <c r="Q60" s="210"/>
      <c r="R60" s="210">
        <f t="shared" si="33"/>
        <v>110.65940000000001</v>
      </c>
      <c r="S60" s="210">
        <f t="shared" si="33"/>
        <v>135.50480000000002</v>
      </c>
      <c r="T60" s="210">
        <f t="shared" si="33"/>
        <v>122.49360000000001</v>
      </c>
      <c r="U60" s="210">
        <f>U59*2.35+U57*14.1</f>
        <v>15.040000000000001</v>
      </c>
      <c r="V60" s="210">
        <f t="shared" ref="V60:AF60" si="34">V59*2.35+V57*14.1</f>
        <v>106.596</v>
      </c>
      <c r="W60" s="210">
        <f t="shared" si="34"/>
        <v>87.937000000000012</v>
      </c>
      <c r="X60" s="210">
        <f t="shared" si="34"/>
        <v>147.298</v>
      </c>
      <c r="Y60" s="210">
        <f t="shared" si="34"/>
        <v>185.1095</v>
      </c>
      <c r="Z60" s="210">
        <f t="shared" si="34"/>
        <v>131.95250000000001</v>
      </c>
      <c r="AA60" s="210">
        <f t="shared" si="34"/>
        <v>60.347999999999999</v>
      </c>
      <c r="AB60" s="210">
        <f t="shared" si="34"/>
        <v>81.921000000000006</v>
      </c>
      <c r="AC60" s="210">
        <f t="shared" si="34"/>
        <v>91.697000000000017</v>
      </c>
      <c r="AD60" s="210">
        <f t="shared" si="34"/>
        <v>66.27</v>
      </c>
      <c r="AE60" s="210">
        <f t="shared" si="34"/>
        <v>73.578500000000005</v>
      </c>
      <c r="AF60" s="210">
        <f t="shared" si="34"/>
        <v>126.571</v>
      </c>
      <c r="AG60" s="210"/>
      <c r="AH60" s="210"/>
      <c r="AI60" s="210"/>
      <c r="AJ60" s="210"/>
      <c r="AK60" s="507">
        <f t="shared" si="21"/>
        <v>2414.5774000000001</v>
      </c>
      <c r="AL60" s="224">
        <f>COUNT(D60:AJ60)</f>
        <v>24</v>
      </c>
      <c r="AM60" s="213">
        <f>AK60/AL60</f>
        <v>100.60739166666667</v>
      </c>
      <c r="AN60" s="211"/>
    </row>
    <row r="61" spans="1:41" ht="15.75" x14ac:dyDescent="0.25">
      <c r="A61">
        <v>14.1</v>
      </c>
      <c r="B61">
        <v>12.81</v>
      </c>
      <c r="C61" s="355" t="s">
        <v>170</v>
      </c>
      <c r="D61" s="209">
        <v>2.4</v>
      </c>
      <c r="E61" s="209">
        <v>8.1</v>
      </c>
      <c r="F61" s="209">
        <v>5.6</v>
      </c>
      <c r="G61" s="209"/>
      <c r="H61" s="209"/>
      <c r="I61" s="209">
        <v>1.85</v>
      </c>
      <c r="J61" s="209"/>
      <c r="K61" s="209">
        <v>2.8</v>
      </c>
      <c r="L61" s="209">
        <v>3.1</v>
      </c>
      <c r="M61" s="209">
        <v>2.2999999999999998</v>
      </c>
      <c r="N61" s="209"/>
      <c r="O61" s="209"/>
      <c r="P61" s="209"/>
      <c r="Q61" s="209"/>
      <c r="R61" s="209"/>
      <c r="S61" s="209">
        <v>4.5999999999999996</v>
      </c>
      <c r="T61" s="209"/>
      <c r="U61" s="209"/>
      <c r="V61" s="209"/>
      <c r="W61" s="209"/>
      <c r="X61" s="348"/>
      <c r="Y61" s="348"/>
      <c r="Z61" s="348"/>
      <c r="AA61" s="348"/>
      <c r="AB61" s="348"/>
      <c r="AC61" s="348"/>
      <c r="AD61" s="348"/>
      <c r="AE61" s="348"/>
      <c r="AF61" s="348"/>
      <c r="AG61" s="348"/>
      <c r="AH61" s="348"/>
      <c r="AI61" s="348"/>
      <c r="AJ61" s="348"/>
      <c r="AK61" s="498">
        <f t="shared" si="21"/>
        <v>30.750000000000007</v>
      </c>
      <c r="AL61" s="78"/>
      <c r="AM61" s="27"/>
      <c r="AN61" s="217">
        <f>COUNT(D61:D61)</f>
        <v>1</v>
      </c>
      <c r="AO61" s="217">
        <f>COUNT(E63:K63)</f>
        <v>2</v>
      </c>
    </row>
    <row r="62" spans="1:41" ht="15.75" hidden="1" customHeight="1" x14ac:dyDescent="0.25">
      <c r="B62">
        <v>2.56</v>
      </c>
      <c r="C62" s="356" t="s">
        <v>34</v>
      </c>
      <c r="D62" s="212"/>
      <c r="E62" s="212"/>
      <c r="F62" s="212"/>
      <c r="G62" s="212"/>
      <c r="H62" s="212"/>
      <c r="I62" s="27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349"/>
      <c r="Y62" s="349"/>
      <c r="Z62" s="349"/>
      <c r="AA62" s="349"/>
      <c r="AB62" s="349"/>
      <c r="AC62" s="349"/>
      <c r="AD62" s="349"/>
      <c r="AE62" s="349"/>
      <c r="AF62" s="349"/>
      <c r="AG62" s="349"/>
      <c r="AH62" s="349"/>
      <c r="AI62" s="349"/>
      <c r="AJ62" s="349"/>
      <c r="AK62" s="498">
        <f t="shared" si="21"/>
        <v>0</v>
      </c>
      <c r="AL62" s="78"/>
      <c r="AM62" s="27"/>
      <c r="AN62" s="218">
        <f>SUM(D64:D64)</f>
        <v>30.744</v>
      </c>
      <c r="AO62" s="218">
        <f>SUM(E64:K64)</f>
        <v>388.50150000000002</v>
      </c>
    </row>
    <row r="63" spans="1:41" ht="15.75" x14ac:dyDescent="0.25">
      <c r="A63">
        <v>2.35</v>
      </c>
      <c r="B63">
        <v>2.14</v>
      </c>
      <c r="C63" s="356" t="s">
        <v>1</v>
      </c>
      <c r="D63" s="212"/>
      <c r="E63" s="212"/>
      <c r="F63" s="212"/>
      <c r="G63" s="212"/>
      <c r="H63" s="212">
        <v>24.7</v>
      </c>
      <c r="I63" s="212"/>
      <c r="J63" s="212"/>
      <c r="K63" s="212">
        <v>47</v>
      </c>
      <c r="L63" s="212"/>
      <c r="M63" s="212">
        <v>13.3</v>
      </c>
      <c r="N63" s="212">
        <v>57.08</v>
      </c>
      <c r="O63" s="212">
        <v>53.12</v>
      </c>
      <c r="P63" s="212">
        <v>85.34</v>
      </c>
      <c r="Q63" s="212"/>
      <c r="R63" s="212">
        <v>84.28</v>
      </c>
      <c r="S63" s="212">
        <v>46.06</v>
      </c>
      <c r="T63" s="212">
        <v>83.01</v>
      </c>
      <c r="U63" s="212">
        <v>12.82</v>
      </c>
      <c r="V63" s="212">
        <v>60.64</v>
      </c>
      <c r="W63" s="212">
        <v>48.8</v>
      </c>
      <c r="X63" s="349">
        <v>56.98</v>
      </c>
      <c r="Y63" s="349">
        <v>88.66</v>
      </c>
      <c r="Z63" s="349">
        <v>65.099999999999994</v>
      </c>
      <c r="AA63" s="349">
        <v>23.07</v>
      </c>
      <c r="AB63" s="349">
        <v>18</v>
      </c>
      <c r="AC63" s="349">
        <v>50.65</v>
      </c>
      <c r="AD63" s="349">
        <v>17.88</v>
      </c>
      <c r="AE63" s="349">
        <v>27.05</v>
      </c>
      <c r="AF63" s="349">
        <v>66.63</v>
      </c>
      <c r="AG63" s="349"/>
      <c r="AH63" s="349"/>
      <c r="AI63" s="349"/>
      <c r="AJ63" s="349"/>
      <c r="AK63" s="498">
        <f t="shared" si="21"/>
        <v>1030.1699999999998</v>
      </c>
      <c r="AL63" s="78"/>
      <c r="AM63" s="27"/>
    </row>
    <row r="64" spans="1:41" ht="16.5" thickBot="1" x14ac:dyDescent="0.3">
      <c r="C64" s="357" t="s">
        <v>75</v>
      </c>
      <c r="D64" s="210">
        <f t="shared" ref="D64:T64" si="35">D61*12.81+D62*2.56+D63*2.14</f>
        <v>30.744</v>
      </c>
      <c r="E64" s="210">
        <f t="shared" si="35"/>
        <v>103.761</v>
      </c>
      <c r="F64" s="210">
        <f t="shared" si="35"/>
        <v>71.736000000000004</v>
      </c>
      <c r="G64" s="210"/>
      <c r="H64" s="210">
        <f t="shared" si="35"/>
        <v>52.858000000000004</v>
      </c>
      <c r="I64" s="210">
        <f t="shared" si="35"/>
        <v>23.698500000000003</v>
      </c>
      <c r="J64" s="210"/>
      <c r="K64" s="210">
        <f t="shared" si="35"/>
        <v>136.44800000000001</v>
      </c>
      <c r="L64" s="210">
        <f t="shared" si="35"/>
        <v>39.711000000000006</v>
      </c>
      <c r="M64" s="210">
        <f t="shared" si="35"/>
        <v>57.924999999999997</v>
      </c>
      <c r="N64" s="210">
        <f t="shared" si="35"/>
        <v>122.1512</v>
      </c>
      <c r="O64" s="210">
        <f t="shared" si="35"/>
        <v>113.6768</v>
      </c>
      <c r="P64" s="210">
        <f t="shared" si="35"/>
        <v>182.62760000000003</v>
      </c>
      <c r="Q64" s="210"/>
      <c r="R64" s="210">
        <f t="shared" si="35"/>
        <v>180.35920000000002</v>
      </c>
      <c r="S64" s="210">
        <f t="shared" si="35"/>
        <v>157.49440000000001</v>
      </c>
      <c r="T64" s="210">
        <f t="shared" si="35"/>
        <v>177.64140000000003</v>
      </c>
      <c r="U64" s="210">
        <f>U63*2.35+U61*14.1</f>
        <v>30.127000000000002</v>
      </c>
      <c r="V64" s="210">
        <f t="shared" ref="V64:AF64" si="36">V63*2.35+V61*14.1</f>
        <v>142.50400000000002</v>
      </c>
      <c r="W64" s="210">
        <f t="shared" si="36"/>
        <v>114.67999999999999</v>
      </c>
      <c r="X64" s="210">
        <f t="shared" si="36"/>
        <v>133.90299999999999</v>
      </c>
      <c r="Y64" s="210">
        <f t="shared" si="36"/>
        <v>208.351</v>
      </c>
      <c r="Z64" s="210">
        <f t="shared" si="36"/>
        <v>152.98499999999999</v>
      </c>
      <c r="AA64" s="210">
        <f t="shared" si="36"/>
        <v>54.214500000000001</v>
      </c>
      <c r="AB64" s="210">
        <f t="shared" si="36"/>
        <v>42.300000000000004</v>
      </c>
      <c r="AC64" s="210">
        <f t="shared" si="36"/>
        <v>119.0275</v>
      </c>
      <c r="AD64" s="210">
        <f t="shared" si="36"/>
        <v>42.018000000000001</v>
      </c>
      <c r="AE64" s="210">
        <f t="shared" si="36"/>
        <v>63.567500000000003</v>
      </c>
      <c r="AF64" s="210">
        <f t="shared" si="36"/>
        <v>156.5805</v>
      </c>
      <c r="AG64" s="210"/>
      <c r="AH64" s="210"/>
      <c r="AI64" s="210"/>
      <c r="AJ64" s="210"/>
      <c r="AK64" s="507">
        <f t="shared" si="21"/>
        <v>2711.0901000000008</v>
      </c>
      <c r="AL64" s="224">
        <f>COUNT(D64:AJ64)</f>
        <v>26</v>
      </c>
      <c r="AM64" s="213">
        <f>AK64/AL64</f>
        <v>104.27269615384618</v>
      </c>
      <c r="AN64" s="215">
        <f>AN62/AN61</f>
        <v>30.744</v>
      </c>
      <c r="AO64" s="215">
        <f>AO62/AO61</f>
        <v>194.25075000000001</v>
      </c>
    </row>
    <row r="65" spans="1:41" ht="15.75" x14ac:dyDescent="0.25">
      <c r="A65">
        <v>14.1</v>
      </c>
      <c r="B65">
        <v>12.81</v>
      </c>
      <c r="C65" s="358" t="s">
        <v>172</v>
      </c>
      <c r="D65" s="226"/>
      <c r="E65" s="226"/>
      <c r="F65" s="226"/>
      <c r="G65" s="226"/>
      <c r="H65" s="226"/>
      <c r="I65" s="226">
        <v>2.95</v>
      </c>
      <c r="J65" s="226"/>
      <c r="K65" s="226"/>
      <c r="L65" s="226">
        <v>2</v>
      </c>
      <c r="M65" s="230">
        <v>1.2</v>
      </c>
      <c r="N65" s="230"/>
      <c r="O65" s="226"/>
      <c r="P65" s="226"/>
      <c r="Q65" s="226"/>
      <c r="R65" s="226"/>
      <c r="S65" s="226"/>
      <c r="T65" s="226"/>
      <c r="U65" s="226"/>
      <c r="V65" s="226"/>
      <c r="W65" s="226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498">
        <f t="shared" si="21"/>
        <v>6.15</v>
      </c>
      <c r="AL65" s="6"/>
      <c r="AM65" s="213"/>
      <c r="AN65" s="215"/>
      <c r="AO65" s="215"/>
    </row>
    <row r="66" spans="1:41" ht="15.75" x14ac:dyDescent="0.25">
      <c r="A66">
        <v>2.35</v>
      </c>
      <c r="B66">
        <v>2.14</v>
      </c>
      <c r="C66" s="356" t="s">
        <v>171</v>
      </c>
      <c r="D66" s="212"/>
      <c r="E66" s="212"/>
      <c r="F66" s="212"/>
      <c r="G66" s="212">
        <v>23.82</v>
      </c>
      <c r="H66" s="212">
        <v>24.26</v>
      </c>
      <c r="I66" s="212"/>
      <c r="J66" s="212"/>
      <c r="K66" s="212">
        <v>42.74</v>
      </c>
      <c r="L66" s="212"/>
      <c r="M66" s="212">
        <v>4.2</v>
      </c>
      <c r="N66" s="212">
        <v>49.21</v>
      </c>
      <c r="O66" s="212">
        <v>60.38</v>
      </c>
      <c r="P66" s="212">
        <v>53.79</v>
      </c>
      <c r="Q66" s="212"/>
      <c r="R66" s="212">
        <v>51.86</v>
      </c>
      <c r="S66" s="212">
        <v>64.33</v>
      </c>
      <c r="T66" s="212">
        <v>38.64</v>
      </c>
      <c r="U66" s="212">
        <v>8.1199999999999992</v>
      </c>
      <c r="V66" s="212">
        <v>53.5</v>
      </c>
      <c r="W66" s="212">
        <v>37.799999999999997</v>
      </c>
      <c r="X66" s="349">
        <v>69.02</v>
      </c>
      <c r="Y66" s="349">
        <v>57.88</v>
      </c>
      <c r="Z66" s="349">
        <v>56.45</v>
      </c>
      <c r="AA66" s="349">
        <v>26.76</v>
      </c>
      <c r="AB66" s="349">
        <v>35.36</v>
      </c>
      <c r="AC66" s="349">
        <v>34.08</v>
      </c>
      <c r="AD66" s="349">
        <v>28.86</v>
      </c>
      <c r="AE66" s="349">
        <v>17.03</v>
      </c>
      <c r="AF66" s="349">
        <v>61.92</v>
      </c>
      <c r="AG66" s="349"/>
      <c r="AH66" s="349"/>
      <c r="AI66" s="349"/>
      <c r="AJ66" s="349"/>
      <c r="AK66" s="498">
        <f t="shared" si="21"/>
        <v>900.01</v>
      </c>
      <c r="AL66" s="78"/>
      <c r="AM66" s="27"/>
    </row>
    <row r="67" spans="1:41" ht="16.5" thickBot="1" x14ac:dyDescent="0.3">
      <c r="C67" s="357" t="s">
        <v>75</v>
      </c>
      <c r="D67" s="210"/>
      <c r="E67" s="210"/>
      <c r="F67" s="210"/>
      <c r="G67" s="210">
        <f>G66*2.14+G65*12.81</f>
        <v>50.974800000000002</v>
      </c>
      <c r="H67" s="210">
        <f t="shared" ref="H67:T67" si="37">H66*2.14+H65*12.81</f>
        <v>51.916400000000003</v>
      </c>
      <c r="I67" s="210">
        <f t="shared" si="37"/>
        <v>37.789500000000004</v>
      </c>
      <c r="J67" s="210"/>
      <c r="K67" s="210">
        <f t="shared" si="37"/>
        <v>91.463600000000014</v>
      </c>
      <c r="L67" s="210">
        <f t="shared" si="37"/>
        <v>25.62</v>
      </c>
      <c r="M67" s="210">
        <v>44.06</v>
      </c>
      <c r="N67" s="210">
        <v>24.16</v>
      </c>
      <c r="O67" s="210">
        <f t="shared" si="37"/>
        <v>129.2132</v>
      </c>
      <c r="P67" s="210">
        <f t="shared" si="37"/>
        <v>115.11060000000001</v>
      </c>
      <c r="Q67" s="210"/>
      <c r="R67" s="210">
        <f t="shared" si="37"/>
        <v>110.9804</v>
      </c>
      <c r="S67" s="210">
        <f t="shared" si="37"/>
        <v>137.6662</v>
      </c>
      <c r="T67" s="210">
        <f t="shared" si="37"/>
        <v>82.689600000000013</v>
      </c>
      <c r="U67" s="210">
        <f>U66*2.35</f>
        <v>19.081999999999997</v>
      </c>
      <c r="V67" s="210">
        <f t="shared" ref="V67:AF67" si="38">V66*2.35</f>
        <v>125.72500000000001</v>
      </c>
      <c r="W67" s="210">
        <f t="shared" si="38"/>
        <v>88.83</v>
      </c>
      <c r="X67" s="210">
        <f t="shared" si="38"/>
        <v>162.197</v>
      </c>
      <c r="Y67" s="210">
        <f t="shared" si="38"/>
        <v>136.018</v>
      </c>
      <c r="Z67" s="210">
        <f t="shared" si="38"/>
        <v>132.6575</v>
      </c>
      <c r="AA67" s="210">
        <f t="shared" si="38"/>
        <v>62.886000000000003</v>
      </c>
      <c r="AB67" s="210">
        <f t="shared" si="38"/>
        <v>83.096000000000004</v>
      </c>
      <c r="AC67" s="210">
        <f t="shared" si="38"/>
        <v>80.087999999999994</v>
      </c>
      <c r="AD67" s="210">
        <f t="shared" si="38"/>
        <v>67.820999999999998</v>
      </c>
      <c r="AE67" s="210">
        <f t="shared" si="38"/>
        <v>40.020500000000006</v>
      </c>
      <c r="AF67" s="210">
        <f t="shared" si="38"/>
        <v>145.512</v>
      </c>
      <c r="AG67" s="210"/>
      <c r="AH67" s="210"/>
      <c r="AI67" s="210"/>
      <c r="AJ67" s="210"/>
      <c r="AK67" s="507">
        <f t="shared" ref="AK67:AK89" si="39">SUM(D67:AJ67)</f>
        <v>2045.5772999999997</v>
      </c>
      <c r="AL67" s="224">
        <f>COUNT(D67:AJ67)</f>
        <v>24</v>
      </c>
      <c r="AM67" s="213">
        <f>AK67/AL67</f>
        <v>85.232387499999987</v>
      </c>
      <c r="AN67" s="211"/>
    </row>
    <row r="68" spans="1:41" ht="15.75" x14ac:dyDescent="0.25">
      <c r="A68">
        <v>2.35</v>
      </c>
      <c r="B68">
        <v>12.81</v>
      </c>
      <c r="C68" s="497" t="s">
        <v>173</v>
      </c>
      <c r="D68" s="212"/>
      <c r="E68" s="212"/>
      <c r="F68" s="212"/>
      <c r="G68" s="212">
        <v>18.920000000000002</v>
      </c>
      <c r="H68" s="212">
        <v>21.96</v>
      </c>
      <c r="I68" s="212">
        <v>22.45</v>
      </c>
      <c r="J68" s="212"/>
      <c r="K68" s="212">
        <v>34.79</v>
      </c>
      <c r="L68" s="212"/>
      <c r="M68" s="212">
        <v>44.06</v>
      </c>
      <c r="N68" s="212">
        <v>24.16</v>
      </c>
      <c r="O68" s="212"/>
      <c r="P68" s="212">
        <v>59.62</v>
      </c>
      <c r="Q68" s="212"/>
      <c r="R68" s="212">
        <v>5.8</v>
      </c>
      <c r="S68" s="212">
        <v>29.6</v>
      </c>
      <c r="T68" s="212"/>
      <c r="U68" s="212">
        <v>8.7799999999999994</v>
      </c>
      <c r="V68" s="212"/>
      <c r="W68" s="212">
        <v>10.119999999999999</v>
      </c>
      <c r="X68" s="349">
        <v>33.18</v>
      </c>
      <c r="Y68" s="349">
        <v>48.93</v>
      </c>
      <c r="Z68" s="349">
        <v>46.44</v>
      </c>
      <c r="AA68" s="349">
        <v>17.89</v>
      </c>
      <c r="AB68" s="349">
        <v>29.9</v>
      </c>
      <c r="AC68" s="349">
        <v>33.630000000000003</v>
      </c>
      <c r="AD68" s="349">
        <v>10.5</v>
      </c>
      <c r="AE68" s="349">
        <v>7.8</v>
      </c>
      <c r="AF68" s="349">
        <v>41.54</v>
      </c>
      <c r="AG68" s="349"/>
      <c r="AH68" s="349"/>
      <c r="AI68" s="349"/>
      <c r="AJ68" s="349"/>
      <c r="AK68" s="498">
        <f t="shared" si="39"/>
        <v>550.06999999999994</v>
      </c>
      <c r="AL68" s="78"/>
      <c r="AM68" s="27"/>
    </row>
    <row r="69" spans="1:41" ht="16.5" thickBot="1" x14ac:dyDescent="0.3">
      <c r="C69" s="357" t="s">
        <v>75</v>
      </c>
      <c r="D69" s="210"/>
      <c r="E69" s="210"/>
      <c r="F69" s="210"/>
      <c r="G69" s="210">
        <f>G68*2.14</f>
        <v>40.488800000000005</v>
      </c>
      <c r="H69" s="210">
        <f t="shared" ref="H69:S69" si="40">H68*2.14</f>
        <v>46.994400000000006</v>
      </c>
      <c r="I69" s="210">
        <f t="shared" si="40"/>
        <v>48.042999999999999</v>
      </c>
      <c r="J69" s="210"/>
      <c r="K69" s="210">
        <f t="shared" si="40"/>
        <v>74.450600000000009</v>
      </c>
      <c r="L69" s="210"/>
      <c r="M69" s="210"/>
      <c r="N69" s="210"/>
      <c r="O69" s="210"/>
      <c r="P69" s="210">
        <f t="shared" si="40"/>
        <v>127.5868</v>
      </c>
      <c r="Q69" s="210"/>
      <c r="R69" s="210">
        <f t="shared" si="40"/>
        <v>12.412000000000001</v>
      </c>
      <c r="S69" s="210">
        <f t="shared" si="40"/>
        <v>63.344000000000008</v>
      </c>
      <c r="T69" s="210"/>
      <c r="U69" s="210">
        <f>U68*2.35</f>
        <v>20.632999999999999</v>
      </c>
      <c r="V69" s="210"/>
      <c r="W69" s="210">
        <f t="shared" ref="W69:AF69" si="41">W68*2.35</f>
        <v>23.782</v>
      </c>
      <c r="X69" s="210">
        <f t="shared" si="41"/>
        <v>77.972999999999999</v>
      </c>
      <c r="Y69" s="210">
        <f t="shared" si="41"/>
        <v>114.9855</v>
      </c>
      <c r="Z69" s="210">
        <f t="shared" si="41"/>
        <v>109.134</v>
      </c>
      <c r="AA69" s="210">
        <f t="shared" si="41"/>
        <v>42.041500000000006</v>
      </c>
      <c r="AB69" s="210">
        <f t="shared" si="41"/>
        <v>70.265000000000001</v>
      </c>
      <c r="AC69" s="210">
        <f t="shared" si="41"/>
        <v>79.030500000000004</v>
      </c>
      <c r="AD69" s="210">
        <f t="shared" si="41"/>
        <v>24.675000000000001</v>
      </c>
      <c r="AE69" s="210">
        <f t="shared" si="41"/>
        <v>18.330000000000002</v>
      </c>
      <c r="AF69" s="210">
        <f t="shared" si="41"/>
        <v>97.619</v>
      </c>
      <c r="AG69" s="210"/>
      <c r="AH69" s="210"/>
      <c r="AI69" s="210"/>
      <c r="AJ69" s="210"/>
      <c r="AK69" s="507">
        <f t="shared" si="39"/>
        <v>1091.7881</v>
      </c>
      <c r="AL69" s="224">
        <f>COUNT(D69:AJ69)</f>
        <v>18</v>
      </c>
      <c r="AM69" s="213">
        <f>AK69/AL69</f>
        <v>60.654894444444444</v>
      </c>
      <c r="AN69" s="211"/>
    </row>
    <row r="70" spans="1:41" ht="15.75" x14ac:dyDescent="0.25">
      <c r="A70">
        <v>14.1</v>
      </c>
      <c r="B70">
        <v>12.81</v>
      </c>
      <c r="C70" s="358" t="s">
        <v>176</v>
      </c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30"/>
      <c r="O70" s="226"/>
      <c r="P70" s="226"/>
      <c r="Q70" s="226"/>
      <c r="R70" s="226"/>
      <c r="S70" s="226"/>
      <c r="T70" s="226"/>
      <c r="U70" s="226"/>
      <c r="V70" s="226"/>
      <c r="W70" s="226"/>
      <c r="X70" s="350"/>
      <c r="Y70" s="350"/>
      <c r="Z70" s="350"/>
      <c r="AA70" s="350"/>
      <c r="AB70" s="350"/>
      <c r="AC70" s="350"/>
      <c r="AD70" s="350"/>
      <c r="AE70" s="350"/>
      <c r="AF70" s="350"/>
      <c r="AG70" s="350"/>
      <c r="AH70" s="350"/>
      <c r="AI70" s="350"/>
      <c r="AJ70" s="350"/>
      <c r="AK70" s="498">
        <f t="shared" si="39"/>
        <v>0</v>
      </c>
      <c r="AL70" s="6"/>
      <c r="AM70" s="213"/>
      <c r="AN70" s="211"/>
    </row>
    <row r="71" spans="1:41" ht="15.75" x14ac:dyDescent="0.25">
      <c r="B71">
        <v>2.14</v>
      </c>
      <c r="C71" s="356" t="s">
        <v>174</v>
      </c>
      <c r="D71" s="212"/>
      <c r="E71" s="212"/>
      <c r="F71" s="212"/>
      <c r="G71" s="212"/>
      <c r="H71" s="212"/>
      <c r="I71" s="212"/>
      <c r="J71" s="212"/>
      <c r="K71" s="212">
        <v>17.55</v>
      </c>
      <c r="L71" s="212"/>
      <c r="M71" s="212"/>
      <c r="N71" s="212"/>
      <c r="O71" s="212"/>
      <c r="P71" s="212">
        <v>54.45</v>
      </c>
      <c r="Q71" s="212"/>
      <c r="R71" s="212">
        <v>57.84</v>
      </c>
      <c r="S71" s="212">
        <v>75.17</v>
      </c>
      <c r="T71" s="212">
        <v>64.55</v>
      </c>
      <c r="U71" s="212">
        <v>11.08</v>
      </c>
      <c r="V71" s="212">
        <v>48.46</v>
      </c>
      <c r="W71" s="212">
        <v>40.31</v>
      </c>
      <c r="X71" s="349">
        <v>73.459999999999994</v>
      </c>
      <c r="Y71" s="349">
        <v>96.9</v>
      </c>
      <c r="Z71" s="349">
        <v>55.19</v>
      </c>
      <c r="AA71" s="349">
        <v>14.05</v>
      </c>
      <c r="AB71" s="349"/>
      <c r="AC71" s="349">
        <v>44.51</v>
      </c>
      <c r="AD71" s="349">
        <v>18.78</v>
      </c>
      <c r="AE71" s="349">
        <v>27.93</v>
      </c>
      <c r="AF71" s="349">
        <v>38.01</v>
      </c>
      <c r="AG71" s="349"/>
      <c r="AH71" s="349"/>
      <c r="AI71" s="349"/>
      <c r="AJ71" s="349"/>
      <c r="AK71" s="498">
        <f t="shared" si="39"/>
        <v>738.2399999999999</v>
      </c>
      <c r="AL71" s="78"/>
      <c r="AM71" s="27"/>
    </row>
    <row r="72" spans="1:41" ht="16.5" thickBot="1" x14ac:dyDescent="0.3">
      <c r="A72">
        <v>2.35</v>
      </c>
      <c r="C72" s="357" t="s">
        <v>75</v>
      </c>
      <c r="D72" s="210"/>
      <c r="E72" s="210"/>
      <c r="F72" s="210"/>
      <c r="G72" s="210"/>
      <c r="H72" s="210"/>
      <c r="I72" s="210"/>
      <c r="J72" s="210"/>
      <c r="K72" s="210">
        <f t="shared" ref="K72:T72" si="42">K71*2.14+K70*12.81</f>
        <v>37.557000000000002</v>
      </c>
      <c r="L72" s="210"/>
      <c r="M72" s="210"/>
      <c r="N72" s="210"/>
      <c r="O72" s="210"/>
      <c r="P72" s="210">
        <f t="shared" si="42"/>
        <v>116.52300000000001</v>
      </c>
      <c r="Q72" s="210"/>
      <c r="R72" s="210">
        <f t="shared" si="42"/>
        <v>123.77760000000002</v>
      </c>
      <c r="S72" s="210">
        <f t="shared" si="42"/>
        <v>160.86380000000003</v>
      </c>
      <c r="T72" s="210">
        <f t="shared" si="42"/>
        <v>138.137</v>
      </c>
      <c r="U72" s="210">
        <f>U71*2.35</f>
        <v>26.038</v>
      </c>
      <c r="V72" s="210">
        <f t="shared" ref="V72:AF72" si="43">V71*2.35</f>
        <v>113.881</v>
      </c>
      <c r="W72" s="210">
        <f t="shared" si="43"/>
        <v>94.728500000000011</v>
      </c>
      <c r="X72" s="210">
        <f t="shared" si="43"/>
        <v>172.631</v>
      </c>
      <c r="Y72" s="210">
        <f t="shared" si="43"/>
        <v>227.71500000000003</v>
      </c>
      <c r="Z72" s="210">
        <f t="shared" si="43"/>
        <v>129.69649999999999</v>
      </c>
      <c r="AA72" s="210">
        <f t="shared" si="43"/>
        <v>33.017500000000005</v>
      </c>
      <c r="AB72" s="210"/>
      <c r="AC72" s="210">
        <f t="shared" si="43"/>
        <v>104.5985</v>
      </c>
      <c r="AD72" s="210">
        <f t="shared" si="43"/>
        <v>44.133000000000003</v>
      </c>
      <c r="AE72" s="210">
        <f t="shared" si="43"/>
        <v>65.635500000000008</v>
      </c>
      <c r="AF72" s="210">
        <f t="shared" si="43"/>
        <v>89.323499999999996</v>
      </c>
      <c r="AG72" s="210"/>
      <c r="AH72" s="210"/>
      <c r="AI72" s="210"/>
      <c r="AJ72" s="210"/>
      <c r="AK72" s="507">
        <f t="shared" si="39"/>
        <v>1678.2564000000002</v>
      </c>
      <c r="AL72" s="224">
        <f>COUNT(D72:AJ72)</f>
        <v>16</v>
      </c>
      <c r="AM72" s="213">
        <f>AK72/AL72</f>
        <v>104.89102500000001</v>
      </c>
      <c r="AN72" s="211"/>
    </row>
    <row r="73" spans="1:41" ht="15.75" x14ac:dyDescent="0.25">
      <c r="A73">
        <v>2.35</v>
      </c>
      <c r="B73">
        <v>2.14</v>
      </c>
      <c r="C73" s="356" t="s">
        <v>175</v>
      </c>
      <c r="D73" s="212"/>
      <c r="E73" s="212"/>
      <c r="F73" s="212"/>
      <c r="G73" s="212"/>
      <c r="H73" s="212"/>
      <c r="I73" s="212">
        <v>3.96</v>
      </c>
      <c r="J73" s="212">
        <v>5.2</v>
      </c>
      <c r="K73" s="212">
        <v>16.920000000000002</v>
      </c>
      <c r="L73" s="212">
        <v>5.82</v>
      </c>
      <c r="M73" s="212">
        <v>30.87</v>
      </c>
      <c r="N73" s="212">
        <v>5.7</v>
      </c>
      <c r="O73" s="212">
        <v>38.299999999999997</v>
      </c>
      <c r="P73" s="212">
        <v>37.020000000000003</v>
      </c>
      <c r="Q73" s="212"/>
      <c r="R73" s="212">
        <v>5.7</v>
      </c>
      <c r="S73" s="212"/>
      <c r="T73" s="212"/>
      <c r="U73" s="212">
        <v>12.8</v>
      </c>
      <c r="V73" s="212">
        <v>1.9</v>
      </c>
      <c r="W73" s="212"/>
      <c r="X73" s="349">
        <v>32.799999999999997</v>
      </c>
      <c r="Y73" s="349">
        <v>36</v>
      </c>
      <c r="Z73" s="349">
        <v>22.29</v>
      </c>
      <c r="AA73" s="349">
        <v>17.89</v>
      </c>
      <c r="AB73" s="349">
        <v>20.3</v>
      </c>
      <c r="AC73" s="349">
        <v>19.91</v>
      </c>
      <c r="AD73" s="349">
        <v>24.04</v>
      </c>
      <c r="AE73" s="349">
        <v>16.48</v>
      </c>
      <c r="AF73" s="349">
        <v>40.26</v>
      </c>
      <c r="AG73" s="349"/>
      <c r="AH73" s="349"/>
      <c r="AI73" s="349"/>
      <c r="AJ73" s="349"/>
      <c r="AK73" s="498">
        <f t="shared" si="39"/>
        <v>394.16000000000008</v>
      </c>
      <c r="AL73" s="78"/>
      <c r="AM73" s="27"/>
    </row>
    <row r="74" spans="1:41" ht="16.5" thickBot="1" x14ac:dyDescent="0.3">
      <c r="C74" s="357" t="s">
        <v>75</v>
      </c>
      <c r="D74" s="210"/>
      <c r="E74" s="210"/>
      <c r="F74" s="210"/>
      <c r="G74" s="210"/>
      <c r="H74" s="210"/>
      <c r="I74" s="210">
        <f t="shared" ref="I74:R74" si="44">I73*1.93</f>
        <v>7.6427999999999994</v>
      </c>
      <c r="J74" s="210">
        <f t="shared" si="44"/>
        <v>10.036</v>
      </c>
      <c r="K74" s="210">
        <f t="shared" si="44"/>
        <v>32.6556</v>
      </c>
      <c r="L74" s="210">
        <f t="shared" si="44"/>
        <v>11.2326</v>
      </c>
      <c r="M74" s="210">
        <f t="shared" si="44"/>
        <v>59.579099999999997</v>
      </c>
      <c r="N74" s="210">
        <f t="shared" si="44"/>
        <v>11.000999999999999</v>
      </c>
      <c r="O74" s="210">
        <f t="shared" si="44"/>
        <v>73.918999999999997</v>
      </c>
      <c r="P74" s="210">
        <f t="shared" si="44"/>
        <v>71.448599999999999</v>
      </c>
      <c r="Q74" s="210"/>
      <c r="R74" s="210">
        <f t="shared" si="44"/>
        <v>11.000999999999999</v>
      </c>
      <c r="S74" s="210"/>
      <c r="T74" s="210"/>
      <c r="U74" s="210">
        <f>U73*2.35</f>
        <v>30.080000000000002</v>
      </c>
      <c r="V74" s="210">
        <f t="shared" ref="V74:AF74" si="45">V73*2.35</f>
        <v>4.4649999999999999</v>
      </c>
      <c r="W74" s="210"/>
      <c r="X74" s="210">
        <f t="shared" si="45"/>
        <v>77.08</v>
      </c>
      <c r="Y74" s="210">
        <f t="shared" si="45"/>
        <v>84.600000000000009</v>
      </c>
      <c r="Z74" s="210">
        <f t="shared" si="45"/>
        <v>52.381500000000003</v>
      </c>
      <c r="AA74" s="210">
        <f t="shared" si="45"/>
        <v>42.041500000000006</v>
      </c>
      <c r="AB74" s="210">
        <f t="shared" si="45"/>
        <v>47.705000000000005</v>
      </c>
      <c r="AC74" s="210">
        <f t="shared" si="45"/>
        <v>46.788499999999999</v>
      </c>
      <c r="AD74" s="210">
        <f t="shared" si="45"/>
        <v>56.494</v>
      </c>
      <c r="AE74" s="210">
        <f t="shared" si="45"/>
        <v>38.728000000000002</v>
      </c>
      <c r="AF74" s="210">
        <f t="shared" si="45"/>
        <v>94.611000000000004</v>
      </c>
      <c r="AG74" s="210"/>
      <c r="AH74" s="210"/>
      <c r="AI74" s="210"/>
      <c r="AJ74" s="210"/>
      <c r="AK74" s="507">
        <f t="shared" si="39"/>
        <v>863.49019999999996</v>
      </c>
      <c r="AL74" s="224">
        <f>COUNT(D74:AJ74)</f>
        <v>20</v>
      </c>
      <c r="AM74" s="213">
        <f>AK74/AL74</f>
        <v>43.174509999999998</v>
      </c>
      <c r="AN74" s="211"/>
    </row>
    <row r="75" spans="1:41" ht="15.75" x14ac:dyDescent="0.25">
      <c r="A75">
        <v>2.35</v>
      </c>
      <c r="B75">
        <v>2.14</v>
      </c>
      <c r="C75" s="356" t="s">
        <v>91</v>
      </c>
      <c r="D75" s="212"/>
      <c r="E75" s="212"/>
      <c r="F75" s="212"/>
      <c r="G75" s="212"/>
      <c r="H75" s="212">
        <v>7.2</v>
      </c>
      <c r="I75" s="212">
        <v>22.43</v>
      </c>
      <c r="J75" s="212">
        <v>3.8</v>
      </c>
      <c r="K75" s="212">
        <v>17.96</v>
      </c>
      <c r="L75" s="212">
        <v>24.94</v>
      </c>
      <c r="M75" s="212">
        <v>31.29</v>
      </c>
      <c r="N75" s="212">
        <v>60.77</v>
      </c>
      <c r="O75" s="212">
        <v>65.08</v>
      </c>
      <c r="P75" s="212">
        <v>45.26</v>
      </c>
      <c r="Q75" s="212"/>
      <c r="R75" s="212">
        <v>46.69</v>
      </c>
      <c r="S75" s="212">
        <v>47.18</v>
      </c>
      <c r="T75" s="212">
        <v>68.7</v>
      </c>
      <c r="U75" s="212">
        <v>14.5</v>
      </c>
      <c r="V75" s="212">
        <v>41.13</v>
      </c>
      <c r="W75" s="212">
        <v>36.630000000000003</v>
      </c>
      <c r="X75" s="349">
        <v>48.68</v>
      </c>
      <c r="Y75" s="349">
        <v>82.38</v>
      </c>
      <c r="Z75" s="349">
        <v>47.09</v>
      </c>
      <c r="AA75" s="349">
        <v>13.77</v>
      </c>
      <c r="AB75" s="349">
        <v>34.68</v>
      </c>
      <c r="AC75" s="349">
        <v>29.19</v>
      </c>
      <c r="AD75" s="349">
        <v>30.64</v>
      </c>
      <c r="AE75" s="349">
        <v>22.98</v>
      </c>
      <c r="AF75" s="349">
        <v>57.15</v>
      </c>
      <c r="AG75" s="349"/>
      <c r="AH75" s="349"/>
      <c r="AI75" s="349"/>
      <c r="AJ75" s="349"/>
      <c r="AK75" s="498">
        <f t="shared" si="39"/>
        <v>900.12</v>
      </c>
      <c r="AL75" s="78"/>
      <c r="AM75" s="27"/>
    </row>
    <row r="76" spans="1:41" ht="16.5" thickBot="1" x14ac:dyDescent="0.3">
      <c r="C76" s="357" t="s">
        <v>75</v>
      </c>
      <c r="D76" s="210"/>
      <c r="E76" s="210"/>
      <c r="F76" s="210"/>
      <c r="G76" s="210"/>
      <c r="H76" s="210">
        <f t="shared" ref="H76:T76" si="46">H75*2.14</f>
        <v>15.408000000000001</v>
      </c>
      <c r="I76" s="210">
        <f t="shared" si="46"/>
        <v>48.0002</v>
      </c>
      <c r="J76" s="210">
        <f t="shared" si="46"/>
        <v>8.1319999999999997</v>
      </c>
      <c r="K76" s="210">
        <f t="shared" si="46"/>
        <v>38.434400000000004</v>
      </c>
      <c r="L76" s="210">
        <f t="shared" si="46"/>
        <v>53.371600000000008</v>
      </c>
      <c r="M76" s="210">
        <f t="shared" si="46"/>
        <v>66.960599999999999</v>
      </c>
      <c r="N76" s="210">
        <f t="shared" si="46"/>
        <v>130.04780000000002</v>
      </c>
      <c r="O76" s="210">
        <f t="shared" si="46"/>
        <v>139.27119999999999</v>
      </c>
      <c r="P76" s="210">
        <f t="shared" si="46"/>
        <v>96.856400000000008</v>
      </c>
      <c r="Q76" s="210"/>
      <c r="R76" s="210">
        <f t="shared" si="46"/>
        <v>99.916600000000003</v>
      </c>
      <c r="S76" s="210">
        <f t="shared" si="46"/>
        <v>100.96520000000001</v>
      </c>
      <c r="T76" s="210">
        <f t="shared" si="46"/>
        <v>147.018</v>
      </c>
      <c r="U76" s="210">
        <f>U75*2.35</f>
        <v>34.075000000000003</v>
      </c>
      <c r="V76" s="210">
        <f t="shared" ref="V76:AF76" si="47">V75*2.35</f>
        <v>96.655500000000004</v>
      </c>
      <c r="W76" s="210">
        <f t="shared" si="47"/>
        <v>86.080500000000015</v>
      </c>
      <c r="X76" s="210">
        <f t="shared" si="47"/>
        <v>114.39800000000001</v>
      </c>
      <c r="Y76" s="210">
        <f t="shared" si="47"/>
        <v>193.59299999999999</v>
      </c>
      <c r="Z76" s="210">
        <f t="shared" si="47"/>
        <v>110.66150000000002</v>
      </c>
      <c r="AA76" s="210">
        <f t="shared" si="47"/>
        <v>32.359499999999997</v>
      </c>
      <c r="AB76" s="210">
        <f t="shared" si="47"/>
        <v>81.498000000000005</v>
      </c>
      <c r="AC76" s="210">
        <f t="shared" si="47"/>
        <v>68.596500000000006</v>
      </c>
      <c r="AD76" s="210">
        <f t="shared" si="47"/>
        <v>72.004000000000005</v>
      </c>
      <c r="AE76" s="210">
        <f t="shared" si="47"/>
        <v>54.003</v>
      </c>
      <c r="AF76" s="210">
        <f t="shared" si="47"/>
        <v>134.30250000000001</v>
      </c>
      <c r="AG76" s="210"/>
      <c r="AH76" s="210"/>
      <c r="AI76" s="210"/>
      <c r="AJ76" s="210"/>
      <c r="AK76" s="507">
        <f t="shared" si="39"/>
        <v>2022.6090000000002</v>
      </c>
      <c r="AL76" s="224">
        <f>COUNT(D76:AJ76)</f>
        <v>24</v>
      </c>
      <c r="AM76" s="213">
        <f>AK76/AL76</f>
        <v>84.275375000000011</v>
      </c>
      <c r="AN76" s="211"/>
    </row>
    <row r="77" spans="1:41" ht="15.75" x14ac:dyDescent="0.25">
      <c r="A77">
        <v>14.11</v>
      </c>
      <c r="B77">
        <v>12.81</v>
      </c>
      <c r="C77" s="355" t="s">
        <v>87</v>
      </c>
      <c r="D77" s="226"/>
      <c r="E77" s="226"/>
      <c r="F77" s="226"/>
      <c r="G77" s="226"/>
      <c r="H77" s="226"/>
      <c r="I77" s="226"/>
      <c r="J77" s="226"/>
      <c r="K77" s="226"/>
      <c r="L77" s="230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350"/>
      <c r="Y77" s="350"/>
      <c r="Z77" s="350"/>
      <c r="AA77" s="350"/>
      <c r="AB77" s="350"/>
      <c r="AC77" s="350"/>
      <c r="AD77" s="350"/>
      <c r="AE77" s="350"/>
      <c r="AF77" s="350"/>
      <c r="AG77" s="350"/>
      <c r="AH77" s="350"/>
      <c r="AI77" s="350"/>
      <c r="AJ77" s="350"/>
      <c r="AK77" s="498">
        <f t="shared" si="39"/>
        <v>0</v>
      </c>
      <c r="AL77" s="6"/>
      <c r="AM77" s="213"/>
      <c r="AN77" s="211"/>
    </row>
    <row r="78" spans="1:41" ht="15.75" x14ac:dyDescent="0.25">
      <c r="A78">
        <v>2.35</v>
      </c>
      <c r="B78">
        <v>2.14</v>
      </c>
      <c r="C78" s="356" t="s">
        <v>92</v>
      </c>
      <c r="D78" s="212"/>
      <c r="E78" s="212"/>
      <c r="F78" s="212"/>
      <c r="G78" s="212"/>
      <c r="H78" s="212">
        <v>10.1</v>
      </c>
      <c r="I78" s="212"/>
      <c r="J78" s="212"/>
      <c r="K78" s="212">
        <v>49.28</v>
      </c>
      <c r="L78" s="212"/>
      <c r="M78" s="212">
        <v>46.19</v>
      </c>
      <c r="N78" s="212">
        <v>53.58</v>
      </c>
      <c r="O78" s="212">
        <v>75.56</v>
      </c>
      <c r="P78" s="212">
        <v>74.819999999999993</v>
      </c>
      <c r="Q78" s="212"/>
      <c r="R78" s="212">
        <v>74.59</v>
      </c>
      <c r="S78" s="212">
        <v>68.66</v>
      </c>
      <c r="T78" s="212">
        <v>64.97</v>
      </c>
      <c r="U78" s="212">
        <v>15.55</v>
      </c>
      <c r="V78" s="212">
        <v>57.62</v>
      </c>
      <c r="W78" s="212">
        <v>42.79</v>
      </c>
      <c r="X78" s="349">
        <v>49.46</v>
      </c>
      <c r="Y78" s="349">
        <v>84.56</v>
      </c>
      <c r="Z78" s="349">
        <v>56.98</v>
      </c>
      <c r="AA78" s="349">
        <v>24.47</v>
      </c>
      <c r="AB78" s="349">
        <v>44.78</v>
      </c>
      <c r="AC78" s="349">
        <v>53.55</v>
      </c>
      <c r="AD78" s="349">
        <v>18.78</v>
      </c>
      <c r="AE78" s="349">
        <v>21.4</v>
      </c>
      <c r="AF78" s="349">
        <v>43.01</v>
      </c>
      <c r="AG78" s="349"/>
      <c r="AH78" s="349"/>
      <c r="AI78" s="349"/>
      <c r="AJ78" s="349"/>
      <c r="AK78" s="498">
        <f t="shared" si="39"/>
        <v>1030.7</v>
      </c>
      <c r="AL78" s="78"/>
      <c r="AM78" s="27"/>
    </row>
    <row r="79" spans="1:41" ht="16.5" thickBot="1" x14ac:dyDescent="0.3">
      <c r="C79" s="357" t="s">
        <v>75</v>
      </c>
      <c r="D79" s="210"/>
      <c r="E79" s="210"/>
      <c r="F79" s="210"/>
      <c r="G79" s="210"/>
      <c r="H79" s="210">
        <f t="shared" ref="H79:T79" si="48">H78*2.14+H77*12.81</f>
        <v>21.614000000000001</v>
      </c>
      <c r="I79" s="210"/>
      <c r="J79" s="210"/>
      <c r="K79" s="210">
        <f t="shared" si="48"/>
        <v>105.45920000000001</v>
      </c>
      <c r="L79" s="210"/>
      <c r="M79" s="210">
        <f t="shared" si="48"/>
        <v>98.846599999999995</v>
      </c>
      <c r="N79" s="210">
        <f t="shared" si="48"/>
        <v>114.66120000000001</v>
      </c>
      <c r="O79" s="210">
        <f t="shared" si="48"/>
        <v>161.69840000000002</v>
      </c>
      <c r="P79" s="210">
        <f t="shared" si="48"/>
        <v>160.1148</v>
      </c>
      <c r="Q79" s="210"/>
      <c r="R79" s="210">
        <f t="shared" si="48"/>
        <v>159.62260000000001</v>
      </c>
      <c r="S79" s="210">
        <f t="shared" si="48"/>
        <v>146.9324</v>
      </c>
      <c r="T79" s="210">
        <f t="shared" si="48"/>
        <v>139.03579999999999</v>
      </c>
      <c r="U79" s="210">
        <f>U78*2.35</f>
        <v>36.542500000000004</v>
      </c>
      <c r="V79" s="210">
        <f t="shared" ref="V79:AF79" si="49">V78*2.35</f>
        <v>135.40700000000001</v>
      </c>
      <c r="W79" s="210">
        <f t="shared" si="49"/>
        <v>100.5565</v>
      </c>
      <c r="X79" s="210">
        <f t="shared" si="49"/>
        <v>116.23100000000001</v>
      </c>
      <c r="Y79" s="210">
        <f t="shared" si="49"/>
        <v>198.71600000000001</v>
      </c>
      <c r="Z79" s="210">
        <f t="shared" si="49"/>
        <v>133.90299999999999</v>
      </c>
      <c r="AA79" s="210">
        <f t="shared" si="49"/>
        <v>57.5045</v>
      </c>
      <c r="AB79" s="210">
        <f t="shared" si="49"/>
        <v>105.233</v>
      </c>
      <c r="AC79" s="210">
        <f t="shared" si="49"/>
        <v>125.8425</v>
      </c>
      <c r="AD79" s="210">
        <f t="shared" si="49"/>
        <v>44.133000000000003</v>
      </c>
      <c r="AE79" s="210">
        <f t="shared" si="49"/>
        <v>50.29</v>
      </c>
      <c r="AF79" s="210">
        <f t="shared" si="49"/>
        <v>101.0735</v>
      </c>
      <c r="AG79" s="210"/>
      <c r="AH79" s="210"/>
      <c r="AI79" s="210"/>
      <c r="AJ79" s="210"/>
      <c r="AK79" s="507">
        <f t="shared" si="39"/>
        <v>2313.4175</v>
      </c>
      <c r="AL79" s="224">
        <f>COUNT(D79:AJ79)</f>
        <v>21</v>
      </c>
      <c r="AM79" s="213">
        <f>AK79/AL79</f>
        <v>110.1627380952381</v>
      </c>
      <c r="AN79" s="211"/>
    </row>
    <row r="80" spans="1:41" ht="15.75" x14ac:dyDescent="0.25">
      <c r="A80">
        <v>14.11</v>
      </c>
      <c r="B80">
        <v>12.81</v>
      </c>
      <c r="C80" s="355" t="s">
        <v>93</v>
      </c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350"/>
      <c r="Y80" s="350"/>
      <c r="Z80" s="350"/>
      <c r="AA80" s="350"/>
      <c r="AB80" s="350"/>
      <c r="AC80" s="350"/>
      <c r="AD80" s="350"/>
      <c r="AE80" s="350"/>
      <c r="AF80" s="350"/>
      <c r="AG80" s="350"/>
      <c r="AH80" s="350"/>
      <c r="AI80" s="350"/>
      <c r="AJ80" s="350"/>
      <c r="AK80" s="498">
        <f t="shared" si="39"/>
        <v>0</v>
      </c>
      <c r="AL80" s="6"/>
      <c r="AM80" s="213"/>
      <c r="AN80" s="211"/>
    </row>
    <row r="81" spans="1:40" ht="15.75" x14ac:dyDescent="0.25">
      <c r="A81">
        <v>2.35</v>
      </c>
      <c r="B81">
        <v>2.14</v>
      </c>
      <c r="C81" s="356" t="s">
        <v>1</v>
      </c>
      <c r="D81" s="212"/>
      <c r="E81" s="212"/>
      <c r="F81" s="212"/>
      <c r="G81" s="212"/>
      <c r="H81" s="212">
        <v>16.399999999999999</v>
      </c>
      <c r="I81" s="212"/>
      <c r="J81" s="212"/>
      <c r="K81" s="212">
        <v>45.04</v>
      </c>
      <c r="L81" s="212"/>
      <c r="M81" s="212">
        <v>51.09</v>
      </c>
      <c r="N81" s="212">
        <v>37.74</v>
      </c>
      <c r="O81" s="212">
        <v>63.74</v>
      </c>
      <c r="P81" s="212">
        <v>69.39</v>
      </c>
      <c r="Q81" s="212"/>
      <c r="R81" s="212">
        <v>68.73</v>
      </c>
      <c r="S81" s="212">
        <v>61.24</v>
      </c>
      <c r="T81" s="212">
        <v>31.94</v>
      </c>
      <c r="U81" s="212">
        <v>12.41</v>
      </c>
      <c r="V81" s="212">
        <v>59.96</v>
      </c>
      <c r="W81" s="212">
        <v>39.94</v>
      </c>
      <c r="X81" s="349">
        <v>49.72</v>
      </c>
      <c r="Y81" s="349">
        <v>73.52</v>
      </c>
      <c r="Z81" s="349">
        <v>52.9</v>
      </c>
      <c r="AA81" s="349">
        <v>19.579999999999998</v>
      </c>
      <c r="AB81" s="349">
        <v>47.23</v>
      </c>
      <c r="AC81" s="349">
        <v>48.74</v>
      </c>
      <c r="AD81" s="349">
        <v>21.18</v>
      </c>
      <c r="AE81" s="349">
        <v>17</v>
      </c>
      <c r="AF81" s="349">
        <v>60.68</v>
      </c>
      <c r="AG81" s="349"/>
      <c r="AH81" s="349"/>
      <c r="AI81" s="349"/>
      <c r="AJ81" s="349"/>
      <c r="AK81" s="498">
        <f t="shared" si="39"/>
        <v>948.17000000000007</v>
      </c>
      <c r="AL81" s="78"/>
      <c r="AM81" s="27"/>
    </row>
    <row r="82" spans="1:40" ht="16.5" thickBot="1" x14ac:dyDescent="0.3">
      <c r="C82" s="357" t="s">
        <v>75</v>
      </c>
      <c r="D82" s="210"/>
      <c r="E82" s="210"/>
      <c r="F82" s="210"/>
      <c r="G82" s="210"/>
      <c r="H82" s="210">
        <f t="shared" ref="H82:T82" si="50">H81*2.14+H80*12.81</f>
        <v>35.095999999999997</v>
      </c>
      <c r="I82" s="210"/>
      <c r="J82" s="210"/>
      <c r="K82" s="210">
        <f t="shared" si="50"/>
        <v>96.385600000000011</v>
      </c>
      <c r="L82" s="210"/>
      <c r="M82" s="210">
        <f t="shared" si="50"/>
        <v>109.33260000000001</v>
      </c>
      <c r="N82" s="210">
        <f t="shared" si="50"/>
        <v>80.763600000000011</v>
      </c>
      <c r="O82" s="210">
        <f t="shared" si="50"/>
        <v>136.40360000000001</v>
      </c>
      <c r="P82" s="210">
        <f t="shared" si="50"/>
        <v>148.49460000000002</v>
      </c>
      <c r="Q82" s="210"/>
      <c r="R82" s="210">
        <f t="shared" si="50"/>
        <v>147.08220000000003</v>
      </c>
      <c r="S82" s="210">
        <f t="shared" si="50"/>
        <v>131.05360000000002</v>
      </c>
      <c r="T82" s="210">
        <f t="shared" si="50"/>
        <v>68.351600000000005</v>
      </c>
      <c r="U82" s="210">
        <f>U81*2.35</f>
        <v>29.163500000000003</v>
      </c>
      <c r="V82" s="210">
        <f t="shared" ref="V82:AF82" si="51">V81*2.35</f>
        <v>140.90600000000001</v>
      </c>
      <c r="W82" s="210">
        <f t="shared" si="51"/>
        <v>93.858999999999995</v>
      </c>
      <c r="X82" s="210">
        <f t="shared" si="51"/>
        <v>116.842</v>
      </c>
      <c r="Y82" s="210">
        <f t="shared" si="51"/>
        <v>172.77199999999999</v>
      </c>
      <c r="Z82" s="210">
        <f t="shared" si="51"/>
        <v>124.315</v>
      </c>
      <c r="AA82" s="210">
        <f t="shared" si="51"/>
        <v>46.012999999999998</v>
      </c>
      <c r="AB82" s="210">
        <f t="shared" si="51"/>
        <v>110.9905</v>
      </c>
      <c r="AC82" s="210">
        <f t="shared" si="51"/>
        <v>114.53900000000002</v>
      </c>
      <c r="AD82" s="210">
        <f t="shared" si="51"/>
        <v>49.773000000000003</v>
      </c>
      <c r="AE82" s="210">
        <f t="shared" si="51"/>
        <v>39.950000000000003</v>
      </c>
      <c r="AF82" s="210">
        <f t="shared" si="51"/>
        <v>142.59800000000001</v>
      </c>
      <c r="AG82" s="210"/>
      <c r="AH82" s="210"/>
      <c r="AI82" s="210"/>
      <c r="AJ82" s="210"/>
      <c r="AK82" s="507">
        <f t="shared" si="39"/>
        <v>2134.6844000000001</v>
      </c>
      <c r="AL82" s="224">
        <f>COUNT(D82:AJ82)</f>
        <v>21</v>
      </c>
      <c r="AM82" s="213">
        <f>AK82/AL82</f>
        <v>101.6516380952381</v>
      </c>
      <c r="AN82" s="211"/>
    </row>
    <row r="83" spans="1:40" ht="15.75" x14ac:dyDescent="0.25">
      <c r="A83">
        <v>14.11</v>
      </c>
      <c r="B83">
        <v>12.81</v>
      </c>
      <c r="C83" s="355" t="s">
        <v>94</v>
      </c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350"/>
      <c r="Y83" s="350"/>
      <c r="Z83" s="350"/>
      <c r="AA83" s="350"/>
      <c r="AB83" s="350"/>
      <c r="AC83" s="350"/>
      <c r="AD83" s="350"/>
      <c r="AE83" s="350"/>
      <c r="AF83" s="350"/>
      <c r="AG83" s="350"/>
      <c r="AH83" s="350"/>
      <c r="AI83" s="350"/>
      <c r="AJ83" s="350"/>
      <c r="AK83" s="498">
        <f t="shared" si="39"/>
        <v>0</v>
      </c>
      <c r="AL83" s="6"/>
      <c r="AM83" s="213"/>
      <c r="AN83" s="211"/>
    </row>
    <row r="84" spans="1:40" ht="15.75" x14ac:dyDescent="0.25">
      <c r="A84">
        <v>2.35</v>
      </c>
      <c r="B84">
        <v>2.14</v>
      </c>
      <c r="C84" s="356" t="s">
        <v>95</v>
      </c>
      <c r="D84" s="212"/>
      <c r="E84" s="212"/>
      <c r="F84" s="212"/>
      <c r="G84" s="212">
        <v>23.66</v>
      </c>
      <c r="H84" s="212">
        <v>22.56</v>
      </c>
      <c r="I84" s="212"/>
      <c r="J84" s="212"/>
      <c r="K84" s="212">
        <v>35.08</v>
      </c>
      <c r="L84" s="212"/>
      <c r="M84" s="261">
        <v>49.02</v>
      </c>
      <c r="N84" s="261">
        <v>44.18</v>
      </c>
      <c r="O84" s="261">
        <v>70.540000000000006</v>
      </c>
      <c r="P84" s="261">
        <v>59.05</v>
      </c>
      <c r="Q84" s="261"/>
      <c r="R84" s="212">
        <v>69.38</v>
      </c>
      <c r="S84" s="212">
        <v>64.22</v>
      </c>
      <c r="T84" s="212">
        <v>56</v>
      </c>
      <c r="U84" s="212">
        <v>11</v>
      </c>
      <c r="V84" s="212">
        <v>51.14</v>
      </c>
      <c r="W84" s="212">
        <v>42.97</v>
      </c>
      <c r="X84" s="212">
        <v>48.7</v>
      </c>
      <c r="Y84" s="212">
        <v>76.459999999999994</v>
      </c>
      <c r="Z84" s="212">
        <v>51.66</v>
      </c>
      <c r="AA84" s="212">
        <v>18.28</v>
      </c>
      <c r="AB84" s="212">
        <v>43.93</v>
      </c>
      <c r="AC84" s="212">
        <v>49.22</v>
      </c>
      <c r="AD84" s="212">
        <v>18.100000000000001</v>
      </c>
      <c r="AE84" s="212">
        <v>18.350000000000001</v>
      </c>
      <c r="AF84" s="212">
        <v>47.06</v>
      </c>
      <c r="AG84" s="212"/>
      <c r="AH84" s="212"/>
      <c r="AI84" s="212"/>
      <c r="AJ84" s="212"/>
      <c r="AK84" s="498">
        <f t="shared" si="39"/>
        <v>970.56000000000017</v>
      </c>
      <c r="AL84" s="78"/>
      <c r="AM84" s="27"/>
    </row>
    <row r="85" spans="1:40" ht="16.5" thickBot="1" x14ac:dyDescent="0.3">
      <c r="C85" s="357" t="s">
        <v>75</v>
      </c>
      <c r="D85" s="210"/>
      <c r="E85" s="210"/>
      <c r="F85" s="210"/>
      <c r="G85" s="210">
        <f>G84*2.14+G83*12.81</f>
        <v>50.632400000000004</v>
      </c>
      <c r="H85" s="210">
        <f t="shared" ref="H85:T85" si="52">H84*2.14+H83*12.81</f>
        <v>48.278399999999998</v>
      </c>
      <c r="I85" s="210"/>
      <c r="J85" s="210"/>
      <c r="K85" s="210">
        <f t="shared" si="52"/>
        <v>75.071200000000005</v>
      </c>
      <c r="L85" s="210"/>
      <c r="M85" s="210">
        <f t="shared" si="52"/>
        <v>104.90280000000001</v>
      </c>
      <c r="N85" s="210">
        <f t="shared" si="52"/>
        <v>94.545200000000008</v>
      </c>
      <c r="O85" s="210">
        <f t="shared" si="52"/>
        <v>150.95560000000003</v>
      </c>
      <c r="P85" s="210">
        <f t="shared" si="52"/>
        <v>126.367</v>
      </c>
      <c r="Q85" s="210"/>
      <c r="R85" s="210">
        <f t="shared" si="52"/>
        <v>148.47319999999999</v>
      </c>
      <c r="S85" s="210">
        <f t="shared" si="52"/>
        <v>137.4308</v>
      </c>
      <c r="T85" s="210">
        <f t="shared" si="52"/>
        <v>119.84</v>
      </c>
      <c r="U85" s="210">
        <f>U84*2.35</f>
        <v>25.85</v>
      </c>
      <c r="V85" s="210">
        <f t="shared" ref="V85:AF85" si="53">V84*2.35</f>
        <v>120.179</v>
      </c>
      <c r="W85" s="210">
        <f t="shared" si="53"/>
        <v>100.9795</v>
      </c>
      <c r="X85" s="210">
        <f t="shared" si="53"/>
        <v>114.44500000000001</v>
      </c>
      <c r="Y85" s="210">
        <f t="shared" si="53"/>
        <v>179.68099999999998</v>
      </c>
      <c r="Z85" s="210">
        <f t="shared" si="53"/>
        <v>121.401</v>
      </c>
      <c r="AA85" s="210">
        <f t="shared" si="53"/>
        <v>42.958000000000006</v>
      </c>
      <c r="AB85" s="210">
        <f t="shared" si="53"/>
        <v>103.2355</v>
      </c>
      <c r="AC85" s="210">
        <f t="shared" si="53"/>
        <v>115.667</v>
      </c>
      <c r="AD85" s="210">
        <f t="shared" si="53"/>
        <v>42.535000000000004</v>
      </c>
      <c r="AE85" s="210">
        <f t="shared" si="53"/>
        <v>43.122500000000002</v>
      </c>
      <c r="AF85" s="210">
        <f t="shared" si="53"/>
        <v>110.59100000000001</v>
      </c>
      <c r="AG85" s="210"/>
      <c r="AH85" s="210"/>
      <c r="AI85" s="210"/>
      <c r="AJ85" s="210"/>
      <c r="AK85" s="507">
        <f t="shared" si="39"/>
        <v>2177.1410999999998</v>
      </c>
      <c r="AL85" s="224">
        <f>COUNT(D85:AJ85)</f>
        <v>22</v>
      </c>
      <c r="AM85" s="213">
        <f>AK85/AL85</f>
        <v>98.960959090909085</v>
      </c>
      <c r="AN85" s="211"/>
    </row>
    <row r="86" spans="1:40" ht="15.75" x14ac:dyDescent="0.25">
      <c r="A86">
        <v>11.12</v>
      </c>
      <c r="C86" s="355" t="s">
        <v>178</v>
      </c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498">
        <f t="shared" si="39"/>
        <v>0</v>
      </c>
      <c r="AL86" s="6"/>
      <c r="AM86" s="213"/>
    </row>
    <row r="87" spans="1:40" ht="15.75" x14ac:dyDescent="0.25">
      <c r="B87">
        <v>2.2200000000000002</v>
      </c>
      <c r="C87" s="359" t="s">
        <v>190</v>
      </c>
      <c r="D87" s="226"/>
      <c r="E87" s="226"/>
      <c r="F87" s="226"/>
      <c r="G87" s="226"/>
      <c r="H87" s="226"/>
      <c r="I87" s="226"/>
      <c r="J87" s="226"/>
      <c r="K87" s="360">
        <v>55.2</v>
      </c>
      <c r="L87" s="230">
        <v>41.5</v>
      </c>
      <c r="M87" s="230">
        <v>62.7</v>
      </c>
      <c r="N87" s="226"/>
      <c r="O87" s="226"/>
      <c r="P87" s="226">
        <v>108.4</v>
      </c>
      <c r="Q87" s="226">
        <v>72.900000000000006</v>
      </c>
      <c r="R87" s="226">
        <v>116.2</v>
      </c>
      <c r="S87" s="226">
        <v>100.6</v>
      </c>
      <c r="T87" s="226">
        <v>123.3</v>
      </c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498">
        <f t="shared" si="39"/>
        <v>680.8</v>
      </c>
      <c r="AL87" s="6"/>
      <c r="AM87" s="213"/>
    </row>
    <row r="88" spans="1:40" ht="15.75" x14ac:dyDescent="0.25">
      <c r="A88">
        <v>1.96</v>
      </c>
      <c r="B88">
        <v>1.78</v>
      </c>
      <c r="C88" s="356" t="s">
        <v>95</v>
      </c>
      <c r="D88" s="212">
        <v>88.32</v>
      </c>
      <c r="E88" s="212"/>
      <c r="F88" s="212">
        <v>71.2</v>
      </c>
      <c r="G88" s="212">
        <v>76.2</v>
      </c>
      <c r="H88" s="212">
        <v>44.06</v>
      </c>
      <c r="I88" s="212">
        <v>101.02</v>
      </c>
      <c r="J88" s="212"/>
      <c r="K88" s="212"/>
      <c r="L88" s="212"/>
      <c r="M88" s="212"/>
      <c r="N88" s="212">
        <v>87.4</v>
      </c>
      <c r="O88" s="212">
        <v>85</v>
      </c>
      <c r="P88" s="212"/>
      <c r="Q88" s="212"/>
      <c r="R88" s="212"/>
      <c r="S88" s="212"/>
      <c r="T88" s="212"/>
      <c r="U88" s="212">
        <v>19.14</v>
      </c>
      <c r="V88" s="212"/>
      <c r="W88" s="212">
        <v>71.650000000000006</v>
      </c>
      <c r="X88" s="212">
        <v>72.12</v>
      </c>
      <c r="Y88" s="212">
        <v>110.34</v>
      </c>
      <c r="Z88" s="212">
        <v>103.54</v>
      </c>
      <c r="AA88" s="212">
        <v>71.67</v>
      </c>
      <c r="AB88" s="212">
        <v>86.66</v>
      </c>
      <c r="AC88" s="212">
        <v>71.2</v>
      </c>
      <c r="AD88" s="212">
        <v>51.08</v>
      </c>
      <c r="AE88" s="212">
        <v>66.099999999999994</v>
      </c>
      <c r="AF88" s="212">
        <v>113.1</v>
      </c>
      <c r="AG88" s="212"/>
      <c r="AH88" s="212">
        <v>37.700000000000003</v>
      </c>
      <c r="AI88" s="212">
        <v>35.9</v>
      </c>
      <c r="AJ88" s="212">
        <v>25.9</v>
      </c>
      <c r="AK88" s="498">
        <f t="shared" si="39"/>
        <v>1489.3</v>
      </c>
      <c r="AL88" s="78"/>
      <c r="AM88" s="27"/>
    </row>
    <row r="89" spans="1:40" ht="16.5" thickBot="1" x14ac:dyDescent="0.3">
      <c r="C89" s="357" t="s">
        <v>75</v>
      </c>
      <c r="D89" s="210">
        <f>D88*$B$88</f>
        <v>157.20959999999999</v>
      </c>
      <c r="E89" s="210"/>
      <c r="F89" s="210">
        <f t="shared" ref="F89:I89" si="54">F88*$B$88</f>
        <v>126.736</v>
      </c>
      <c r="G89" s="210">
        <f t="shared" si="54"/>
        <v>135.636</v>
      </c>
      <c r="H89" s="210">
        <f>H88*$B$88</f>
        <v>78.4268</v>
      </c>
      <c r="I89" s="210">
        <f t="shared" si="54"/>
        <v>179.81559999999999</v>
      </c>
      <c r="J89" s="210"/>
      <c r="K89" s="210">
        <f>K87*$B$87</f>
        <v>122.54400000000001</v>
      </c>
      <c r="L89" s="210">
        <f t="shared" ref="L89:M89" si="55">L87*$B$87</f>
        <v>92.13000000000001</v>
      </c>
      <c r="M89" s="210">
        <f t="shared" si="55"/>
        <v>139.19400000000002</v>
      </c>
      <c r="N89" s="210">
        <f>N88*$B$88</f>
        <v>155.572</v>
      </c>
      <c r="O89" s="210">
        <f t="shared" ref="O89" si="56">O88*$B$88</f>
        <v>151.30000000000001</v>
      </c>
      <c r="P89" s="210">
        <f>(P88*$B$88)+(P87*B87)</f>
        <v>240.64800000000002</v>
      </c>
      <c r="Q89" s="210">
        <f>(Q88*1.78)+(Q87*2.22)</f>
        <v>161.83800000000002</v>
      </c>
      <c r="R89" s="210">
        <f>(R88*1.78)+(R87*2.22)</f>
        <v>257.96400000000006</v>
      </c>
      <c r="S89" s="210">
        <f t="shared" ref="S89" si="57">(S88*1.78)+(S87*2.22)</f>
        <v>223.33199999999999</v>
      </c>
      <c r="T89" s="210">
        <f>(T88*1.78)+(T87*2.22)</f>
        <v>273.726</v>
      </c>
      <c r="U89" s="210">
        <f>U88*1.96</f>
        <v>37.514400000000002</v>
      </c>
      <c r="V89" s="210"/>
      <c r="W89" s="210">
        <f t="shared" ref="W89:AF89" si="58">W88*1.96</f>
        <v>140.434</v>
      </c>
      <c r="X89" s="210">
        <f t="shared" si="58"/>
        <v>141.3552</v>
      </c>
      <c r="Y89" s="210">
        <f t="shared" si="58"/>
        <v>216.2664</v>
      </c>
      <c r="Z89" s="210">
        <f t="shared" si="58"/>
        <v>202.9384</v>
      </c>
      <c r="AA89" s="210">
        <f t="shared" si="58"/>
        <v>140.47319999999999</v>
      </c>
      <c r="AB89" s="210">
        <f t="shared" si="58"/>
        <v>169.8536</v>
      </c>
      <c r="AC89" s="210">
        <f t="shared" si="58"/>
        <v>139.55199999999999</v>
      </c>
      <c r="AD89" s="210">
        <f t="shared" si="58"/>
        <v>100.1168</v>
      </c>
      <c r="AE89" s="210">
        <f t="shared" si="58"/>
        <v>129.55599999999998</v>
      </c>
      <c r="AF89" s="210">
        <f t="shared" si="58"/>
        <v>221.67599999999999</v>
      </c>
      <c r="AG89" s="210"/>
      <c r="AH89" s="210">
        <f>AH88*3.91</f>
        <v>147.40700000000001</v>
      </c>
      <c r="AI89" s="210">
        <f>AI88*3.91</f>
        <v>140.369</v>
      </c>
      <c r="AJ89" s="210">
        <f t="shared" ref="AJ89" si="59">AJ88*3.91</f>
        <v>101.26899999999999</v>
      </c>
      <c r="AK89" s="507">
        <f t="shared" si="39"/>
        <v>4524.8530000000001</v>
      </c>
      <c r="AL89" s="6">
        <f>COUNT(D89:AJ89)</f>
        <v>29</v>
      </c>
      <c r="AM89" s="213">
        <f>AK89/AL89</f>
        <v>156.02941379310346</v>
      </c>
    </row>
    <row r="90" spans="1:40" x14ac:dyDescent="0.25">
      <c r="AA90"/>
      <c r="AL90" s="220"/>
    </row>
    <row r="91" spans="1:40" x14ac:dyDescent="0.25">
      <c r="C91" s="361" t="s">
        <v>34</v>
      </c>
      <c r="AA91"/>
      <c r="AL91" s="220"/>
    </row>
    <row r="92" spans="1:40" x14ac:dyDescent="0.25">
      <c r="C92" s="361" t="s">
        <v>1</v>
      </c>
      <c r="AA92"/>
      <c r="AK92" s="215">
        <f>SUM(AK6:AK91)</f>
        <v>80626.80720000001</v>
      </c>
      <c r="AL92" s="220">
        <f>SUM(AL6:AL91)</f>
        <v>603</v>
      </c>
      <c r="AM92" s="281">
        <f>AK92/AL92</f>
        <v>133.70946467661693</v>
      </c>
    </row>
    <row r="93" spans="1:40" x14ac:dyDescent="0.25">
      <c r="C93" s="361"/>
      <c r="AA93"/>
      <c r="AL93" s="220"/>
    </row>
  </sheetData>
  <mergeCells count="1">
    <mergeCell ref="D1:M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"/>
  <sheetViews>
    <sheetView workbookViewId="0">
      <pane xSplit="3" ySplit="2" topLeftCell="AF6" activePane="bottomRight" state="frozen"/>
      <selection pane="topRight" activeCell="B1" sqref="B1"/>
      <selection pane="bottomLeft" activeCell="A4" sqref="A4"/>
      <selection pane="bottomRight" activeCell="AJ52" sqref="AJ52"/>
    </sheetView>
  </sheetViews>
  <sheetFormatPr defaultRowHeight="15" x14ac:dyDescent="0.25"/>
  <cols>
    <col min="1" max="1" width="6.42578125" customWidth="1"/>
    <col min="2" max="2" width="1.85546875" customWidth="1"/>
    <col min="3" max="3" width="26.5703125" customWidth="1"/>
    <col min="4" max="4" width="8.28515625" customWidth="1"/>
    <col min="5" max="7" width="7.85546875" customWidth="1"/>
    <col min="8" max="9" width="8" customWidth="1"/>
    <col min="10" max="10" width="8.28515625" customWidth="1"/>
    <col min="11" max="11" width="8.140625" customWidth="1"/>
    <col min="12" max="13" width="7.85546875" customWidth="1"/>
    <col min="14" max="17" width="8.28515625" customWidth="1"/>
    <col min="18" max="18" width="7.85546875" customWidth="1"/>
    <col min="19" max="19" width="8.42578125" customWidth="1"/>
    <col min="20" max="20" width="8.7109375" customWidth="1"/>
    <col min="21" max="21" width="8.42578125" customWidth="1"/>
    <col min="22" max="22" width="9" customWidth="1"/>
    <col min="23" max="23" width="8.5703125" customWidth="1"/>
    <col min="24" max="24" width="7.85546875" customWidth="1"/>
    <col min="25" max="25" width="8.42578125" customWidth="1"/>
    <col min="26" max="26" width="9" customWidth="1"/>
    <col min="27" max="27" width="8" customWidth="1"/>
    <col min="28" max="28" width="8.42578125" customWidth="1"/>
    <col min="29" max="29" width="8.140625" customWidth="1"/>
    <col min="30" max="31" width="8.28515625" customWidth="1"/>
    <col min="32" max="32" width="7.42578125" customWidth="1"/>
    <col min="33" max="40" width="7.85546875" customWidth="1"/>
    <col min="41" max="42" width="7.7109375" customWidth="1"/>
    <col min="43" max="43" width="7.42578125" customWidth="1"/>
    <col min="44" max="44" width="8.140625" customWidth="1"/>
    <col min="45" max="45" width="9.85546875" customWidth="1"/>
    <col min="46" max="46" width="5.42578125" style="220" customWidth="1"/>
    <col min="47" max="47" width="7.85546875" customWidth="1"/>
    <col min="48" max="48" width="8.140625" customWidth="1"/>
    <col min="49" max="49" width="7.5703125" customWidth="1"/>
  </cols>
  <sheetData>
    <row r="1" spans="1:52" ht="26.25" customHeight="1" thickBot="1" x14ac:dyDescent="0.3">
      <c r="C1" s="2"/>
      <c r="D1" s="665" t="s">
        <v>167</v>
      </c>
      <c r="E1" s="665"/>
      <c r="F1" s="665"/>
      <c r="G1" s="665"/>
      <c r="H1" s="665"/>
      <c r="I1" s="665"/>
      <c r="J1" s="665"/>
      <c r="K1" s="665"/>
      <c r="L1" s="665"/>
      <c r="M1" s="665"/>
      <c r="N1" s="665"/>
      <c r="O1" s="665"/>
      <c r="P1" s="665"/>
      <c r="Q1" s="665"/>
      <c r="R1" s="665"/>
      <c r="S1" s="665"/>
      <c r="T1" s="665"/>
      <c r="U1" s="665"/>
      <c r="V1" s="208"/>
      <c r="W1" s="208"/>
      <c r="X1" s="208"/>
      <c r="Y1" s="208"/>
      <c r="Z1" s="36"/>
      <c r="AA1" s="36"/>
      <c r="AB1" s="36"/>
      <c r="AC1" s="36"/>
      <c r="AD1" s="36"/>
      <c r="AE1" s="36"/>
      <c r="AF1" s="36"/>
      <c r="AG1" s="268"/>
      <c r="AH1" s="268"/>
      <c r="AI1" s="268"/>
      <c r="AJ1" s="268"/>
      <c r="AK1" s="268"/>
      <c r="AL1" s="268"/>
      <c r="AM1" s="268"/>
      <c r="AN1" s="268"/>
      <c r="AO1" s="268" t="s">
        <v>200</v>
      </c>
      <c r="AP1" s="268" t="s">
        <v>199</v>
      </c>
      <c r="AQ1" s="268"/>
      <c r="AR1" s="268"/>
      <c r="AS1" s="36"/>
      <c r="AT1" s="219"/>
    </row>
    <row r="2" spans="1:52" ht="26.25" customHeight="1" thickBot="1" x14ac:dyDescent="0.3">
      <c r="A2" t="s">
        <v>191</v>
      </c>
      <c r="C2" s="354" t="s">
        <v>177</v>
      </c>
      <c r="D2" s="505">
        <v>44375</v>
      </c>
      <c r="E2" s="506">
        <v>44376</v>
      </c>
      <c r="F2" s="506">
        <v>44743</v>
      </c>
      <c r="G2" s="506">
        <v>44744</v>
      </c>
      <c r="H2" s="506">
        <v>44746</v>
      </c>
      <c r="I2" s="228">
        <v>44747</v>
      </c>
      <c r="J2" s="506">
        <v>44749</v>
      </c>
      <c r="K2" s="506">
        <v>44750</v>
      </c>
      <c r="L2" s="506">
        <v>44751</v>
      </c>
      <c r="M2" s="228">
        <v>44753</v>
      </c>
      <c r="N2" s="228">
        <v>44756</v>
      </c>
      <c r="O2" s="228">
        <v>44757</v>
      </c>
      <c r="P2" s="228">
        <v>44758</v>
      </c>
      <c r="Q2" s="228">
        <v>44760</v>
      </c>
      <c r="R2" s="228">
        <v>44761</v>
      </c>
      <c r="S2" s="228">
        <v>44762</v>
      </c>
      <c r="T2" s="228">
        <v>44763</v>
      </c>
      <c r="U2" s="228">
        <v>44764</v>
      </c>
      <c r="V2" s="228">
        <v>44765</v>
      </c>
      <c r="W2" s="228">
        <v>44767</v>
      </c>
      <c r="X2" s="228">
        <v>44768</v>
      </c>
      <c r="Y2" s="228">
        <v>44769</v>
      </c>
      <c r="Z2" s="228">
        <v>44770</v>
      </c>
      <c r="AA2" s="228">
        <v>44771</v>
      </c>
      <c r="AB2" s="228">
        <v>44772</v>
      </c>
      <c r="AC2" s="228">
        <v>44774</v>
      </c>
      <c r="AD2" s="228">
        <v>44775</v>
      </c>
      <c r="AE2" s="228">
        <v>44776</v>
      </c>
      <c r="AF2" s="228">
        <v>44777</v>
      </c>
      <c r="AG2" s="228">
        <v>44778</v>
      </c>
      <c r="AH2" s="228">
        <v>44779</v>
      </c>
      <c r="AI2" s="228">
        <v>44780</v>
      </c>
      <c r="AJ2" s="228">
        <v>44781</v>
      </c>
      <c r="AK2" s="228">
        <v>44782</v>
      </c>
      <c r="AL2" s="228">
        <v>44783</v>
      </c>
      <c r="AM2" s="228">
        <v>44784</v>
      </c>
      <c r="AN2" s="228">
        <v>44785</v>
      </c>
      <c r="AO2" s="228">
        <v>44788</v>
      </c>
      <c r="AP2" s="228">
        <v>44789</v>
      </c>
      <c r="AQ2" s="228">
        <v>44790</v>
      </c>
      <c r="AR2" s="228">
        <v>44791</v>
      </c>
      <c r="AS2" s="227" t="s">
        <v>27</v>
      </c>
      <c r="AT2" s="221" t="s">
        <v>90</v>
      </c>
      <c r="AU2" s="222" t="s">
        <v>71</v>
      </c>
      <c r="AV2" s="214" t="s">
        <v>88</v>
      </c>
      <c r="AW2" s="214" t="s">
        <v>89</v>
      </c>
      <c r="AX2" s="216"/>
      <c r="AY2" s="216"/>
      <c r="AZ2" s="216"/>
    </row>
    <row r="3" spans="1:52" ht="17.25" customHeight="1" x14ac:dyDescent="0.25">
      <c r="A3">
        <v>14.95</v>
      </c>
      <c r="B3">
        <v>13.57</v>
      </c>
      <c r="C3" s="355" t="s">
        <v>72</v>
      </c>
      <c r="D3" s="351">
        <v>7.2</v>
      </c>
      <c r="E3" s="209">
        <v>3.1</v>
      </c>
      <c r="F3" s="209">
        <v>14.65</v>
      </c>
      <c r="G3" s="209">
        <v>2.1</v>
      </c>
      <c r="H3" s="209">
        <v>4.7</v>
      </c>
      <c r="I3" s="209">
        <v>2</v>
      </c>
      <c r="J3" s="209">
        <v>4.9000000000000004</v>
      </c>
      <c r="K3" s="209">
        <v>4.7</v>
      </c>
      <c r="L3" s="209">
        <v>3.6</v>
      </c>
      <c r="M3" s="209">
        <v>7.6</v>
      </c>
      <c r="N3" s="209">
        <v>4.4000000000000004</v>
      </c>
      <c r="O3" s="209"/>
      <c r="P3" s="209"/>
      <c r="Q3" s="209">
        <v>2.95</v>
      </c>
      <c r="R3" s="209"/>
      <c r="S3" s="209">
        <v>2</v>
      </c>
      <c r="T3" s="209">
        <v>3.4</v>
      </c>
      <c r="U3" s="209">
        <v>2</v>
      </c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498">
        <f>SUM(D3:AR3)</f>
        <v>69.300000000000011</v>
      </c>
      <c r="AT3" s="78"/>
      <c r="AU3" s="27"/>
      <c r="AV3" s="217">
        <f>COUNT(D3:L3)</f>
        <v>9</v>
      </c>
      <c r="AW3" s="217">
        <f>COUNT(M5:Q5)</f>
        <v>1</v>
      </c>
      <c r="AZ3" s="216"/>
    </row>
    <row r="4" spans="1:52" ht="15.75" x14ac:dyDescent="0.25">
      <c r="B4">
        <v>2.71</v>
      </c>
      <c r="C4" s="356" t="s">
        <v>34</v>
      </c>
      <c r="D4" s="225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7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498">
        <f>SUM(D4:AR4)</f>
        <v>0</v>
      </c>
      <c r="AT4" s="78"/>
      <c r="AU4" s="223"/>
      <c r="AV4" s="218">
        <f>SUM(D6:L6)</f>
        <v>637.11149999999998</v>
      </c>
      <c r="AW4" s="218">
        <f>SUM(M6:Q6)</f>
        <v>243.55149999999998</v>
      </c>
      <c r="AZ4" s="216"/>
    </row>
    <row r="5" spans="1:52" ht="15.75" x14ac:dyDescent="0.25">
      <c r="A5">
        <v>2.4900000000000002</v>
      </c>
      <c r="B5">
        <v>2.2599999999999998</v>
      </c>
      <c r="C5" s="356" t="s">
        <v>1</v>
      </c>
      <c r="D5" s="225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>
        <v>18</v>
      </c>
      <c r="Q5" s="212"/>
      <c r="R5" s="212"/>
      <c r="S5" s="212">
        <v>32.44</v>
      </c>
      <c r="T5" s="212"/>
      <c r="U5" s="212">
        <v>9</v>
      </c>
      <c r="V5" s="212">
        <v>56.64</v>
      </c>
      <c r="W5" s="212">
        <v>65.98</v>
      </c>
      <c r="X5" s="212">
        <v>61.53</v>
      </c>
      <c r="Y5" s="212"/>
      <c r="Z5" s="212">
        <v>54.06</v>
      </c>
      <c r="AA5" s="212">
        <v>65.38</v>
      </c>
      <c r="AB5" s="212">
        <v>62.21</v>
      </c>
      <c r="AC5" s="212">
        <v>6.68</v>
      </c>
      <c r="AD5" s="212">
        <v>41.8</v>
      </c>
      <c r="AE5" s="212">
        <v>45.55</v>
      </c>
      <c r="AF5" s="212">
        <v>75.319999999999993</v>
      </c>
      <c r="AG5" s="212">
        <v>73.459999999999994</v>
      </c>
      <c r="AH5" s="212">
        <v>48.6</v>
      </c>
      <c r="AI5" s="212">
        <v>21.46</v>
      </c>
      <c r="AJ5" s="212">
        <v>42.94</v>
      </c>
      <c r="AK5" s="212">
        <v>34.43</v>
      </c>
      <c r="AL5" s="212">
        <v>26.16</v>
      </c>
      <c r="AM5" s="212">
        <v>8.86</v>
      </c>
      <c r="AN5" s="212"/>
      <c r="AO5" s="212"/>
      <c r="AP5" s="212"/>
      <c r="AQ5" s="212"/>
      <c r="AR5" s="212"/>
      <c r="AS5" s="498">
        <f>SUM(D5:AR5)</f>
        <v>850.49999999999989</v>
      </c>
      <c r="AT5" s="78"/>
      <c r="AU5" s="223"/>
      <c r="AX5" s="216"/>
      <c r="AZ5" s="216"/>
    </row>
    <row r="6" spans="1:52" ht="16.5" thickBot="1" x14ac:dyDescent="0.3">
      <c r="C6" s="357" t="s">
        <v>74</v>
      </c>
      <c r="D6" s="352">
        <f>D3*13.57+D4*2.71+D5*2.26</f>
        <v>97.704000000000008</v>
      </c>
      <c r="E6" s="352">
        <f t="shared" ref="E6:AB6" si="0">E3*13.57+E4*2.71+E5*2.26</f>
        <v>42.067</v>
      </c>
      <c r="F6" s="352">
        <f t="shared" si="0"/>
        <v>198.8005</v>
      </c>
      <c r="G6" s="352">
        <f t="shared" si="0"/>
        <v>28.497000000000003</v>
      </c>
      <c r="H6" s="352">
        <f t="shared" si="0"/>
        <v>63.779000000000003</v>
      </c>
      <c r="I6" s="352">
        <f t="shared" si="0"/>
        <v>27.14</v>
      </c>
      <c r="J6" s="352">
        <f t="shared" si="0"/>
        <v>66.493000000000009</v>
      </c>
      <c r="K6" s="352">
        <f t="shared" si="0"/>
        <v>63.779000000000003</v>
      </c>
      <c r="L6" s="352">
        <f t="shared" si="0"/>
        <v>48.852000000000004</v>
      </c>
      <c r="M6" s="352">
        <f t="shared" si="0"/>
        <v>103.13199999999999</v>
      </c>
      <c r="N6" s="352">
        <f t="shared" si="0"/>
        <v>59.708000000000006</v>
      </c>
      <c r="O6" s="352"/>
      <c r="P6" s="352">
        <f t="shared" si="0"/>
        <v>40.679999999999993</v>
      </c>
      <c r="Q6" s="352">
        <f t="shared" si="0"/>
        <v>40.031500000000001</v>
      </c>
      <c r="R6" s="352"/>
      <c r="S6" s="352">
        <f t="shared" si="0"/>
        <v>100.45439999999999</v>
      </c>
      <c r="T6" s="352">
        <f t="shared" si="0"/>
        <v>46.137999999999998</v>
      </c>
      <c r="U6" s="352">
        <f t="shared" si="0"/>
        <v>47.48</v>
      </c>
      <c r="V6" s="352">
        <f t="shared" si="0"/>
        <v>128.00639999999999</v>
      </c>
      <c r="W6" s="352">
        <f t="shared" si="0"/>
        <v>149.1148</v>
      </c>
      <c r="X6" s="352">
        <f t="shared" si="0"/>
        <v>139.05779999999999</v>
      </c>
      <c r="Y6" s="352">
        <f t="shared" si="0"/>
        <v>0</v>
      </c>
      <c r="Z6" s="352">
        <f t="shared" si="0"/>
        <v>122.17559999999999</v>
      </c>
      <c r="AA6" s="352">
        <f t="shared" si="0"/>
        <v>147.75879999999998</v>
      </c>
      <c r="AB6" s="352">
        <f t="shared" si="0"/>
        <v>140.59459999999999</v>
      </c>
      <c r="AC6" s="352">
        <f>AC3*14.95+AC4*2.99+AC5*2.49</f>
        <v>16.633200000000002</v>
      </c>
      <c r="AD6" s="352">
        <f t="shared" ref="AD6:AR6" si="1">AD3*14.95+AD4*2.99+AD5*2.49</f>
        <v>104.08200000000001</v>
      </c>
      <c r="AE6" s="352">
        <f t="shared" si="1"/>
        <v>113.4195</v>
      </c>
      <c r="AF6" s="352">
        <f t="shared" si="1"/>
        <v>187.54679999999999</v>
      </c>
      <c r="AG6" s="352">
        <f t="shared" si="1"/>
        <v>182.91540000000001</v>
      </c>
      <c r="AH6" s="352">
        <f t="shared" si="1"/>
        <v>121.01400000000001</v>
      </c>
      <c r="AI6" s="352">
        <f t="shared" si="1"/>
        <v>53.435400000000008</v>
      </c>
      <c r="AJ6" s="352">
        <f t="shared" si="1"/>
        <v>106.92060000000001</v>
      </c>
      <c r="AK6" s="352">
        <f t="shared" si="1"/>
        <v>85.730700000000013</v>
      </c>
      <c r="AL6" s="352">
        <f t="shared" si="1"/>
        <v>65.138400000000004</v>
      </c>
      <c r="AM6" s="352">
        <f t="shared" si="1"/>
        <v>22.061399999999999</v>
      </c>
      <c r="AN6" s="352">
        <f t="shared" si="1"/>
        <v>0</v>
      </c>
      <c r="AO6" s="352">
        <f t="shared" si="1"/>
        <v>0</v>
      </c>
      <c r="AP6" s="352"/>
      <c r="AQ6" s="352">
        <f t="shared" si="1"/>
        <v>0</v>
      </c>
      <c r="AR6" s="352">
        <f t="shared" si="1"/>
        <v>0</v>
      </c>
      <c r="AS6" s="507">
        <f>SUM(D6:AR6)</f>
        <v>2960.3407999999999</v>
      </c>
      <c r="AT6" s="224">
        <f>COUNT(D3:AR5)</f>
        <v>35</v>
      </c>
      <c r="AU6" s="213">
        <f>AS6/AT6</f>
        <v>84.581165714285717</v>
      </c>
      <c r="AV6" s="215">
        <f>AV4/AV3</f>
        <v>70.790166666666664</v>
      </c>
      <c r="AW6" s="215">
        <f>AW4/AW3</f>
        <v>243.55149999999998</v>
      </c>
      <c r="AX6" s="216"/>
      <c r="AY6" s="216"/>
      <c r="AZ6" s="216"/>
    </row>
    <row r="7" spans="1:52" ht="15.75" x14ac:dyDescent="0.25">
      <c r="A7">
        <v>14.11</v>
      </c>
      <c r="B7">
        <v>12.81</v>
      </c>
      <c r="C7" s="355" t="s">
        <v>73</v>
      </c>
      <c r="D7" s="351"/>
      <c r="E7" s="209"/>
      <c r="F7" s="209"/>
      <c r="G7" s="209"/>
      <c r="H7" s="209"/>
      <c r="I7" s="209"/>
      <c r="J7" s="209"/>
      <c r="K7" s="209"/>
      <c r="L7" s="209"/>
      <c r="M7" s="209">
        <v>0.2</v>
      </c>
      <c r="N7" s="209"/>
      <c r="O7" s="209"/>
      <c r="P7" s="209"/>
      <c r="Q7" s="209">
        <v>0.6</v>
      </c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498">
        <f t="shared" ref="AS7:AS8" si="2">SUM(D7:AR7)</f>
        <v>0.8</v>
      </c>
      <c r="AT7" s="78"/>
      <c r="AU7" s="27"/>
      <c r="AV7" s="217"/>
      <c r="AW7" s="217"/>
    </row>
    <row r="8" spans="1:52" ht="15.75" x14ac:dyDescent="0.25">
      <c r="B8">
        <v>2.56</v>
      </c>
      <c r="C8" s="356" t="s">
        <v>34</v>
      </c>
      <c r="D8" s="225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498">
        <f t="shared" si="2"/>
        <v>0</v>
      </c>
      <c r="AT8" s="78"/>
      <c r="AU8" s="223"/>
      <c r="AV8" s="217"/>
      <c r="AW8" s="217"/>
    </row>
    <row r="9" spans="1:52" ht="15.75" x14ac:dyDescent="0.25">
      <c r="A9">
        <v>2.35</v>
      </c>
      <c r="B9">
        <v>2.14</v>
      </c>
      <c r="C9" s="356" t="s">
        <v>1</v>
      </c>
      <c r="D9" s="225"/>
      <c r="E9" s="212"/>
      <c r="F9" s="212"/>
      <c r="G9" s="212"/>
      <c r="H9" s="212"/>
      <c r="I9" s="212"/>
      <c r="J9" s="212"/>
      <c r="K9" s="212"/>
      <c r="L9" s="212"/>
      <c r="M9" s="212">
        <v>11.4</v>
      </c>
      <c r="N9" s="212"/>
      <c r="O9" s="212">
        <v>29.72</v>
      </c>
      <c r="P9" s="212">
        <v>16.36</v>
      </c>
      <c r="Q9" s="212"/>
      <c r="R9" s="212"/>
      <c r="S9" s="212">
        <v>23.16</v>
      </c>
      <c r="T9" s="212"/>
      <c r="U9" s="212">
        <v>28.94</v>
      </c>
      <c r="V9" s="212">
        <v>55.34</v>
      </c>
      <c r="W9" s="212">
        <v>59.58</v>
      </c>
      <c r="X9" s="212">
        <v>55.69</v>
      </c>
      <c r="Y9" s="212"/>
      <c r="Z9" s="212">
        <v>45.23</v>
      </c>
      <c r="AA9" s="212">
        <v>56.2</v>
      </c>
      <c r="AB9" s="212">
        <v>53.47</v>
      </c>
      <c r="AC9" s="212">
        <v>8.08</v>
      </c>
      <c r="AD9" s="212">
        <v>46.54</v>
      </c>
      <c r="AE9" s="212">
        <v>38.67</v>
      </c>
      <c r="AF9" s="212">
        <v>63.88</v>
      </c>
      <c r="AG9" s="212">
        <v>33.25</v>
      </c>
      <c r="AH9" s="212">
        <v>30.1</v>
      </c>
      <c r="AI9" s="212">
        <v>24.94</v>
      </c>
      <c r="AJ9" s="212">
        <v>35.08</v>
      </c>
      <c r="AK9" s="212">
        <v>34.549999999999997</v>
      </c>
      <c r="AL9" s="212">
        <v>28.7</v>
      </c>
      <c r="AM9" s="212">
        <v>18.350000000000001</v>
      </c>
      <c r="AN9" s="212">
        <v>49.57</v>
      </c>
      <c r="AO9" s="212"/>
      <c r="AP9" s="212"/>
      <c r="AQ9" s="212"/>
      <c r="AR9" s="212"/>
      <c r="AS9" s="498">
        <f>SUM(D9:AR9)</f>
        <v>846.80000000000018</v>
      </c>
      <c r="AT9" s="78"/>
      <c r="AU9" s="223"/>
      <c r="AV9" s="217"/>
      <c r="AW9" s="217"/>
    </row>
    <row r="10" spans="1:52" ht="16.5" thickBot="1" x14ac:dyDescent="0.3">
      <c r="C10" s="357" t="s">
        <v>75</v>
      </c>
      <c r="D10" s="352"/>
      <c r="E10" s="210"/>
      <c r="F10" s="210"/>
      <c r="G10" s="210"/>
      <c r="H10" s="210"/>
      <c r="I10" s="210"/>
      <c r="J10" s="210"/>
      <c r="K10" s="210"/>
      <c r="L10" s="210"/>
      <c r="M10" s="210">
        <f>M7*B7+M9*4.27</f>
        <v>51.239999999999995</v>
      </c>
      <c r="N10" s="210"/>
      <c r="O10" s="210">
        <f>O9*2.14</f>
        <v>63.6008</v>
      </c>
      <c r="P10" s="210">
        <f>P9*2.14</f>
        <v>35.010400000000004</v>
      </c>
      <c r="Q10" s="210">
        <f t="shared" ref="Q10:AB10" si="3">Q7*12.81+Q8*2.56+Q9*2.14</f>
        <v>7.6859999999999999</v>
      </c>
      <c r="R10" s="210"/>
      <c r="S10" s="210">
        <f t="shared" si="3"/>
        <v>49.562400000000004</v>
      </c>
      <c r="T10" s="210"/>
      <c r="U10" s="210">
        <f t="shared" si="3"/>
        <v>61.931600000000003</v>
      </c>
      <c r="V10" s="210">
        <f t="shared" si="3"/>
        <v>118.42760000000001</v>
      </c>
      <c r="W10" s="210">
        <f t="shared" si="3"/>
        <v>127.5012</v>
      </c>
      <c r="X10" s="210">
        <f t="shared" si="3"/>
        <v>119.17660000000001</v>
      </c>
      <c r="Y10" s="210">
        <f t="shared" si="3"/>
        <v>0</v>
      </c>
      <c r="Z10" s="210">
        <f t="shared" si="3"/>
        <v>96.792199999999994</v>
      </c>
      <c r="AA10" s="210">
        <f t="shared" si="3"/>
        <v>120.26800000000001</v>
      </c>
      <c r="AB10" s="210">
        <f t="shared" si="3"/>
        <v>114.42580000000001</v>
      </c>
      <c r="AC10" s="210">
        <f>AC7*A7+A9*AC9</f>
        <v>18.988</v>
      </c>
      <c r="AD10" s="210">
        <f>AD7*14.11+AD9*2.35</f>
        <v>109.369</v>
      </c>
      <c r="AE10" s="210">
        <f t="shared" ref="AE10:AR10" si="4">AE7*14.11+AE9*2.35</f>
        <v>90.874500000000012</v>
      </c>
      <c r="AF10" s="210">
        <f t="shared" si="4"/>
        <v>150.11800000000002</v>
      </c>
      <c r="AG10" s="210">
        <f t="shared" si="4"/>
        <v>78.137500000000003</v>
      </c>
      <c r="AH10" s="210">
        <f t="shared" si="4"/>
        <v>70.734999999999999</v>
      </c>
      <c r="AI10" s="210">
        <f t="shared" si="4"/>
        <v>58.609000000000002</v>
      </c>
      <c r="AJ10" s="210">
        <f t="shared" si="4"/>
        <v>82.438000000000002</v>
      </c>
      <c r="AK10" s="210">
        <f t="shared" si="4"/>
        <v>81.192499999999995</v>
      </c>
      <c r="AL10" s="210">
        <f t="shared" si="4"/>
        <v>67.445000000000007</v>
      </c>
      <c r="AM10" s="210">
        <f t="shared" si="4"/>
        <v>43.122500000000002</v>
      </c>
      <c r="AN10" s="210">
        <f t="shared" si="4"/>
        <v>116.48950000000001</v>
      </c>
      <c r="AO10" s="210">
        <f t="shared" si="4"/>
        <v>0</v>
      </c>
      <c r="AP10" s="210"/>
      <c r="AQ10" s="210">
        <f t="shared" si="4"/>
        <v>0</v>
      </c>
      <c r="AR10" s="210">
        <f t="shared" si="4"/>
        <v>0</v>
      </c>
      <c r="AS10" s="507">
        <f>SUM(D10:AR10)</f>
        <v>1933.1410999999998</v>
      </c>
      <c r="AT10" s="224">
        <f>COUNT(D7:AR9)</f>
        <v>25</v>
      </c>
      <c r="AU10" s="213">
        <f>AS10/AT10</f>
        <v>77.325643999999997</v>
      </c>
      <c r="AV10" s="211"/>
    </row>
    <row r="11" spans="1:52" ht="15.75" x14ac:dyDescent="0.25">
      <c r="A11">
        <v>14.11</v>
      </c>
      <c r="B11">
        <v>12.81</v>
      </c>
      <c r="C11" s="355" t="s">
        <v>76</v>
      </c>
      <c r="D11" s="351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>
        <v>0</v>
      </c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498">
        <f t="shared" ref="AS11:AS12" si="5">SUM(D11:AR11)</f>
        <v>0</v>
      </c>
      <c r="AT11" s="78"/>
      <c r="AU11" s="27"/>
      <c r="AV11" s="217"/>
      <c r="AW11" s="217"/>
    </row>
    <row r="12" spans="1:52" ht="15.75" x14ac:dyDescent="0.25">
      <c r="B12">
        <v>2.56</v>
      </c>
      <c r="C12" s="356" t="s">
        <v>34</v>
      </c>
      <c r="D12" s="225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7"/>
      <c r="R12" s="212"/>
      <c r="S12" s="212"/>
      <c r="T12" s="212"/>
      <c r="U12" s="212">
        <v>31.1</v>
      </c>
      <c r="V12" s="212"/>
      <c r="W12" s="212"/>
      <c r="X12" s="212"/>
      <c r="Y12" s="212">
        <v>43.2</v>
      </c>
      <c r="Z12" s="212">
        <v>68.3</v>
      </c>
      <c r="AA12" s="212">
        <v>59</v>
      </c>
      <c r="AB12" s="212">
        <v>73.099999999999994</v>
      </c>
      <c r="AC12" s="212"/>
      <c r="AD12" s="212"/>
      <c r="AE12" s="212"/>
      <c r="AF12" s="212">
        <v>0</v>
      </c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212"/>
      <c r="AS12" s="498">
        <f t="shared" si="5"/>
        <v>274.70000000000005</v>
      </c>
      <c r="AT12" s="78"/>
      <c r="AU12" s="223"/>
      <c r="AV12" s="217"/>
      <c r="AW12" s="217"/>
    </row>
    <row r="13" spans="1:52" ht="15.75" x14ac:dyDescent="0.25">
      <c r="A13">
        <v>2.35</v>
      </c>
      <c r="B13">
        <v>2.14</v>
      </c>
      <c r="C13" s="356" t="s">
        <v>1</v>
      </c>
      <c r="D13" s="225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>
        <v>34.22</v>
      </c>
      <c r="P13" s="212">
        <v>11.9</v>
      </c>
      <c r="Q13" s="212">
        <v>29</v>
      </c>
      <c r="R13" s="212"/>
      <c r="S13" s="212">
        <v>56.67</v>
      </c>
      <c r="T13" s="212"/>
      <c r="U13" s="212"/>
      <c r="V13" s="212">
        <v>52.2</v>
      </c>
      <c r="W13" s="212">
        <v>71.8</v>
      </c>
      <c r="X13" s="212">
        <v>57.07</v>
      </c>
      <c r="Y13" s="212"/>
      <c r="Z13" s="212"/>
      <c r="AA13" s="212"/>
      <c r="AB13" s="212"/>
      <c r="AC13" s="212">
        <v>20.65</v>
      </c>
      <c r="AD13" s="212">
        <v>53.43</v>
      </c>
      <c r="AE13" s="212">
        <v>48.02</v>
      </c>
      <c r="AF13" s="212">
        <v>3.8</v>
      </c>
      <c r="AG13" s="349">
        <v>84.52</v>
      </c>
      <c r="AH13" s="349">
        <v>52.99</v>
      </c>
      <c r="AI13" s="349">
        <v>22.06</v>
      </c>
      <c r="AJ13" s="349">
        <v>31.9</v>
      </c>
      <c r="AK13" s="349">
        <v>19.510000000000002</v>
      </c>
      <c r="AL13" s="349">
        <v>33.54</v>
      </c>
      <c r="AM13" s="349">
        <v>9.6199999999999992</v>
      </c>
      <c r="AN13" s="349">
        <v>48.56</v>
      </c>
      <c r="AO13" s="349"/>
      <c r="AP13" s="349"/>
      <c r="AQ13" s="349"/>
      <c r="AR13" s="349"/>
      <c r="AS13" s="498">
        <f>SUM(D13:AR13)</f>
        <v>741.45999999999981</v>
      </c>
      <c r="AT13" s="78"/>
      <c r="AU13" s="223"/>
      <c r="AV13" s="217"/>
      <c r="AW13" s="217"/>
    </row>
    <row r="14" spans="1:52" ht="16.5" thickBot="1" x14ac:dyDescent="0.3">
      <c r="C14" s="357" t="s">
        <v>75</v>
      </c>
      <c r="D14" s="352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>
        <f t="shared" ref="O14:AB14" si="6">O11*12.81+O12*2.56+O13*2.14</f>
        <v>73.230800000000002</v>
      </c>
      <c r="P14" s="210">
        <f t="shared" si="6"/>
        <v>25.466000000000001</v>
      </c>
      <c r="Q14" s="210">
        <f t="shared" si="6"/>
        <v>62.06</v>
      </c>
      <c r="R14" s="210"/>
      <c r="S14" s="210">
        <f t="shared" si="6"/>
        <v>121.27380000000001</v>
      </c>
      <c r="T14" s="210"/>
      <c r="U14" s="210">
        <f t="shared" si="6"/>
        <v>79.616</v>
      </c>
      <c r="V14" s="210">
        <f t="shared" si="6"/>
        <v>111.70800000000001</v>
      </c>
      <c r="W14" s="210">
        <f t="shared" si="6"/>
        <v>153.65200000000002</v>
      </c>
      <c r="X14" s="210">
        <f t="shared" si="6"/>
        <v>122.1298</v>
      </c>
      <c r="Y14" s="210">
        <f t="shared" si="6"/>
        <v>110.59200000000001</v>
      </c>
      <c r="Z14" s="210">
        <f t="shared" si="6"/>
        <v>174.84799999999998</v>
      </c>
      <c r="AA14" s="210">
        <f t="shared" si="6"/>
        <v>151.04</v>
      </c>
      <c r="AB14" s="210">
        <f t="shared" si="6"/>
        <v>187.136</v>
      </c>
      <c r="AC14" s="210">
        <f>AC13*2.35+AC11*14.11</f>
        <v>48.527499999999996</v>
      </c>
      <c r="AD14" s="210">
        <f t="shared" ref="AD14:AN14" si="7">AD13*2.35+AD11*14.11</f>
        <v>125.5605</v>
      </c>
      <c r="AE14" s="210">
        <f t="shared" si="7"/>
        <v>112.84700000000001</v>
      </c>
      <c r="AF14" s="210">
        <f t="shared" si="7"/>
        <v>8.93</v>
      </c>
      <c r="AG14" s="210">
        <f t="shared" si="7"/>
        <v>198.62199999999999</v>
      </c>
      <c r="AH14" s="210">
        <f t="shared" si="7"/>
        <v>124.52650000000001</v>
      </c>
      <c r="AI14" s="210">
        <f t="shared" si="7"/>
        <v>51.841000000000001</v>
      </c>
      <c r="AJ14" s="210">
        <f t="shared" si="7"/>
        <v>74.965000000000003</v>
      </c>
      <c r="AK14" s="210">
        <f t="shared" si="7"/>
        <v>45.848500000000008</v>
      </c>
      <c r="AL14" s="210">
        <f t="shared" si="7"/>
        <v>78.819000000000003</v>
      </c>
      <c r="AM14" s="210">
        <f t="shared" si="7"/>
        <v>22.606999999999999</v>
      </c>
      <c r="AN14" s="210">
        <f t="shared" si="7"/>
        <v>114.11600000000001</v>
      </c>
      <c r="AO14" s="210">
        <f>AO13*4.59</f>
        <v>0</v>
      </c>
      <c r="AP14" s="210">
        <f t="shared" ref="AP14:AR14" si="8">AP13*4.59</f>
        <v>0</v>
      </c>
      <c r="AQ14" s="210">
        <f t="shared" si="8"/>
        <v>0</v>
      </c>
      <c r="AR14" s="210">
        <f t="shared" si="8"/>
        <v>0</v>
      </c>
      <c r="AS14" s="507">
        <f>SUM(D14:AR14)</f>
        <v>2379.9623999999999</v>
      </c>
      <c r="AT14" s="224">
        <f>COUNT(D11:AR13)</f>
        <v>26</v>
      </c>
      <c r="AU14" s="213">
        <f>AS14/AT14</f>
        <v>91.537015384615387</v>
      </c>
      <c r="AV14" s="211"/>
    </row>
    <row r="15" spans="1:52" ht="15.75" x14ac:dyDescent="0.25">
      <c r="A15">
        <v>13.76</v>
      </c>
      <c r="B15">
        <v>12.49</v>
      </c>
      <c r="C15" s="355" t="s">
        <v>77</v>
      </c>
      <c r="D15" s="351">
        <v>10.4</v>
      </c>
      <c r="E15" s="209">
        <v>2.8</v>
      </c>
      <c r="F15" s="209">
        <v>17.100000000000001</v>
      </c>
      <c r="G15" s="209">
        <v>3.5</v>
      </c>
      <c r="H15" s="209">
        <v>6.9</v>
      </c>
      <c r="I15" s="209">
        <v>2.1</v>
      </c>
      <c r="J15" s="209">
        <v>4.9000000000000004</v>
      </c>
      <c r="K15" s="209">
        <v>5.8</v>
      </c>
      <c r="L15" s="209">
        <v>3.9</v>
      </c>
      <c r="M15" s="209">
        <v>8.8000000000000007</v>
      </c>
      <c r="N15" s="209">
        <v>4.7</v>
      </c>
      <c r="O15" s="209"/>
      <c r="P15" s="209"/>
      <c r="Q15" s="209">
        <v>3.7</v>
      </c>
      <c r="R15" s="209"/>
      <c r="S15" s="209"/>
      <c r="T15" s="209">
        <v>11</v>
      </c>
      <c r="U15" s="209">
        <v>12</v>
      </c>
      <c r="V15" s="209"/>
      <c r="W15" s="209"/>
      <c r="X15" s="209"/>
      <c r="Y15" s="209"/>
      <c r="Z15" s="209"/>
      <c r="AA15" s="209">
        <v>3.9</v>
      </c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498">
        <f t="shared" ref="AS15:AS16" si="9">SUM(D15:AR15)</f>
        <v>101.5</v>
      </c>
      <c r="AT15" s="78"/>
      <c r="AU15" s="27"/>
      <c r="AV15" s="229">
        <f>COUNT(D15:P15)-0.5</f>
        <v>10.5</v>
      </c>
      <c r="AW15" s="229">
        <f>COUNT(N17:Q17)-0.5</f>
        <v>0.5</v>
      </c>
    </row>
    <row r="16" spans="1:52" ht="15.75" x14ac:dyDescent="0.25">
      <c r="B16">
        <v>2.5</v>
      </c>
      <c r="C16" s="356" t="s">
        <v>34</v>
      </c>
      <c r="D16" s="225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7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498">
        <f t="shared" si="9"/>
        <v>0</v>
      </c>
      <c r="AT16" s="78"/>
      <c r="AU16" s="223"/>
      <c r="AV16" s="218">
        <f>SUM(D18:L18)+15.9*10.99</f>
        <v>891.66700000000014</v>
      </c>
      <c r="AW16" s="218">
        <f>N18+O18+Q18+12.98*1.83</f>
        <v>128.6694</v>
      </c>
    </row>
    <row r="17" spans="1:49" ht="15.75" x14ac:dyDescent="0.25">
      <c r="A17">
        <v>2.29</v>
      </c>
      <c r="B17">
        <v>2.08</v>
      </c>
      <c r="C17" s="356" t="s">
        <v>1</v>
      </c>
      <c r="D17" s="225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>
        <v>9.6</v>
      </c>
      <c r="Q17" s="212"/>
      <c r="R17" s="212"/>
      <c r="S17" s="212">
        <v>51.87</v>
      </c>
      <c r="T17" s="212"/>
      <c r="U17" s="212"/>
      <c r="V17" s="212">
        <v>51.77</v>
      </c>
      <c r="W17" s="212">
        <v>86.44</v>
      </c>
      <c r="X17" s="212">
        <v>83.22</v>
      </c>
      <c r="Y17" s="212"/>
      <c r="Z17" s="212">
        <v>82.34</v>
      </c>
      <c r="AA17" s="212">
        <v>45.7</v>
      </c>
      <c r="AB17" s="212">
        <v>81.97</v>
      </c>
      <c r="AC17" s="212">
        <v>22.4</v>
      </c>
      <c r="AD17" s="212">
        <v>50.75</v>
      </c>
      <c r="AE17" s="212">
        <v>100.4</v>
      </c>
      <c r="AF17" s="212">
        <v>113.68</v>
      </c>
      <c r="AG17" s="212">
        <v>71.86</v>
      </c>
      <c r="AH17" s="212">
        <v>55.18</v>
      </c>
      <c r="AI17" s="212"/>
      <c r="AJ17" s="349">
        <v>55.53</v>
      </c>
      <c r="AK17" s="212">
        <v>46.82</v>
      </c>
      <c r="AL17" s="212">
        <v>19.079999999999998</v>
      </c>
      <c r="AM17" s="212">
        <v>31.25</v>
      </c>
      <c r="AN17" s="212">
        <v>81.05</v>
      </c>
      <c r="AO17" s="212">
        <v>1</v>
      </c>
      <c r="AP17" s="212">
        <v>55.45</v>
      </c>
      <c r="AQ17" s="212">
        <v>29.2</v>
      </c>
      <c r="AR17" s="212">
        <v>14.6</v>
      </c>
      <c r="AS17" s="498">
        <f>SUM(D17:AR17)</f>
        <v>1241.1599999999999</v>
      </c>
      <c r="AT17" s="78"/>
      <c r="AU17" s="27"/>
    </row>
    <row r="18" spans="1:49" ht="16.5" thickBot="1" x14ac:dyDescent="0.3">
      <c r="C18" s="357" t="s">
        <v>75</v>
      </c>
      <c r="D18" s="352">
        <f>D15*12.49+D16*2.5+D17*2.08</f>
        <v>129.89600000000002</v>
      </c>
      <c r="E18" s="210">
        <f t="shared" ref="E18:AB18" si="10">E15*12.49+E16*2.5+E17*2.08</f>
        <v>34.972000000000001</v>
      </c>
      <c r="F18" s="210">
        <f t="shared" si="10"/>
        <v>213.57900000000001</v>
      </c>
      <c r="G18" s="210">
        <f t="shared" si="10"/>
        <v>43.715000000000003</v>
      </c>
      <c r="H18" s="210">
        <f t="shared" si="10"/>
        <v>86.181000000000012</v>
      </c>
      <c r="I18" s="210">
        <f t="shared" si="10"/>
        <v>26.229000000000003</v>
      </c>
      <c r="J18" s="210">
        <f t="shared" si="10"/>
        <v>61.201000000000008</v>
      </c>
      <c r="K18" s="210">
        <f t="shared" si="10"/>
        <v>72.441999999999993</v>
      </c>
      <c r="L18" s="210">
        <f t="shared" si="10"/>
        <v>48.710999999999999</v>
      </c>
      <c r="M18" s="210">
        <f t="shared" si="10"/>
        <v>109.91200000000001</v>
      </c>
      <c r="N18" s="210">
        <f t="shared" si="10"/>
        <v>58.703000000000003</v>
      </c>
      <c r="O18" s="210">
        <f t="shared" si="10"/>
        <v>0</v>
      </c>
      <c r="P18" s="210">
        <f t="shared" si="10"/>
        <v>19.968</v>
      </c>
      <c r="Q18" s="210">
        <f t="shared" si="10"/>
        <v>46.213000000000001</v>
      </c>
      <c r="R18" s="210"/>
      <c r="S18" s="210">
        <f t="shared" si="10"/>
        <v>107.8896</v>
      </c>
      <c r="T18" s="210">
        <f t="shared" si="10"/>
        <v>137.39000000000001</v>
      </c>
      <c r="U18" s="210">
        <f t="shared" si="10"/>
        <v>149.88</v>
      </c>
      <c r="V18" s="210">
        <f t="shared" si="10"/>
        <v>107.6816</v>
      </c>
      <c r="W18" s="210">
        <f t="shared" si="10"/>
        <v>179.79519999999999</v>
      </c>
      <c r="X18" s="210">
        <f t="shared" si="10"/>
        <v>173.0976</v>
      </c>
      <c r="Y18" s="210">
        <f t="shared" si="10"/>
        <v>0</v>
      </c>
      <c r="Z18" s="210">
        <f t="shared" si="10"/>
        <v>171.2672</v>
      </c>
      <c r="AA18" s="210">
        <f t="shared" si="10"/>
        <v>143.767</v>
      </c>
      <c r="AB18" s="210">
        <f t="shared" si="10"/>
        <v>170.49760000000001</v>
      </c>
      <c r="AC18" s="210">
        <f>AC17*2.29+AC15*13.76</f>
        <v>51.295999999999999</v>
      </c>
      <c r="AD18" s="210">
        <f t="shared" ref="AD18:AN18" si="11">AD17*2.29+AD15*13.76</f>
        <v>116.2175</v>
      </c>
      <c r="AE18" s="210">
        <f t="shared" si="11"/>
        <v>229.91600000000003</v>
      </c>
      <c r="AF18" s="210">
        <f t="shared" si="11"/>
        <v>260.3272</v>
      </c>
      <c r="AG18" s="210">
        <f t="shared" si="11"/>
        <v>164.55940000000001</v>
      </c>
      <c r="AH18" s="210">
        <f t="shared" si="11"/>
        <v>126.3622</v>
      </c>
      <c r="AI18" s="210">
        <f t="shared" si="11"/>
        <v>0</v>
      </c>
      <c r="AJ18" s="210">
        <f t="shared" si="11"/>
        <v>127.16370000000001</v>
      </c>
      <c r="AK18" s="210">
        <f t="shared" si="11"/>
        <v>107.2178</v>
      </c>
      <c r="AL18" s="210">
        <f t="shared" si="11"/>
        <v>43.693199999999997</v>
      </c>
      <c r="AM18" s="210">
        <f t="shared" si="11"/>
        <v>71.5625</v>
      </c>
      <c r="AN18" s="210">
        <f t="shared" si="11"/>
        <v>185.6045</v>
      </c>
      <c r="AO18" s="210">
        <f>AO17*4.59</f>
        <v>4.59</v>
      </c>
      <c r="AP18" s="210">
        <f>AP17*4.59</f>
        <v>254.5155</v>
      </c>
      <c r="AQ18" s="210">
        <f t="shared" ref="AQ18:AR18" si="12">AQ17*4.59</f>
        <v>134.02799999999999</v>
      </c>
      <c r="AR18" s="210">
        <f t="shared" si="12"/>
        <v>67.013999999999996</v>
      </c>
      <c r="AS18" s="507">
        <f>SUM(D18:AR18)</f>
        <v>4237.0553000000009</v>
      </c>
      <c r="AT18" s="224">
        <f>COUNT(D15:AR17)-1</f>
        <v>37</v>
      </c>
      <c r="AU18" s="213">
        <f>AS18/AT18</f>
        <v>114.51500810810813</v>
      </c>
      <c r="AV18" s="215">
        <f>AV16/AV15</f>
        <v>84.920666666666676</v>
      </c>
      <c r="AW18" s="215">
        <f>AW16/AW15</f>
        <v>257.33879999999999</v>
      </c>
    </row>
    <row r="19" spans="1:49" ht="15.75" x14ac:dyDescent="0.25">
      <c r="A19">
        <v>13.76</v>
      </c>
      <c r="B19">
        <v>12.49</v>
      </c>
      <c r="C19" s="355" t="s">
        <v>168</v>
      </c>
      <c r="D19" s="351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498">
        <f t="shared" ref="AS19:AS20" si="13">SUM(D19:AR19)</f>
        <v>0</v>
      </c>
      <c r="AT19" s="78"/>
      <c r="AU19" s="27"/>
      <c r="AV19" s="217"/>
      <c r="AW19" s="217"/>
    </row>
    <row r="20" spans="1:49" ht="15.75" x14ac:dyDescent="0.25">
      <c r="B20">
        <v>2.5</v>
      </c>
      <c r="C20" s="356" t="s">
        <v>34</v>
      </c>
      <c r="D20" s="225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7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498">
        <f t="shared" si="13"/>
        <v>0</v>
      </c>
      <c r="AT20" s="78"/>
      <c r="AU20" s="223"/>
      <c r="AV20" s="217"/>
      <c r="AW20" s="217"/>
    </row>
    <row r="21" spans="1:49" ht="15.75" x14ac:dyDescent="0.25">
      <c r="A21">
        <v>2.29</v>
      </c>
      <c r="B21">
        <v>2.08</v>
      </c>
      <c r="C21" s="356" t="s">
        <v>1</v>
      </c>
      <c r="D21" s="225"/>
      <c r="E21" s="212"/>
      <c r="F21" s="212"/>
      <c r="G21" s="212"/>
      <c r="H21" s="212"/>
      <c r="I21" s="212">
        <v>30.76</v>
      </c>
      <c r="J21" s="212"/>
      <c r="K21" s="212"/>
      <c r="L21" s="212"/>
      <c r="M21" s="212"/>
      <c r="N21" s="212"/>
      <c r="O21" s="212">
        <v>29.42</v>
      </c>
      <c r="P21" s="212">
        <v>18.52</v>
      </c>
      <c r="Q21" s="212">
        <v>28</v>
      </c>
      <c r="R21" s="212">
        <v>4.5</v>
      </c>
      <c r="S21" s="212">
        <v>17.37</v>
      </c>
      <c r="T21" s="212">
        <v>23.02</v>
      </c>
      <c r="U21" s="212">
        <v>45.62</v>
      </c>
      <c r="V21" s="212">
        <v>41.4</v>
      </c>
      <c r="W21" s="212">
        <v>66.16</v>
      </c>
      <c r="X21" s="212">
        <v>52.76</v>
      </c>
      <c r="Y21" s="212"/>
      <c r="Z21" s="212">
        <v>71.459999999999994</v>
      </c>
      <c r="AA21" s="212">
        <v>53.94</v>
      </c>
      <c r="AB21" s="212">
        <v>54.56</v>
      </c>
      <c r="AC21" s="212">
        <v>14.7</v>
      </c>
      <c r="AD21" s="212">
        <v>47.48</v>
      </c>
      <c r="AE21" s="212">
        <v>32.56</v>
      </c>
      <c r="AF21" s="212">
        <v>18.14</v>
      </c>
      <c r="AG21" s="212"/>
      <c r="AH21" s="212">
        <v>55.54</v>
      </c>
      <c r="AI21" s="212">
        <v>17.8</v>
      </c>
      <c r="AJ21" s="212">
        <v>35.4</v>
      </c>
      <c r="AK21" s="212">
        <v>38.619999999999997</v>
      </c>
      <c r="AL21" s="212">
        <v>15.38</v>
      </c>
      <c r="AM21" s="212">
        <v>14.1</v>
      </c>
      <c r="AN21" s="212">
        <v>44.46</v>
      </c>
      <c r="AO21" s="212"/>
      <c r="AP21" s="212"/>
      <c r="AQ21" s="212"/>
      <c r="AR21" s="212"/>
      <c r="AS21" s="498">
        <f>SUM(D21:AR21)</f>
        <v>871.67</v>
      </c>
      <c r="AT21" s="78"/>
      <c r="AU21" s="223"/>
      <c r="AV21" s="217"/>
      <c r="AW21" s="217"/>
    </row>
    <row r="22" spans="1:49" ht="16.5" thickBot="1" x14ac:dyDescent="0.3">
      <c r="C22" s="357" t="s">
        <v>75</v>
      </c>
      <c r="D22" s="352"/>
      <c r="E22" s="210"/>
      <c r="F22" s="210"/>
      <c r="G22" s="210"/>
      <c r="H22" s="210"/>
      <c r="I22" s="210">
        <f>I21*$B$21</f>
        <v>63.980800000000002</v>
      </c>
      <c r="J22" s="210"/>
      <c r="K22" s="210"/>
      <c r="L22" s="210"/>
      <c r="M22" s="210"/>
      <c r="N22" s="210"/>
      <c r="O22" s="210">
        <f t="shared" ref="O22:AB22" si="14">O21*$B$21</f>
        <v>61.193600000000004</v>
      </c>
      <c r="P22" s="210">
        <f t="shared" si="14"/>
        <v>38.521599999999999</v>
      </c>
      <c r="Q22" s="210">
        <f t="shared" si="14"/>
        <v>58.24</v>
      </c>
      <c r="R22" s="210">
        <f t="shared" si="14"/>
        <v>9.36</v>
      </c>
      <c r="S22" s="210">
        <f t="shared" si="14"/>
        <v>36.129600000000003</v>
      </c>
      <c r="T22" s="210">
        <f t="shared" si="14"/>
        <v>47.881599999999999</v>
      </c>
      <c r="U22" s="210">
        <f t="shared" si="14"/>
        <v>94.889600000000002</v>
      </c>
      <c r="V22" s="210">
        <f t="shared" si="14"/>
        <v>86.111999999999995</v>
      </c>
      <c r="W22" s="210">
        <f t="shared" si="14"/>
        <v>137.61279999999999</v>
      </c>
      <c r="X22" s="210">
        <f t="shared" si="14"/>
        <v>109.74079999999999</v>
      </c>
      <c r="Y22" s="210">
        <f t="shared" si="14"/>
        <v>0</v>
      </c>
      <c r="Z22" s="210">
        <f t="shared" si="14"/>
        <v>148.63679999999999</v>
      </c>
      <c r="AA22" s="210">
        <f t="shared" si="14"/>
        <v>112.1952</v>
      </c>
      <c r="AB22" s="210">
        <f t="shared" si="14"/>
        <v>113.48480000000001</v>
      </c>
      <c r="AC22" s="210">
        <f>AC21*2.29+AC19*13.76</f>
        <v>33.662999999999997</v>
      </c>
      <c r="AD22" s="210">
        <f t="shared" ref="AD22:AR22" si="15">AD21*2.29+AD19*13.76</f>
        <v>108.72919999999999</v>
      </c>
      <c r="AE22" s="210">
        <f t="shared" si="15"/>
        <v>74.562400000000011</v>
      </c>
      <c r="AF22" s="210">
        <f t="shared" si="15"/>
        <v>41.540600000000005</v>
      </c>
      <c r="AG22" s="210">
        <f t="shared" si="15"/>
        <v>0</v>
      </c>
      <c r="AH22" s="210">
        <f t="shared" si="15"/>
        <v>127.1866</v>
      </c>
      <c r="AI22" s="210">
        <f t="shared" si="15"/>
        <v>40.762</v>
      </c>
      <c r="AJ22" s="210">
        <f t="shared" si="15"/>
        <v>81.066000000000003</v>
      </c>
      <c r="AK22" s="210">
        <f t="shared" si="15"/>
        <v>88.439799999999991</v>
      </c>
      <c r="AL22" s="210">
        <f t="shared" si="15"/>
        <v>35.220200000000006</v>
      </c>
      <c r="AM22" s="210">
        <f t="shared" si="15"/>
        <v>32.289000000000001</v>
      </c>
      <c r="AN22" s="210">
        <f t="shared" si="15"/>
        <v>101.8134</v>
      </c>
      <c r="AO22" s="210">
        <f t="shared" si="15"/>
        <v>0</v>
      </c>
      <c r="AP22" s="210"/>
      <c r="AQ22" s="210">
        <f t="shared" si="15"/>
        <v>0</v>
      </c>
      <c r="AR22" s="210">
        <f t="shared" si="15"/>
        <v>0</v>
      </c>
      <c r="AS22" s="507">
        <f>SUM(D22:AR22)</f>
        <v>1883.2514000000001</v>
      </c>
      <c r="AT22" s="224">
        <f>COUNT(D19:AR21)</f>
        <v>25</v>
      </c>
      <c r="AU22" s="213">
        <f>AS22/AT22</f>
        <v>75.330055999999999</v>
      </c>
      <c r="AV22" s="211"/>
    </row>
    <row r="23" spans="1:49" ht="15.75" x14ac:dyDescent="0.25">
      <c r="A23">
        <v>13.76</v>
      </c>
      <c r="B23">
        <v>12.49</v>
      </c>
      <c r="C23" s="355" t="s">
        <v>78</v>
      </c>
      <c r="D23" s="351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  <c r="AQ23" s="348"/>
      <c r="AR23" s="348"/>
      <c r="AS23" s="498">
        <f t="shared" ref="AS23:AS24" si="16">SUM(D23:AR23)</f>
        <v>0</v>
      </c>
      <c r="AT23" s="78"/>
      <c r="AU23" s="27"/>
      <c r="AV23" s="217"/>
      <c r="AW23" s="217"/>
    </row>
    <row r="24" spans="1:49" ht="15.75" x14ac:dyDescent="0.25">
      <c r="B24">
        <v>2.5</v>
      </c>
      <c r="C24" s="356" t="s">
        <v>34</v>
      </c>
      <c r="D24" s="225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7"/>
      <c r="R24" s="212"/>
      <c r="S24" s="212"/>
      <c r="T24" s="212"/>
      <c r="U24" s="212"/>
      <c r="V24" s="212"/>
      <c r="W24" s="212"/>
      <c r="X24" s="212">
        <v>36.700000000000003</v>
      </c>
      <c r="Y24" s="212">
        <v>30.8</v>
      </c>
      <c r="Z24" s="212">
        <v>49</v>
      </c>
      <c r="AA24" s="212">
        <v>47.4</v>
      </c>
      <c r="AB24" s="212">
        <v>65.7</v>
      </c>
      <c r="AC24" s="212"/>
      <c r="AD24" s="212"/>
      <c r="AE24" s="212"/>
      <c r="AF24" s="212"/>
      <c r="AG24" s="349"/>
      <c r="AH24" s="349"/>
      <c r="AI24" s="349"/>
      <c r="AJ24" s="349"/>
      <c r="AK24" s="349"/>
      <c r="AL24" s="349"/>
      <c r="AM24" s="349"/>
      <c r="AN24" s="349"/>
      <c r="AO24" s="349"/>
      <c r="AP24" s="349"/>
      <c r="AQ24" s="349"/>
      <c r="AR24" s="349"/>
      <c r="AS24" s="498">
        <f t="shared" si="16"/>
        <v>229.60000000000002</v>
      </c>
      <c r="AT24" s="78"/>
      <c r="AU24" s="223"/>
      <c r="AV24" s="217"/>
      <c r="AW24" s="217"/>
    </row>
    <row r="25" spans="1:49" ht="15.75" x14ac:dyDescent="0.25">
      <c r="A25">
        <v>2.29</v>
      </c>
      <c r="B25">
        <v>2.08</v>
      </c>
      <c r="C25" s="356" t="s">
        <v>1</v>
      </c>
      <c r="D25" s="225"/>
      <c r="E25" s="212"/>
      <c r="F25" s="212"/>
      <c r="G25" s="212"/>
      <c r="H25" s="212"/>
      <c r="I25" s="212">
        <v>41.72</v>
      </c>
      <c r="J25" s="212"/>
      <c r="K25" s="212"/>
      <c r="L25" s="212"/>
      <c r="M25" s="212"/>
      <c r="N25" s="212">
        <v>30</v>
      </c>
      <c r="O25" s="212">
        <v>20.3</v>
      </c>
      <c r="P25" s="212">
        <v>22.7</v>
      </c>
      <c r="Q25" s="212">
        <v>39.31</v>
      </c>
      <c r="R25" s="212">
        <v>4.5</v>
      </c>
      <c r="S25" s="212">
        <v>21.61</v>
      </c>
      <c r="T25" s="212">
        <v>7.58</v>
      </c>
      <c r="U25" s="212">
        <v>36.82</v>
      </c>
      <c r="V25" s="212">
        <v>44.65</v>
      </c>
      <c r="W25" s="212">
        <v>64.599999999999994</v>
      </c>
      <c r="X25" s="212"/>
      <c r="Y25" s="212"/>
      <c r="Z25" s="212"/>
      <c r="AA25" s="212"/>
      <c r="AB25" s="212"/>
      <c r="AC25" s="212">
        <v>17.55</v>
      </c>
      <c r="AD25" s="212">
        <v>30.45</v>
      </c>
      <c r="AE25" s="212">
        <v>96.9</v>
      </c>
      <c r="AF25" s="212">
        <v>110.36</v>
      </c>
      <c r="AG25" s="349">
        <v>76.989999999999995</v>
      </c>
      <c r="AH25" s="349">
        <v>55.48</v>
      </c>
      <c r="AI25" s="349">
        <v>18.97</v>
      </c>
      <c r="AJ25" s="349">
        <v>50.82</v>
      </c>
      <c r="AK25" s="349">
        <v>21.46</v>
      </c>
      <c r="AL25" s="349">
        <v>30.7</v>
      </c>
      <c r="AM25" s="349">
        <v>15.84</v>
      </c>
      <c r="AN25" s="349">
        <v>58.02</v>
      </c>
      <c r="AO25" s="349"/>
      <c r="AP25" s="349">
        <v>28</v>
      </c>
      <c r="AQ25" s="349">
        <v>27.1</v>
      </c>
      <c r="AR25" s="349">
        <v>11.1</v>
      </c>
      <c r="AS25" s="498">
        <f>SUM(D25:AR25)</f>
        <v>983.5300000000002</v>
      </c>
      <c r="AT25" s="78"/>
      <c r="AU25" s="223"/>
      <c r="AV25" s="217"/>
      <c r="AW25" s="217"/>
    </row>
    <row r="26" spans="1:49" ht="16.5" thickBot="1" x14ac:dyDescent="0.3">
      <c r="C26" s="357" t="s">
        <v>75</v>
      </c>
      <c r="D26" s="352"/>
      <c r="E26" s="210"/>
      <c r="F26" s="210"/>
      <c r="G26" s="210"/>
      <c r="H26" s="210"/>
      <c r="I26" s="210">
        <f>I25*B25</f>
        <v>86.777600000000007</v>
      </c>
      <c r="J26" s="210"/>
      <c r="K26" s="210"/>
      <c r="L26" s="210"/>
      <c r="M26" s="210"/>
      <c r="N26" s="210">
        <f>N23*12.49+N24*2.5+N25*2.08</f>
        <v>62.400000000000006</v>
      </c>
      <c r="O26" s="210">
        <f t="shared" ref="O26:AB26" si="17">O23*12.49+O24*2.5+O25*2.08</f>
        <v>42.224000000000004</v>
      </c>
      <c r="P26" s="210">
        <f t="shared" si="17"/>
        <v>47.216000000000001</v>
      </c>
      <c r="Q26" s="210">
        <f t="shared" si="17"/>
        <v>81.764800000000008</v>
      </c>
      <c r="R26" s="210">
        <f t="shared" si="17"/>
        <v>9.36</v>
      </c>
      <c r="S26" s="210">
        <f t="shared" si="17"/>
        <v>44.948799999999999</v>
      </c>
      <c r="T26" s="210">
        <f t="shared" si="17"/>
        <v>15.766400000000001</v>
      </c>
      <c r="U26" s="210">
        <f t="shared" si="17"/>
        <v>76.585599999999999</v>
      </c>
      <c r="V26" s="210">
        <f t="shared" si="17"/>
        <v>92.872</v>
      </c>
      <c r="W26" s="210">
        <f t="shared" si="17"/>
        <v>134.36799999999999</v>
      </c>
      <c r="X26" s="210">
        <f t="shared" si="17"/>
        <v>91.75</v>
      </c>
      <c r="Y26" s="210">
        <f t="shared" si="17"/>
        <v>77</v>
      </c>
      <c r="Z26" s="210">
        <f t="shared" si="17"/>
        <v>122.5</v>
      </c>
      <c r="AA26" s="210">
        <f t="shared" si="17"/>
        <v>118.5</v>
      </c>
      <c r="AB26" s="210">
        <f t="shared" si="17"/>
        <v>164.25</v>
      </c>
      <c r="AC26" s="210">
        <f>AC25*2.29</f>
        <v>40.189500000000002</v>
      </c>
      <c r="AD26" s="210">
        <f t="shared" ref="AD26:AO26" si="18">AD25*2.29</f>
        <v>69.730500000000006</v>
      </c>
      <c r="AE26" s="210">
        <f t="shared" si="18"/>
        <v>221.90100000000001</v>
      </c>
      <c r="AF26" s="210">
        <f t="shared" si="18"/>
        <v>252.7244</v>
      </c>
      <c r="AG26" s="210">
        <f t="shared" si="18"/>
        <v>176.30709999999999</v>
      </c>
      <c r="AH26" s="210">
        <f t="shared" si="18"/>
        <v>127.0492</v>
      </c>
      <c r="AI26" s="210">
        <f t="shared" si="18"/>
        <v>43.441299999999998</v>
      </c>
      <c r="AJ26" s="210">
        <f t="shared" si="18"/>
        <v>116.37780000000001</v>
      </c>
      <c r="AK26" s="210">
        <f t="shared" si="18"/>
        <v>49.1434</v>
      </c>
      <c r="AL26" s="210">
        <f t="shared" si="18"/>
        <v>70.302999999999997</v>
      </c>
      <c r="AM26" s="210">
        <f t="shared" si="18"/>
        <v>36.273600000000002</v>
      </c>
      <c r="AN26" s="210">
        <f t="shared" si="18"/>
        <v>132.86580000000001</v>
      </c>
      <c r="AO26" s="210">
        <f t="shared" si="18"/>
        <v>0</v>
      </c>
      <c r="AP26" s="210">
        <f>AP25*4.59</f>
        <v>128.51999999999998</v>
      </c>
      <c r="AQ26" s="210">
        <f t="shared" ref="AQ26:AR26" si="19">AQ25*4.59</f>
        <v>124.389</v>
      </c>
      <c r="AR26" s="210">
        <f t="shared" si="19"/>
        <v>50.948999999999998</v>
      </c>
      <c r="AS26" s="507">
        <f>SUM(D26:AR26)</f>
        <v>2908.4478000000004</v>
      </c>
      <c r="AT26" s="224">
        <f>COUNT(D23:AR25)-2</f>
        <v>29</v>
      </c>
      <c r="AU26" s="213">
        <f>AS26/AT26</f>
        <v>100.29130344827587</v>
      </c>
      <c r="AV26" s="211"/>
    </row>
    <row r="27" spans="1:49" ht="15.75" x14ac:dyDescent="0.25">
      <c r="A27">
        <v>13.76</v>
      </c>
      <c r="B27">
        <v>12.49</v>
      </c>
      <c r="C27" s="355" t="s">
        <v>79</v>
      </c>
      <c r="D27" s="351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348"/>
      <c r="AH27" s="348"/>
      <c r="AI27" s="348"/>
      <c r="AJ27" s="348"/>
      <c r="AK27" s="348"/>
      <c r="AL27" s="348"/>
      <c r="AM27" s="348"/>
      <c r="AN27" s="348"/>
      <c r="AO27" s="348"/>
      <c r="AP27" s="348"/>
      <c r="AQ27" s="348"/>
      <c r="AR27" s="348"/>
      <c r="AS27" s="498">
        <f t="shared" ref="AS27:AS84" si="20">SUM(D27:AR27)</f>
        <v>0</v>
      </c>
      <c r="AT27" s="78"/>
      <c r="AU27" s="27"/>
      <c r="AV27" s="217"/>
      <c r="AW27" s="217"/>
    </row>
    <row r="28" spans="1:49" ht="15.75" x14ac:dyDescent="0.25">
      <c r="B28">
        <v>2.5</v>
      </c>
      <c r="C28" s="356" t="s">
        <v>34</v>
      </c>
      <c r="D28" s="225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7"/>
      <c r="R28" s="212"/>
      <c r="S28" s="212"/>
      <c r="T28" s="212"/>
      <c r="U28" s="212"/>
      <c r="V28" s="212"/>
      <c r="W28" s="212"/>
      <c r="X28" s="212">
        <v>36.1</v>
      </c>
      <c r="Y28" s="212">
        <v>18.8</v>
      </c>
      <c r="Z28" s="212">
        <v>63.7</v>
      </c>
      <c r="AA28" s="212">
        <v>44</v>
      </c>
      <c r="AB28" s="212">
        <v>56.3</v>
      </c>
      <c r="AC28" s="212"/>
      <c r="AD28" s="212"/>
      <c r="AE28" s="212"/>
      <c r="AF28" s="212"/>
      <c r="AG28" s="349"/>
      <c r="AH28" s="349"/>
      <c r="AI28" s="349"/>
      <c r="AJ28" s="349"/>
      <c r="AK28" s="349"/>
      <c r="AL28" s="349"/>
      <c r="AM28" s="349"/>
      <c r="AN28" s="349"/>
      <c r="AO28" s="349"/>
      <c r="AP28" s="349"/>
      <c r="AQ28" s="349"/>
      <c r="AR28" s="349"/>
      <c r="AS28" s="498">
        <f t="shared" si="20"/>
        <v>218.90000000000003</v>
      </c>
      <c r="AT28" s="78"/>
      <c r="AU28" s="223"/>
      <c r="AV28" s="217"/>
      <c r="AW28" s="217"/>
    </row>
    <row r="29" spans="1:49" ht="15.75" x14ac:dyDescent="0.25">
      <c r="A29">
        <v>2.29</v>
      </c>
      <c r="B29">
        <v>2.08</v>
      </c>
      <c r="C29" s="356" t="s">
        <v>1</v>
      </c>
      <c r="D29" s="225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>
        <v>14.1</v>
      </c>
      <c r="R29" s="212">
        <v>4.5999999999999996</v>
      </c>
      <c r="S29" s="212">
        <v>21.61</v>
      </c>
      <c r="T29" s="212">
        <v>7.6</v>
      </c>
      <c r="U29" s="212">
        <v>20.96</v>
      </c>
      <c r="V29" s="212">
        <v>52.05</v>
      </c>
      <c r="W29" s="212">
        <v>48.8</v>
      </c>
      <c r="X29" s="212"/>
      <c r="Y29" s="212"/>
      <c r="Z29" s="212"/>
      <c r="AA29" s="212"/>
      <c r="AB29" s="212"/>
      <c r="AC29" s="212">
        <v>7.4</v>
      </c>
      <c r="AD29" s="212">
        <v>7.3</v>
      </c>
      <c r="AE29" s="212">
        <v>76.45</v>
      </c>
      <c r="AF29" s="212">
        <v>91.18</v>
      </c>
      <c r="AG29" s="349">
        <v>86.34</v>
      </c>
      <c r="AH29" s="349">
        <v>32.14</v>
      </c>
      <c r="AI29" s="349">
        <v>29.21</v>
      </c>
      <c r="AJ29" s="349">
        <v>29.7</v>
      </c>
      <c r="AK29" s="349">
        <v>28.93</v>
      </c>
      <c r="AL29" s="349">
        <v>6.36</v>
      </c>
      <c r="AM29" s="349"/>
      <c r="AN29" s="349">
        <v>44.58</v>
      </c>
      <c r="AO29" s="349">
        <v>0.8</v>
      </c>
      <c r="AP29" s="349">
        <v>20.25</v>
      </c>
      <c r="AQ29" s="349">
        <v>24.5</v>
      </c>
      <c r="AR29" s="349">
        <v>8.6</v>
      </c>
      <c r="AS29" s="498">
        <f t="shared" si="20"/>
        <v>663.45999999999992</v>
      </c>
      <c r="AT29" s="78"/>
      <c r="AU29" s="223"/>
      <c r="AV29" s="217"/>
      <c r="AW29" s="217"/>
    </row>
    <row r="30" spans="1:49" ht="16.5" thickBot="1" x14ac:dyDescent="0.3">
      <c r="C30" s="357" t="s">
        <v>75</v>
      </c>
      <c r="D30" s="352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>
        <f t="shared" ref="Q30:AB30" si="21">Q27*12.49+Q28*2.5+Q29*2.08</f>
        <v>29.327999999999999</v>
      </c>
      <c r="R30" s="210">
        <f t="shared" si="21"/>
        <v>9.5679999999999996</v>
      </c>
      <c r="S30" s="210">
        <f t="shared" si="21"/>
        <v>44.948799999999999</v>
      </c>
      <c r="T30" s="210">
        <f t="shared" si="21"/>
        <v>15.808</v>
      </c>
      <c r="U30" s="210">
        <f t="shared" si="21"/>
        <v>43.596800000000002</v>
      </c>
      <c r="V30" s="210">
        <f t="shared" si="21"/>
        <v>108.264</v>
      </c>
      <c r="W30" s="210">
        <f t="shared" si="21"/>
        <v>101.50399999999999</v>
      </c>
      <c r="X30" s="210">
        <f t="shared" si="21"/>
        <v>90.25</v>
      </c>
      <c r="Y30" s="210">
        <f t="shared" si="21"/>
        <v>47</v>
      </c>
      <c r="Z30" s="210">
        <f t="shared" si="21"/>
        <v>159.25</v>
      </c>
      <c r="AA30" s="210">
        <f t="shared" si="21"/>
        <v>110</v>
      </c>
      <c r="AB30" s="210">
        <f t="shared" si="21"/>
        <v>140.75</v>
      </c>
      <c r="AC30" s="210">
        <f>AC29*2.29</f>
        <v>16.946000000000002</v>
      </c>
      <c r="AD30" s="210">
        <f t="shared" ref="AD30:AN30" si="22">AD29*2.29</f>
        <v>16.716999999999999</v>
      </c>
      <c r="AE30" s="210">
        <f t="shared" si="22"/>
        <v>175.07050000000001</v>
      </c>
      <c r="AF30" s="210">
        <f t="shared" si="22"/>
        <v>208.80220000000003</v>
      </c>
      <c r="AG30" s="210">
        <f t="shared" si="22"/>
        <v>197.71860000000001</v>
      </c>
      <c r="AH30" s="210">
        <f t="shared" si="22"/>
        <v>73.6006</v>
      </c>
      <c r="AI30" s="210">
        <f t="shared" si="22"/>
        <v>66.890900000000002</v>
      </c>
      <c r="AJ30" s="210">
        <f t="shared" si="22"/>
        <v>68.013000000000005</v>
      </c>
      <c r="AK30" s="210">
        <f t="shared" si="22"/>
        <v>66.249700000000004</v>
      </c>
      <c r="AL30" s="210">
        <f t="shared" si="22"/>
        <v>14.564400000000001</v>
      </c>
      <c r="AM30" s="210">
        <f t="shared" si="22"/>
        <v>0</v>
      </c>
      <c r="AN30" s="210">
        <f t="shared" si="22"/>
        <v>102.0882</v>
      </c>
      <c r="AO30" s="210">
        <f>AO29*4.59</f>
        <v>3.6720000000000002</v>
      </c>
      <c r="AP30" s="210">
        <f t="shared" ref="AP30:AR30" si="23">AP29*4.59</f>
        <v>92.947499999999991</v>
      </c>
      <c r="AQ30" s="210">
        <f t="shared" si="23"/>
        <v>112.455</v>
      </c>
      <c r="AR30" s="210">
        <f t="shared" si="23"/>
        <v>39.473999999999997</v>
      </c>
      <c r="AS30" s="507">
        <f t="shared" si="20"/>
        <v>2155.4772000000003</v>
      </c>
      <c r="AT30" s="224">
        <f>COUNT(D27:AR29)-1</f>
        <v>26</v>
      </c>
      <c r="AU30" s="213">
        <f>AS30/AT30</f>
        <v>82.902969230769244</v>
      </c>
      <c r="AV30" s="211"/>
    </row>
    <row r="31" spans="1:49" ht="15.75" x14ac:dyDescent="0.25">
      <c r="A31">
        <v>13.76</v>
      </c>
      <c r="B31">
        <v>12.49</v>
      </c>
      <c r="C31" s="355" t="s">
        <v>80</v>
      </c>
      <c r="D31" s="351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>
        <v>2.15</v>
      </c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348"/>
      <c r="AH31" s="348"/>
      <c r="AI31" s="348"/>
      <c r="AJ31" s="348"/>
      <c r="AK31" s="348"/>
      <c r="AL31" s="348"/>
      <c r="AM31" s="348"/>
      <c r="AN31" s="348"/>
      <c r="AO31" s="348"/>
      <c r="AP31" s="348"/>
      <c r="AQ31" s="348"/>
      <c r="AR31" s="348"/>
      <c r="AS31" s="498">
        <f t="shared" si="20"/>
        <v>2.15</v>
      </c>
      <c r="AT31" s="78"/>
      <c r="AU31" s="27"/>
      <c r="AV31" s="217"/>
      <c r="AW31" s="217"/>
    </row>
    <row r="32" spans="1:49" ht="15.75" x14ac:dyDescent="0.25">
      <c r="B32">
        <v>2.5</v>
      </c>
      <c r="C32" s="356" t="s">
        <v>34</v>
      </c>
      <c r="D32" s="225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7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349"/>
      <c r="AH32" s="349"/>
      <c r="AI32" s="349"/>
      <c r="AJ32" s="349"/>
      <c r="AK32" s="349"/>
      <c r="AL32" s="349"/>
      <c r="AM32" s="349"/>
      <c r="AN32" s="349"/>
      <c r="AO32" s="349"/>
      <c r="AP32" s="349"/>
      <c r="AQ32" s="349"/>
      <c r="AR32" s="349"/>
      <c r="AS32" s="498">
        <f t="shared" si="20"/>
        <v>0</v>
      </c>
      <c r="AT32" s="78"/>
      <c r="AU32" s="223"/>
      <c r="AV32" s="217"/>
      <c r="AW32" s="217"/>
    </row>
    <row r="33" spans="1:49" ht="15.75" x14ac:dyDescent="0.25">
      <c r="A33">
        <v>2.29</v>
      </c>
      <c r="B33">
        <v>2.08</v>
      </c>
      <c r="C33" s="356" t="s">
        <v>1</v>
      </c>
      <c r="D33" s="225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>
        <v>21.94</v>
      </c>
      <c r="P33" s="212">
        <v>18.059999999999999</v>
      </c>
      <c r="Q33" s="212"/>
      <c r="R33" s="212"/>
      <c r="S33" s="212">
        <v>42.49</v>
      </c>
      <c r="T33" s="212"/>
      <c r="U33" s="212">
        <v>28.42</v>
      </c>
      <c r="V33" s="212">
        <v>44.86</v>
      </c>
      <c r="W33" s="212">
        <v>67.12</v>
      </c>
      <c r="X33" s="212">
        <v>64.11</v>
      </c>
      <c r="Y33" s="212"/>
      <c r="Z33" s="212">
        <v>29.59</v>
      </c>
      <c r="AA33" s="212"/>
      <c r="AB33" s="212">
        <v>57.1</v>
      </c>
      <c r="AC33" s="212">
        <v>16.75</v>
      </c>
      <c r="AD33" s="212">
        <v>44.2</v>
      </c>
      <c r="AE33" s="212">
        <v>74.900000000000006</v>
      </c>
      <c r="AF33" s="212">
        <v>93.96</v>
      </c>
      <c r="AG33" s="349">
        <v>56.45</v>
      </c>
      <c r="AH33" s="349">
        <v>55.14</v>
      </c>
      <c r="AI33" s="349"/>
      <c r="AJ33" s="349">
        <v>28.32</v>
      </c>
      <c r="AK33" s="349">
        <v>39.5</v>
      </c>
      <c r="AL33" s="349">
        <v>19.5</v>
      </c>
      <c r="AM33" s="349">
        <v>24.5</v>
      </c>
      <c r="AN33" s="349">
        <v>60.62</v>
      </c>
      <c r="AO33" s="349"/>
      <c r="AP33" s="349">
        <v>30.1</v>
      </c>
      <c r="AQ33" s="349">
        <v>17.600000000000001</v>
      </c>
      <c r="AR33" s="349">
        <v>9.9</v>
      </c>
      <c r="AS33" s="498">
        <f t="shared" si="20"/>
        <v>945.13000000000011</v>
      </c>
      <c r="AT33" s="78"/>
      <c r="AU33" s="223"/>
      <c r="AV33" s="217"/>
      <c r="AW33" s="217"/>
    </row>
    <row r="34" spans="1:49" ht="16.5" thickBot="1" x14ac:dyDescent="0.3">
      <c r="C34" s="357" t="s">
        <v>75</v>
      </c>
      <c r="D34" s="352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>
        <f>O31*12.49+O32*2.5+O33*2.08</f>
        <v>45.635200000000005</v>
      </c>
      <c r="P34" s="210">
        <f t="shared" ref="P34:AB34" si="24">P31*12.49+P32*2.5+P33*2.08</f>
        <v>37.564799999999998</v>
      </c>
      <c r="Q34" s="210">
        <f t="shared" si="24"/>
        <v>26.8535</v>
      </c>
      <c r="R34" s="210">
        <f t="shared" si="24"/>
        <v>0</v>
      </c>
      <c r="S34" s="210">
        <f t="shared" si="24"/>
        <v>88.379200000000012</v>
      </c>
      <c r="T34" s="210">
        <f t="shared" si="24"/>
        <v>0</v>
      </c>
      <c r="U34" s="210">
        <f t="shared" si="24"/>
        <v>59.113600000000005</v>
      </c>
      <c r="V34" s="210">
        <f t="shared" si="24"/>
        <v>93.308800000000005</v>
      </c>
      <c r="W34" s="210">
        <f t="shared" si="24"/>
        <v>139.6096</v>
      </c>
      <c r="X34" s="210">
        <f t="shared" si="24"/>
        <v>133.34880000000001</v>
      </c>
      <c r="Y34" s="210">
        <f t="shared" si="24"/>
        <v>0</v>
      </c>
      <c r="Z34" s="210">
        <f t="shared" si="24"/>
        <v>61.547200000000004</v>
      </c>
      <c r="AA34" s="210">
        <f t="shared" si="24"/>
        <v>0</v>
      </c>
      <c r="AB34" s="210">
        <f t="shared" si="24"/>
        <v>118.768</v>
      </c>
      <c r="AC34" s="210">
        <f>AC33*2.29</f>
        <v>38.357500000000002</v>
      </c>
      <c r="AD34" s="210">
        <f t="shared" ref="AD34:AO34" si="25">AD33*2.29</f>
        <v>101.218</v>
      </c>
      <c r="AE34" s="210">
        <f t="shared" si="25"/>
        <v>171.52100000000002</v>
      </c>
      <c r="AF34" s="210">
        <f t="shared" si="25"/>
        <v>215.16839999999999</v>
      </c>
      <c r="AG34" s="210">
        <f t="shared" si="25"/>
        <v>129.2705</v>
      </c>
      <c r="AH34" s="210">
        <f t="shared" si="25"/>
        <v>126.2706</v>
      </c>
      <c r="AI34" s="210">
        <f t="shared" si="25"/>
        <v>0</v>
      </c>
      <c r="AJ34" s="210">
        <f t="shared" si="25"/>
        <v>64.852800000000002</v>
      </c>
      <c r="AK34" s="210">
        <f t="shared" si="25"/>
        <v>90.454999999999998</v>
      </c>
      <c r="AL34" s="210">
        <f t="shared" si="25"/>
        <v>44.655000000000001</v>
      </c>
      <c r="AM34" s="210">
        <f t="shared" si="25"/>
        <v>56.105000000000004</v>
      </c>
      <c r="AN34" s="210">
        <f t="shared" si="25"/>
        <v>138.81979999999999</v>
      </c>
      <c r="AO34" s="210">
        <f t="shared" si="25"/>
        <v>0</v>
      </c>
      <c r="AP34" s="210">
        <f>AP33*4.59</f>
        <v>138.15899999999999</v>
      </c>
      <c r="AQ34" s="210">
        <f t="shared" ref="AQ34:AR34" si="26">AQ33*4.59</f>
        <v>80.784000000000006</v>
      </c>
      <c r="AR34" s="210">
        <f t="shared" si="26"/>
        <v>45.441000000000003</v>
      </c>
      <c r="AS34" s="507">
        <f t="shared" si="20"/>
        <v>2245.2063000000003</v>
      </c>
      <c r="AT34" s="224">
        <f>COUNT(D31:AR33)-1</f>
        <v>23</v>
      </c>
      <c r="AU34" s="213">
        <f>AS34/AT34</f>
        <v>97.61766521739132</v>
      </c>
      <c r="AV34" s="211"/>
    </row>
    <row r="35" spans="1:49" ht="15.75" x14ac:dyDescent="0.25">
      <c r="A35">
        <v>13.76</v>
      </c>
      <c r="B35">
        <v>12.49</v>
      </c>
      <c r="C35" s="355" t="s">
        <v>169</v>
      </c>
      <c r="D35" s="351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>
        <v>2.5</v>
      </c>
      <c r="R35" s="209"/>
      <c r="S35" s="209"/>
      <c r="T35" s="209">
        <v>7.3</v>
      </c>
      <c r="U35" s="209">
        <v>6.9</v>
      </c>
      <c r="V35" s="209"/>
      <c r="W35" s="209"/>
      <c r="X35" s="209"/>
      <c r="Y35" s="209"/>
      <c r="Z35" s="209"/>
      <c r="AA35" s="209">
        <v>3.25</v>
      </c>
      <c r="AB35" s="209"/>
      <c r="AC35" s="209"/>
      <c r="AD35" s="209"/>
      <c r="AE35" s="209"/>
      <c r="AF35" s="209"/>
      <c r="AG35" s="348"/>
      <c r="AH35" s="348"/>
      <c r="AI35" s="348"/>
      <c r="AJ35" s="348"/>
      <c r="AK35" s="348"/>
      <c r="AL35" s="348"/>
      <c r="AM35" s="348"/>
      <c r="AN35" s="348"/>
      <c r="AO35" s="348"/>
      <c r="AP35" s="348"/>
      <c r="AQ35" s="348"/>
      <c r="AR35" s="348"/>
      <c r="AS35" s="498">
        <f t="shared" si="20"/>
        <v>19.950000000000003</v>
      </c>
      <c r="AT35" s="78"/>
      <c r="AU35" s="27"/>
      <c r="AV35" s="217">
        <f>COUNT(D35:P35)</f>
        <v>0</v>
      </c>
      <c r="AW35" s="217">
        <f>COUNT(M37:O37)</f>
        <v>1</v>
      </c>
    </row>
    <row r="36" spans="1:49" ht="15.75" x14ac:dyDescent="0.25">
      <c r="B36">
        <v>2.5</v>
      </c>
      <c r="C36" s="356" t="s">
        <v>34</v>
      </c>
      <c r="D36" s="225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7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349"/>
      <c r="AH36" s="349"/>
      <c r="AI36" s="349"/>
      <c r="AJ36" s="349"/>
      <c r="AK36" s="349"/>
      <c r="AL36" s="349"/>
      <c r="AM36" s="349"/>
      <c r="AN36" s="349"/>
      <c r="AO36" s="349"/>
      <c r="AP36" s="349"/>
      <c r="AQ36" s="349"/>
      <c r="AR36" s="349"/>
      <c r="AS36" s="498">
        <f t="shared" si="20"/>
        <v>0</v>
      </c>
      <c r="AT36" s="78"/>
      <c r="AU36" s="223"/>
      <c r="AV36" s="218">
        <f>SUM(D38:L38)+P38</f>
        <v>41.516800000000003</v>
      </c>
      <c r="AW36" s="218">
        <f>SUM(M38:O38)</f>
        <v>69.721600000000009</v>
      </c>
    </row>
    <row r="37" spans="1:49" ht="15.75" x14ac:dyDescent="0.25">
      <c r="A37">
        <v>2.29</v>
      </c>
      <c r="B37">
        <v>2.08</v>
      </c>
      <c r="C37" s="356" t="s">
        <v>1</v>
      </c>
      <c r="D37" s="225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>
        <v>33.520000000000003</v>
      </c>
      <c r="P37" s="212">
        <v>19.96</v>
      </c>
      <c r="Q37" s="212"/>
      <c r="R37" s="212"/>
      <c r="S37" s="212">
        <v>45.23</v>
      </c>
      <c r="T37" s="212"/>
      <c r="U37" s="212"/>
      <c r="V37" s="212">
        <v>37.17</v>
      </c>
      <c r="W37" s="212">
        <v>56.48</v>
      </c>
      <c r="X37" s="212">
        <v>74.400000000000006</v>
      </c>
      <c r="Y37" s="212"/>
      <c r="Z37" s="212">
        <v>59.35</v>
      </c>
      <c r="AA37" s="212">
        <v>38.4</v>
      </c>
      <c r="AB37" s="212">
        <v>67.45</v>
      </c>
      <c r="AC37" s="212">
        <v>22.1</v>
      </c>
      <c r="AD37" s="212">
        <v>48</v>
      </c>
      <c r="AE37" s="212">
        <v>84.3</v>
      </c>
      <c r="AF37" s="212">
        <v>97</v>
      </c>
      <c r="AG37" s="349">
        <v>82.05</v>
      </c>
      <c r="AH37" s="349">
        <v>57.46</v>
      </c>
      <c r="AI37" s="349"/>
      <c r="AJ37" s="349">
        <v>25.15</v>
      </c>
      <c r="AK37" s="349">
        <v>44.08</v>
      </c>
      <c r="AL37" s="349">
        <v>22.6</v>
      </c>
      <c r="AM37" s="349">
        <v>35.15</v>
      </c>
      <c r="AN37" s="349">
        <v>69.510000000000005</v>
      </c>
      <c r="AO37" s="349"/>
      <c r="AP37" s="349"/>
      <c r="AQ37" s="349">
        <v>24.7</v>
      </c>
      <c r="AR37" s="349">
        <v>10.1</v>
      </c>
      <c r="AS37" s="498">
        <f t="shared" si="20"/>
        <v>1054.1599999999999</v>
      </c>
      <c r="AT37" s="78"/>
      <c r="AU37" s="223"/>
      <c r="AV37" s="217"/>
      <c r="AW37" s="217"/>
    </row>
    <row r="38" spans="1:49" ht="16.5" thickBot="1" x14ac:dyDescent="0.3">
      <c r="C38" s="357" t="s">
        <v>75</v>
      </c>
      <c r="D38" s="352">
        <f>D35*11.28+D36*2.26+D37*1.88</f>
        <v>0</v>
      </c>
      <c r="E38" s="210">
        <f t="shared" ref="E38:F38" si="27">E35*11.28+E36*2.26+E37*1.88</f>
        <v>0</v>
      </c>
      <c r="F38" s="210">
        <f t="shared" si="27"/>
        <v>0</v>
      </c>
      <c r="G38" s="210"/>
      <c r="H38" s="210"/>
      <c r="I38" s="210"/>
      <c r="J38" s="210"/>
      <c r="K38" s="210"/>
      <c r="L38" s="210"/>
      <c r="M38" s="210"/>
      <c r="N38" s="210"/>
      <c r="O38" s="210">
        <f>O35*12.49+O36*2.5+O37*2.08</f>
        <v>69.721600000000009</v>
      </c>
      <c r="P38" s="210">
        <f t="shared" ref="P38:AO38" si="28">P35*12.49+P36*2.5+P37*2.08</f>
        <v>41.516800000000003</v>
      </c>
      <c r="Q38" s="210">
        <f t="shared" si="28"/>
        <v>31.225000000000001</v>
      </c>
      <c r="R38" s="210"/>
      <c r="S38" s="210">
        <f t="shared" si="28"/>
        <v>94.078400000000002</v>
      </c>
      <c r="T38" s="210">
        <f t="shared" si="28"/>
        <v>91.176999999999992</v>
      </c>
      <c r="U38" s="210">
        <f t="shared" si="28"/>
        <v>86.181000000000012</v>
      </c>
      <c r="V38" s="210">
        <f t="shared" si="28"/>
        <v>77.313600000000008</v>
      </c>
      <c r="W38" s="210">
        <f t="shared" si="28"/>
        <v>117.47839999999999</v>
      </c>
      <c r="X38" s="210">
        <f t="shared" si="28"/>
        <v>154.75200000000001</v>
      </c>
      <c r="Y38" s="210">
        <f t="shared" si="28"/>
        <v>0</v>
      </c>
      <c r="Z38" s="210">
        <f t="shared" si="28"/>
        <v>123.44800000000001</v>
      </c>
      <c r="AA38" s="210">
        <f t="shared" si="28"/>
        <v>120.4645</v>
      </c>
      <c r="AB38" s="210">
        <f t="shared" si="28"/>
        <v>140.29600000000002</v>
      </c>
      <c r="AC38" s="210">
        <f t="shared" si="28"/>
        <v>45.968000000000004</v>
      </c>
      <c r="AD38" s="210">
        <f t="shared" si="28"/>
        <v>99.84</v>
      </c>
      <c r="AE38" s="210">
        <f t="shared" si="28"/>
        <v>175.34399999999999</v>
      </c>
      <c r="AF38" s="210">
        <f t="shared" si="28"/>
        <v>201.76000000000002</v>
      </c>
      <c r="AG38" s="210">
        <f t="shared" si="28"/>
        <v>170.66399999999999</v>
      </c>
      <c r="AH38" s="210">
        <f t="shared" si="28"/>
        <v>119.5168</v>
      </c>
      <c r="AI38" s="210">
        <f t="shared" si="28"/>
        <v>0</v>
      </c>
      <c r="AJ38" s="210">
        <f t="shared" si="28"/>
        <v>52.311999999999998</v>
      </c>
      <c r="AK38" s="210">
        <f t="shared" si="28"/>
        <v>91.686400000000006</v>
      </c>
      <c r="AL38" s="210">
        <f t="shared" si="28"/>
        <v>47.008000000000003</v>
      </c>
      <c r="AM38" s="210">
        <f t="shared" si="28"/>
        <v>73.111999999999995</v>
      </c>
      <c r="AN38" s="210">
        <f t="shared" si="28"/>
        <v>144.58080000000001</v>
      </c>
      <c r="AO38" s="210">
        <f t="shared" si="28"/>
        <v>0</v>
      </c>
      <c r="AP38" s="210"/>
      <c r="AQ38" s="210">
        <f>AQ37*4.7</f>
        <v>116.09</v>
      </c>
      <c r="AR38" s="210">
        <f>AR37*4.7</f>
        <v>47.47</v>
      </c>
      <c r="AS38" s="507">
        <f t="shared" si="20"/>
        <v>2533.0043000000001</v>
      </c>
      <c r="AT38" s="224">
        <f>COUNT(D35:AR37)</f>
        <v>26</v>
      </c>
      <c r="AU38" s="213">
        <f>AS38/AT38</f>
        <v>97.423242307692306</v>
      </c>
      <c r="AV38" s="215" t="e">
        <f>AV36/AV35</f>
        <v>#DIV/0!</v>
      </c>
      <c r="AW38" s="215">
        <f>AW36/AW35</f>
        <v>69.721600000000009</v>
      </c>
    </row>
    <row r="39" spans="1:49" ht="15.75" x14ac:dyDescent="0.25">
      <c r="A39">
        <v>14.1</v>
      </c>
      <c r="B39">
        <v>12.81</v>
      </c>
      <c r="C39" s="355" t="s">
        <v>81</v>
      </c>
      <c r="D39" s="351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>
        <v>2.5</v>
      </c>
      <c r="R39" s="209"/>
      <c r="S39" s="209"/>
      <c r="T39" s="209">
        <v>2.8</v>
      </c>
      <c r="U39" s="209">
        <v>1.4</v>
      </c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348"/>
      <c r="AH39" s="348"/>
      <c r="AI39" s="348"/>
      <c r="AJ39" s="348"/>
      <c r="AK39" s="348"/>
      <c r="AL39" s="348"/>
      <c r="AM39" s="348"/>
      <c r="AN39" s="348"/>
      <c r="AO39" s="348"/>
      <c r="AP39" s="348"/>
      <c r="AQ39" s="348"/>
      <c r="AR39" s="348"/>
      <c r="AS39" s="498">
        <f t="shared" si="20"/>
        <v>6.6999999999999993</v>
      </c>
      <c r="AT39" s="78"/>
      <c r="AU39" s="27"/>
      <c r="AV39" s="217"/>
      <c r="AW39" s="217"/>
    </row>
    <row r="40" spans="1:49" ht="15.75" x14ac:dyDescent="0.25">
      <c r="B40">
        <v>2.56</v>
      </c>
      <c r="C40" s="356" t="s">
        <v>34</v>
      </c>
      <c r="D40" s="225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7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349"/>
      <c r="AH40" s="349"/>
      <c r="AI40" s="349"/>
      <c r="AJ40" s="349"/>
      <c r="AK40" s="349"/>
      <c r="AL40" s="349"/>
      <c r="AM40" s="349"/>
      <c r="AN40" s="349"/>
      <c r="AO40" s="349"/>
      <c r="AP40" s="349"/>
      <c r="AQ40" s="349"/>
      <c r="AR40" s="349"/>
      <c r="AS40" s="498">
        <f t="shared" si="20"/>
        <v>0</v>
      </c>
      <c r="AT40" s="78"/>
      <c r="AU40" s="223"/>
      <c r="AV40" s="217"/>
      <c r="AW40" s="217"/>
    </row>
    <row r="41" spans="1:49" ht="15.75" x14ac:dyDescent="0.25">
      <c r="A41">
        <v>2.35</v>
      </c>
      <c r="B41">
        <v>2.14</v>
      </c>
      <c r="C41" s="356" t="s">
        <v>1</v>
      </c>
      <c r="D41" s="225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>
        <v>28.14</v>
      </c>
      <c r="P41" s="212">
        <v>18.760000000000002</v>
      </c>
      <c r="Q41" s="212"/>
      <c r="R41" s="212"/>
      <c r="S41" s="212">
        <v>44.74</v>
      </c>
      <c r="T41" s="212"/>
      <c r="U41" s="212">
        <v>3.1</v>
      </c>
      <c r="V41" s="212">
        <v>55.05</v>
      </c>
      <c r="W41" s="212">
        <v>59.38</v>
      </c>
      <c r="X41" s="212">
        <v>39.82</v>
      </c>
      <c r="Y41" s="212"/>
      <c r="Z41" s="212">
        <v>43.62</v>
      </c>
      <c r="AA41" s="212"/>
      <c r="AB41" s="212">
        <v>43.19</v>
      </c>
      <c r="AC41" s="212">
        <v>17.350000000000001</v>
      </c>
      <c r="AD41" s="212">
        <v>43.25</v>
      </c>
      <c r="AE41" s="212">
        <v>39.729999999999997</v>
      </c>
      <c r="AF41" s="212">
        <v>39.46</v>
      </c>
      <c r="AG41" s="349">
        <v>76.73</v>
      </c>
      <c r="AH41" s="349">
        <v>40.51</v>
      </c>
      <c r="AI41" s="349">
        <v>20.74</v>
      </c>
      <c r="AJ41" s="349">
        <v>16.68</v>
      </c>
      <c r="AK41" s="349">
        <v>28.7</v>
      </c>
      <c r="AL41" s="349">
        <v>27.62</v>
      </c>
      <c r="AM41" s="349">
        <v>15.44</v>
      </c>
      <c r="AN41" s="349">
        <v>43.72</v>
      </c>
      <c r="AO41" s="349"/>
      <c r="AP41" s="349"/>
      <c r="AQ41" s="349"/>
      <c r="AR41" s="349">
        <v>8.1999999999999993</v>
      </c>
      <c r="AS41" s="498">
        <f t="shared" si="20"/>
        <v>753.93000000000018</v>
      </c>
      <c r="AT41" s="78"/>
      <c r="AU41" s="223"/>
      <c r="AV41" s="217"/>
      <c r="AW41" s="217"/>
    </row>
    <row r="42" spans="1:49" ht="16.5" thickBot="1" x14ac:dyDescent="0.3">
      <c r="C42" s="357" t="s">
        <v>75</v>
      </c>
      <c r="D42" s="352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>
        <f>O39*12.81+O40*2.56+O41*2.14</f>
        <v>60.219600000000007</v>
      </c>
      <c r="P42" s="210">
        <f t="shared" ref="P42:AB42" si="29">P39*12.81+P40*2.56+P41*2.14</f>
        <v>40.146400000000007</v>
      </c>
      <c r="Q42" s="210">
        <f t="shared" si="29"/>
        <v>32.024999999999999</v>
      </c>
      <c r="R42" s="210"/>
      <c r="S42" s="210">
        <f t="shared" si="29"/>
        <v>95.743600000000015</v>
      </c>
      <c r="T42" s="210">
        <f t="shared" si="29"/>
        <v>35.868000000000002</v>
      </c>
      <c r="U42" s="210">
        <f t="shared" si="29"/>
        <v>24.568000000000001</v>
      </c>
      <c r="V42" s="210">
        <f t="shared" si="29"/>
        <v>117.807</v>
      </c>
      <c r="W42" s="210">
        <f t="shared" si="29"/>
        <v>127.07320000000001</v>
      </c>
      <c r="X42" s="210">
        <f t="shared" si="29"/>
        <v>85.214800000000011</v>
      </c>
      <c r="Y42" s="210">
        <f t="shared" si="29"/>
        <v>0</v>
      </c>
      <c r="Z42" s="210">
        <f t="shared" si="29"/>
        <v>93.346800000000002</v>
      </c>
      <c r="AA42" s="210">
        <f t="shared" si="29"/>
        <v>0</v>
      </c>
      <c r="AB42" s="210">
        <f t="shared" si="29"/>
        <v>92.426599999999993</v>
      </c>
      <c r="AC42" s="210">
        <f>AC41*2.35</f>
        <v>40.772500000000008</v>
      </c>
      <c r="AD42" s="210">
        <f t="shared" ref="AD42:AQ42" si="30">AD41*2.35</f>
        <v>101.6375</v>
      </c>
      <c r="AE42" s="210">
        <f t="shared" si="30"/>
        <v>93.365499999999997</v>
      </c>
      <c r="AF42" s="210">
        <f t="shared" si="30"/>
        <v>92.731000000000009</v>
      </c>
      <c r="AG42" s="210">
        <f t="shared" si="30"/>
        <v>180.31550000000001</v>
      </c>
      <c r="AH42" s="210">
        <f t="shared" si="30"/>
        <v>95.198499999999996</v>
      </c>
      <c r="AI42" s="210">
        <f t="shared" si="30"/>
        <v>48.738999999999997</v>
      </c>
      <c r="AJ42" s="210">
        <f t="shared" si="30"/>
        <v>39.198</v>
      </c>
      <c r="AK42" s="210">
        <f t="shared" si="30"/>
        <v>67.445000000000007</v>
      </c>
      <c r="AL42" s="210">
        <f t="shared" si="30"/>
        <v>64.907000000000011</v>
      </c>
      <c r="AM42" s="210">
        <f t="shared" si="30"/>
        <v>36.283999999999999</v>
      </c>
      <c r="AN42" s="210">
        <f t="shared" si="30"/>
        <v>102.742</v>
      </c>
      <c r="AO42" s="210">
        <f t="shared" si="30"/>
        <v>0</v>
      </c>
      <c r="AP42" s="210"/>
      <c r="AQ42" s="210">
        <f t="shared" si="30"/>
        <v>0</v>
      </c>
      <c r="AR42" s="210">
        <f>AR41*4.7</f>
        <v>38.54</v>
      </c>
      <c r="AS42" s="507">
        <f t="shared" si="20"/>
        <v>1806.3145</v>
      </c>
      <c r="AT42" s="224">
        <f>COUNT(D39:AR41)</f>
        <v>25</v>
      </c>
      <c r="AU42" s="213">
        <f>AS42/AT42</f>
        <v>72.252579999999995</v>
      </c>
      <c r="AV42" s="211"/>
    </row>
    <row r="43" spans="1:49" ht="15.75" x14ac:dyDescent="0.25">
      <c r="A43">
        <v>14.1</v>
      </c>
      <c r="B43">
        <v>12.81</v>
      </c>
      <c r="C43" s="355" t="s">
        <v>82</v>
      </c>
      <c r="D43" s="351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348"/>
      <c r="AH43" s="348"/>
      <c r="AI43" s="348"/>
      <c r="AJ43" s="348"/>
      <c r="AK43" s="348"/>
      <c r="AL43" s="348"/>
      <c r="AM43" s="348"/>
      <c r="AN43" s="348"/>
      <c r="AO43" s="348"/>
      <c r="AP43" s="348"/>
      <c r="AQ43" s="348"/>
      <c r="AR43" s="348"/>
      <c r="AS43" s="498">
        <f t="shared" si="20"/>
        <v>0</v>
      </c>
      <c r="AT43" s="78"/>
      <c r="AU43" s="27"/>
      <c r="AV43" s="217"/>
      <c r="AW43" s="217"/>
    </row>
    <row r="44" spans="1:49" ht="15.75" x14ac:dyDescent="0.25">
      <c r="B44">
        <v>2.56</v>
      </c>
      <c r="C44" s="356" t="s">
        <v>34</v>
      </c>
      <c r="D44" s="225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7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349"/>
      <c r="AH44" s="349"/>
      <c r="AI44" s="349"/>
      <c r="AJ44" s="349"/>
      <c r="AK44" s="349"/>
      <c r="AL44" s="349"/>
      <c r="AM44" s="349"/>
      <c r="AN44" s="349"/>
      <c r="AO44" s="349"/>
      <c r="AP44" s="349"/>
      <c r="AQ44" s="349"/>
      <c r="AR44" s="349"/>
      <c r="AS44" s="498">
        <f t="shared" si="20"/>
        <v>0</v>
      </c>
      <c r="AT44" s="78"/>
      <c r="AU44" s="223"/>
      <c r="AV44" s="217"/>
      <c r="AW44" s="217"/>
    </row>
    <row r="45" spans="1:49" ht="15.75" x14ac:dyDescent="0.25">
      <c r="A45">
        <v>2.35</v>
      </c>
      <c r="B45">
        <v>2.14</v>
      </c>
      <c r="C45" s="356" t="s">
        <v>1</v>
      </c>
      <c r="D45" s="225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>
        <v>24.14</v>
      </c>
      <c r="P45" s="212">
        <v>17</v>
      </c>
      <c r="Q45" s="212">
        <v>43.95</v>
      </c>
      <c r="R45" s="212">
        <v>6</v>
      </c>
      <c r="S45" s="212">
        <v>26.54</v>
      </c>
      <c r="T45" s="212">
        <v>39.58</v>
      </c>
      <c r="U45" s="212">
        <v>52.66</v>
      </c>
      <c r="V45" s="212">
        <v>67</v>
      </c>
      <c r="W45" s="212">
        <v>76.86</v>
      </c>
      <c r="X45" s="212">
        <v>67.959999999999994</v>
      </c>
      <c r="Y45" s="212"/>
      <c r="Z45" s="212">
        <v>55.69</v>
      </c>
      <c r="AA45" s="212">
        <v>59.36</v>
      </c>
      <c r="AB45" s="212">
        <v>68.19</v>
      </c>
      <c r="AC45" s="212">
        <v>23.2</v>
      </c>
      <c r="AD45" s="212">
        <v>37.19</v>
      </c>
      <c r="AE45" s="212">
        <v>25.56</v>
      </c>
      <c r="AF45" s="212">
        <v>41.38</v>
      </c>
      <c r="AG45" s="349">
        <v>102.92</v>
      </c>
      <c r="AH45" s="349">
        <v>49.87</v>
      </c>
      <c r="AI45" s="349">
        <v>23.79</v>
      </c>
      <c r="AJ45" s="349">
        <v>27.2</v>
      </c>
      <c r="AK45" s="349">
        <v>33.979999999999997</v>
      </c>
      <c r="AL45" s="349">
        <v>33.24</v>
      </c>
      <c r="AM45" s="349">
        <v>24.97</v>
      </c>
      <c r="AN45" s="349">
        <v>63.25</v>
      </c>
      <c r="AO45" s="349"/>
      <c r="AP45" s="349"/>
      <c r="AQ45" s="349"/>
      <c r="AR45" s="349"/>
      <c r="AS45" s="498">
        <f t="shared" si="20"/>
        <v>1091.48</v>
      </c>
      <c r="AT45" s="78"/>
      <c r="AU45" s="223"/>
      <c r="AV45" s="217"/>
      <c r="AW45" s="217"/>
    </row>
    <row r="46" spans="1:49" ht="16.5" thickBot="1" x14ac:dyDescent="0.3">
      <c r="C46" s="357" t="s">
        <v>75</v>
      </c>
      <c r="D46" s="352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>
        <f>O43*12.81+O44*2.56+O45*2.14</f>
        <v>51.659600000000005</v>
      </c>
      <c r="P46" s="210">
        <f t="shared" ref="P46:AB46" si="31">P43*12.81+P44*2.56+P45*2.14</f>
        <v>36.380000000000003</v>
      </c>
      <c r="Q46" s="210">
        <f t="shared" si="31"/>
        <v>94.053000000000011</v>
      </c>
      <c r="R46" s="210">
        <f t="shared" si="31"/>
        <v>12.84</v>
      </c>
      <c r="S46" s="210">
        <f t="shared" si="31"/>
        <v>56.7956</v>
      </c>
      <c r="T46" s="210">
        <f t="shared" si="31"/>
        <v>84.7012</v>
      </c>
      <c r="U46" s="210">
        <f t="shared" si="31"/>
        <v>112.69240000000001</v>
      </c>
      <c r="V46" s="210">
        <f t="shared" si="31"/>
        <v>143.38</v>
      </c>
      <c r="W46" s="210">
        <f t="shared" si="31"/>
        <v>164.4804</v>
      </c>
      <c r="X46" s="210">
        <f t="shared" si="31"/>
        <v>145.43439999999998</v>
      </c>
      <c r="Y46" s="210">
        <f t="shared" si="31"/>
        <v>0</v>
      </c>
      <c r="Z46" s="210">
        <f t="shared" si="31"/>
        <v>119.17660000000001</v>
      </c>
      <c r="AA46" s="210">
        <f t="shared" si="31"/>
        <v>127.0304</v>
      </c>
      <c r="AB46" s="210">
        <f t="shared" si="31"/>
        <v>145.92660000000001</v>
      </c>
      <c r="AC46" s="210">
        <f>AC45*2.35</f>
        <v>54.52</v>
      </c>
      <c r="AD46" s="210">
        <f t="shared" ref="AD46:AR46" si="32">AD45*2.35</f>
        <v>87.396500000000003</v>
      </c>
      <c r="AE46" s="210">
        <f t="shared" si="32"/>
        <v>60.066000000000003</v>
      </c>
      <c r="AF46" s="210">
        <f t="shared" si="32"/>
        <v>97.243000000000009</v>
      </c>
      <c r="AG46" s="210">
        <f t="shared" si="32"/>
        <v>241.86200000000002</v>
      </c>
      <c r="AH46" s="210">
        <f t="shared" si="32"/>
        <v>117.19450000000001</v>
      </c>
      <c r="AI46" s="210">
        <f t="shared" si="32"/>
        <v>55.906500000000001</v>
      </c>
      <c r="AJ46" s="210">
        <f t="shared" si="32"/>
        <v>63.92</v>
      </c>
      <c r="AK46" s="210">
        <f t="shared" si="32"/>
        <v>79.852999999999994</v>
      </c>
      <c r="AL46" s="210">
        <f t="shared" si="32"/>
        <v>78.114000000000004</v>
      </c>
      <c r="AM46" s="210">
        <f t="shared" si="32"/>
        <v>58.679499999999997</v>
      </c>
      <c r="AN46" s="210">
        <f t="shared" si="32"/>
        <v>148.63750000000002</v>
      </c>
      <c r="AO46" s="210">
        <f t="shared" si="32"/>
        <v>0</v>
      </c>
      <c r="AP46" s="210"/>
      <c r="AQ46" s="210">
        <f t="shared" si="32"/>
        <v>0</v>
      </c>
      <c r="AR46" s="210">
        <f t="shared" si="32"/>
        <v>0</v>
      </c>
      <c r="AS46" s="507">
        <f t="shared" si="20"/>
        <v>2437.9427000000005</v>
      </c>
      <c r="AT46" s="224">
        <f>COUNT(D43:AR45)</f>
        <v>25</v>
      </c>
      <c r="AU46" s="213">
        <f>AS46/AT46</f>
        <v>97.517708000000027</v>
      </c>
      <c r="AV46" s="211"/>
    </row>
    <row r="47" spans="1:49" ht="15.75" x14ac:dyDescent="0.25">
      <c r="A47">
        <v>14.1</v>
      </c>
      <c r="B47">
        <v>12.81</v>
      </c>
      <c r="C47" s="355" t="s">
        <v>83</v>
      </c>
      <c r="D47" s="351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>
        <v>1.65</v>
      </c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348"/>
      <c r="AG47" s="348"/>
      <c r="AH47" s="348"/>
      <c r="AI47" s="348"/>
      <c r="AJ47" s="348"/>
      <c r="AK47" s="348"/>
      <c r="AL47" s="348"/>
      <c r="AM47" s="348"/>
      <c r="AN47" s="348"/>
      <c r="AO47" s="348"/>
      <c r="AP47" s="348"/>
      <c r="AQ47" s="348"/>
      <c r="AR47" s="348"/>
      <c r="AS47" s="498">
        <f t="shared" si="20"/>
        <v>1.65</v>
      </c>
      <c r="AT47" s="78"/>
      <c r="AU47" s="27"/>
      <c r="AV47" s="217"/>
      <c r="AW47" s="217"/>
    </row>
    <row r="48" spans="1:49" ht="15.75" x14ac:dyDescent="0.25">
      <c r="B48">
        <v>2.56</v>
      </c>
      <c r="C48" s="356" t="s">
        <v>34</v>
      </c>
      <c r="D48" s="225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7"/>
      <c r="R48" s="212"/>
      <c r="S48" s="212"/>
      <c r="T48" s="212"/>
      <c r="U48" s="212">
        <v>18.8</v>
      </c>
      <c r="V48" s="212"/>
      <c r="W48" s="212"/>
      <c r="X48" s="212"/>
      <c r="Y48" s="212"/>
      <c r="Z48" s="212">
        <v>50.9</v>
      </c>
      <c r="AA48" s="212">
        <v>56.1</v>
      </c>
      <c r="AB48" s="212">
        <v>70.3</v>
      </c>
      <c r="AC48" s="212"/>
      <c r="AD48" s="212"/>
      <c r="AE48" s="212"/>
      <c r="AF48" s="349"/>
      <c r="AG48" s="349"/>
      <c r="AH48" s="349"/>
      <c r="AI48" s="349"/>
      <c r="AJ48" s="349"/>
      <c r="AK48" s="349"/>
      <c r="AL48" s="349"/>
      <c r="AM48" s="349"/>
      <c r="AN48" s="349"/>
      <c r="AO48" s="349"/>
      <c r="AP48" s="349"/>
      <c r="AQ48" s="349"/>
      <c r="AR48" s="349"/>
      <c r="AS48" s="498">
        <f t="shared" si="20"/>
        <v>196.10000000000002</v>
      </c>
      <c r="AT48" s="78"/>
      <c r="AU48" s="223"/>
      <c r="AV48" s="217"/>
      <c r="AW48" s="217"/>
    </row>
    <row r="49" spans="1:49" ht="15.75" x14ac:dyDescent="0.25">
      <c r="A49">
        <v>2.35</v>
      </c>
      <c r="B49">
        <v>2.14</v>
      </c>
      <c r="C49" s="356" t="s">
        <v>1</v>
      </c>
      <c r="D49" s="225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>
        <v>18.899999999999999</v>
      </c>
      <c r="P49" s="212">
        <v>9.6</v>
      </c>
      <c r="Q49" s="212"/>
      <c r="R49" s="212"/>
      <c r="S49" s="212">
        <v>48.09</v>
      </c>
      <c r="T49" s="212"/>
      <c r="U49" s="212"/>
      <c r="V49" s="212">
        <v>43.12</v>
      </c>
      <c r="W49" s="212">
        <v>49.38</v>
      </c>
      <c r="X49" s="212">
        <v>44.64</v>
      </c>
      <c r="Y49" s="212"/>
      <c r="Z49" s="212"/>
      <c r="AA49" s="212"/>
      <c r="AB49" s="212"/>
      <c r="AC49" s="212">
        <v>0.18</v>
      </c>
      <c r="AD49" s="212">
        <v>49.66</v>
      </c>
      <c r="AE49" s="212">
        <v>32.950000000000003</v>
      </c>
      <c r="AF49" s="349">
        <v>34.22</v>
      </c>
      <c r="AG49" s="349">
        <v>72.31</v>
      </c>
      <c r="AH49" s="349">
        <v>53.74</v>
      </c>
      <c r="AI49" s="349"/>
      <c r="AJ49" s="349">
        <v>1.7</v>
      </c>
      <c r="AK49" s="349">
        <v>37.5</v>
      </c>
      <c r="AL49" s="349">
        <v>17.14</v>
      </c>
      <c r="AM49" s="349">
        <v>10.7</v>
      </c>
      <c r="AN49" s="349"/>
      <c r="AO49" s="349"/>
      <c r="AP49" s="349"/>
      <c r="AQ49" s="349"/>
      <c r="AR49" s="349"/>
      <c r="AS49" s="498">
        <f t="shared" si="20"/>
        <v>523.83000000000004</v>
      </c>
      <c r="AT49" s="78"/>
      <c r="AU49" s="223"/>
      <c r="AV49" s="217"/>
      <c r="AW49" s="217"/>
    </row>
    <row r="50" spans="1:49" ht="16.5" thickBot="1" x14ac:dyDescent="0.3">
      <c r="C50" s="357" t="s">
        <v>75</v>
      </c>
      <c r="D50" s="352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>
        <f>O47*12.81+O48*2.56+O49*2.14</f>
        <v>40.445999999999998</v>
      </c>
      <c r="P50" s="210">
        <f t="shared" ref="P50:AB50" si="33">P47*12.81+P48*2.56+P49*2.14</f>
        <v>20.544</v>
      </c>
      <c r="Q50" s="210">
        <f t="shared" si="33"/>
        <v>21.136499999999998</v>
      </c>
      <c r="R50" s="210"/>
      <c r="S50" s="210">
        <f t="shared" si="33"/>
        <v>102.91260000000001</v>
      </c>
      <c r="T50" s="210"/>
      <c r="U50" s="210">
        <f t="shared" si="33"/>
        <v>48.128</v>
      </c>
      <c r="V50" s="210">
        <f t="shared" si="33"/>
        <v>92.276799999999994</v>
      </c>
      <c r="W50" s="210">
        <f t="shared" si="33"/>
        <v>105.67320000000001</v>
      </c>
      <c r="X50" s="210">
        <f t="shared" si="33"/>
        <v>95.529600000000002</v>
      </c>
      <c r="Y50" s="210">
        <f t="shared" si="33"/>
        <v>0</v>
      </c>
      <c r="Z50" s="210">
        <f t="shared" si="33"/>
        <v>130.304</v>
      </c>
      <c r="AA50" s="210">
        <f t="shared" si="33"/>
        <v>143.61600000000001</v>
      </c>
      <c r="AB50" s="210">
        <f t="shared" si="33"/>
        <v>179.96799999999999</v>
      </c>
      <c r="AC50" s="210">
        <f>AC49*2.35</f>
        <v>0.42299999999999999</v>
      </c>
      <c r="AD50" s="210">
        <f t="shared" ref="AD50:AR50" si="34">AD49*2.35</f>
        <v>116.70099999999999</v>
      </c>
      <c r="AE50" s="210">
        <f t="shared" si="34"/>
        <v>77.432500000000005</v>
      </c>
      <c r="AF50" s="210">
        <f t="shared" si="34"/>
        <v>80.417000000000002</v>
      </c>
      <c r="AG50" s="210">
        <f t="shared" si="34"/>
        <v>169.92850000000001</v>
      </c>
      <c r="AH50" s="210">
        <f t="shared" si="34"/>
        <v>126.28900000000002</v>
      </c>
      <c r="AI50" s="210">
        <f t="shared" si="34"/>
        <v>0</v>
      </c>
      <c r="AJ50" s="210">
        <f t="shared" si="34"/>
        <v>3.9950000000000001</v>
      </c>
      <c r="AK50" s="210">
        <f t="shared" si="34"/>
        <v>88.125</v>
      </c>
      <c r="AL50" s="210">
        <f t="shared" si="34"/>
        <v>40.279000000000003</v>
      </c>
      <c r="AM50" s="210">
        <f t="shared" si="34"/>
        <v>25.145</v>
      </c>
      <c r="AN50" s="210">
        <f t="shared" si="34"/>
        <v>0</v>
      </c>
      <c r="AO50" s="210">
        <f t="shared" si="34"/>
        <v>0</v>
      </c>
      <c r="AP50" s="210"/>
      <c r="AQ50" s="210">
        <f t="shared" si="34"/>
        <v>0</v>
      </c>
      <c r="AR50" s="210">
        <f t="shared" si="34"/>
        <v>0</v>
      </c>
      <c r="AS50" s="507">
        <f t="shared" si="20"/>
        <v>1709.2696999999996</v>
      </c>
      <c r="AT50" s="224">
        <f>COUNT(D47:AR49)</f>
        <v>21</v>
      </c>
      <c r="AU50" s="213">
        <f>AS50/AT50</f>
        <v>81.393795238095223</v>
      </c>
      <c r="AV50" s="211"/>
    </row>
    <row r="51" spans="1:49" ht="15.75" x14ac:dyDescent="0.25">
      <c r="A51">
        <v>13.94</v>
      </c>
      <c r="B51">
        <v>12.65</v>
      </c>
      <c r="C51" s="355" t="s">
        <v>84</v>
      </c>
      <c r="D51" s="351"/>
      <c r="E51" s="209"/>
      <c r="F51" s="209"/>
      <c r="G51" s="209"/>
      <c r="H51" s="209"/>
      <c r="I51" s="209"/>
      <c r="J51" s="209"/>
      <c r="K51" s="209"/>
      <c r="L51" s="209"/>
      <c r="M51" s="209">
        <v>0.3</v>
      </c>
      <c r="N51" s="209"/>
      <c r="O51" s="209"/>
      <c r="P51" s="209"/>
      <c r="Q51" s="209">
        <v>3.2</v>
      </c>
      <c r="R51" s="209"/>
      <c r="S51" s="209"/>
      <c r="T51" s="209">
        <v>9.3000000000000007</v>
      </c>
      <c r="U51" s="209">
        <v>10</v>
      </c>
      <c r="V51" s="209"/>
      <c r="W51" s="209"/>
      <c r="X51" s="209"/>
      <c r="Y51" s="209"/>
      <c r="Z51" s="209"/>
      <c r="AA51" s="209">
        <v>3.55</v>
      </c>
      <c r="AB51" s="209"/>
      <c r="AC51" s="209"/>
      <c r="AD51" s="209"/>
      <c r="AE51" s="209"/>
      <c r="AF51" s="348"/>
      <c r="AG51" s="348"/>
      <c r="AH51" s="348"/>
      <c r="AI51" s="348"/>
      <c r="AJ51" s="348"/>
      <c r="AK51" s="348"/>
      <c r="AL51" s="348"/>
      <c r="AM51" s="348"/>
      <c r="AN51" s="348"/>
      <c r="AO51" s="348"/>
      <c r="AP51" s="348"/>
      <c r="AQ51" s="348"/>
      <c r="AR51" s="348"/>
      <c r="AS51" s="498">
        <f t="shared" si="20"/>
        <v>26.35</v>
      </c>
      <c r="AT51" s="78"/>
      <c r="AU51" s="27"/>
      <c r="AV51" s="217">
        <f>COUNT(D51:P51)</f>
        <v>1</v>
      </c>
      <c r="AW51" s="217">
        <f>COUNT(M53:O53,Q53:S53)</f>
        <v>5</v>
      </c>
    </row>
    <row r="52" spans="1:49" ht="15.75" x14ac:dyDescent="0.25">
      <c r="B52">
        <v>2.11</v>
      </c>
      <c r="C52" s="356" t="s">
        <v>1</v>
      </c>
      <c r="D52" s="225"/>
      <c r="E52" s="212"/>
      <c r="F52" s="212"/>
      <c r="G52" s="212"/>
      <c r="H52" s="212"/>
      <c r="I52" s="212">
        <v>39.76</v>
      </c>
      <c r="J52" s="212"/>
      <c r="K52" s="212"/>
      <c r="L52" s="212"/>
      <c r="M52" s="212">
        <v>13.2</v>
      </c>
      <c r="N52" s="212">
        <v>29.28</v>
      </c>
      <c r="O52" s="212">
        <v>40.46</v>
      </c>
      <c r="P52" s="212">
        <v>25.8</v>
      </c>
      <c r="Q52" s="212"/>
      <c r="R52" s="212"/>
      <c r="S52" s="212">
        <v>53.97</v>
      </c>
      <c r="T52" s="212"/>
      <c r="U52" s="212"/>
      <c r="V52" s="212">
        <v>42.1</v>
      </c>
      <c r="W52" s="212">
        <v>77.8</v>
      </c>
      <c r="X52" s="212">
        <v>86.95</v>
      </c>
      <c r="Y52" s="212"/>
      <c r="Z52" s="212">
        <v>68.48</v>
      </c>
      <c r="AA52" s="212">
        <v>37.56</v>
      </c>
      <c r="AB52" s="212">
        <v>61.76</v>
      </c>
      <c r="AC52" s="212">
        <v>22.4</v>
      </c>
      <c r="AD52" s="212"/>
      <c r="AE52" s="212">
        <v>109.5</v>
      </c>
      <c r="AF52" s="349">
        <v>90.82</v>
      </c>
      <c r="AG52" s="349">
        <v>87.93</v>
      </c>
      <c r="AH52" s="349">
        <v>63.88</v>
      </c>
      <c r="AI52" s="349"/>
      <c r="AJ52" s="349">
        <v>38.450000000000003</v>
      </c>
      <c r="AK52" s="349">
        <v>40.06</v>
      </c>
      <c r="AL52" s="349">
        <v>11.18</v>
      </c>
      <c r="AM52" s="349">
        <v>25</v>
      </c>
      <c r="AN52" s="349">
        <v>7.5</v>
      </c>
      <c r="AO52" s="349"/>
      <c r="AP52" s="349"/>
      <c r="AQ52" s="349"/>
      <c r="AR52" s="349"/>
      <c r="AS52" s="498">
        <f t="shared" si="20"/>
        <v>1073.8400000000001</v>
      </c>
      <c r="AT52" s="78"/>
      <c r="AU52" s="223"/>
      <c r="AV52" s="218">
        <f>SUM(D53:L53)+P53</f>
        <v>138.33159999999998</v>
      </c>
      <c r="AW52" s="218">
        <f>SUM(M53:O53,Q53:S53)</f>
        <v>361.00709999999998</v>
      </c>
    </row>
    <row r="53" spans="1:49" ht="16.5" thickBot="1" x14ac:dyDescent="0.3">
      <c r="A53">
        <v>2.3199999999999998</v>
      </c>
      <c r="C53" s="357" t="s">
        <v>75</v>
      </c>
      <c r="D53" s="352">
        <f t="shared" ref="D53:F53" si="35">D51*11.43+D52*1.9</f>
        <v>0</v>
      </c>
      <c r="E53" s="210">
        <f t="shared" si="35"/>
        <v>0</v>
      </c>
      <c r="F53" s="210">
        <f t="shared" si="35"/>
        <v>0</v>
      </c>
      <c r="G53" s="210"/>
      <c r="H53" s="210"/>
      <c r="I53" s="210">
        <f>I51*12.65+I52*2.11</f>
        <v>83.893599999999992</v>
      </c>
      <c r="J53" s="210"/>
      <c r="K53" s="210"/>
      <c r="L53" s="210"/>
      <c r="M53" s="210">
        <f>M51*12.65+M52*4.22</f>
        <v>59.498999999999995</v>
      </c>
      <c r="N53" s="210">
        <f>N51*12.65+N52*2.11</f>
        <v>61.780799999999999</v>
      </c>
      <c r="O53" s="210">
        <f t="shared" ref="O53:AB53" si="36">O51*12.65+O52*2.11</f>
        <v>85.370599999999996</v>
      </c>
      <c r="P53" s="210">
        <f t="shared" si="36"/>
        <v>54.437999999999995</v>
      </c>
      <c r="Q53" s="210">
        <f t="shared" si="36"/>
        <v>40.480000000000004</v>
      </c>
      <c r="R53" s="210"/>
      <c r="S53" s="210">
        <f t="shared" si="36"/>
        <v>113.87669999999999</v>
      </c>
      <c r="T53" s="210">
        <f t="shared" si="36"/>
        <v>117.64500000000001</v>
      </c>
      <c r="U53" s="210">
        <f t="shared" si="36"/>
        <v>126.5</v>
      </c>
      <c r="V53" s="210">
        <f t="shared" si="36"/>
        <v>88.831000000000003</v>
      </c>
      <c r="W53" s="210">
        <f t="shared" si="36"/>
        <v>164.15799999999999</v>
      </c>
      <c r="X53" s="210">
        <f t="shared" si="36"/>
        <v>183.46449999999999</v>
      </c>
      <c r="Y53" s="210">
        <f t="shared" si="36"/>
        <v>0</v>
      </c>
      <c r="Z53" s="210">
        <f t="shared" si="36"/>
        <v>144.49279999999999</v>
      </c>
      <c r="AA53" s="210">
        <f t="shared" si="36"/>
        <v>124.1591</v>
      </c>
      <c r="AB53" s="210">
        <f t="shared" si="36"/>
        <v>130.31359999999998</v>
      </c>
      <c r="AC53" s="210">
        <f>AC52*2.32</f>
        <v>51.967999999999996</v>
      </c>
      <c r="AD53" s="210">
        <f t="shared" ref="AD53:AR53" si="37">AD52*2.32</f>
        <v>0</v>
      </c>
      <c r="AE53" s="210">
        <f t="shared" si="37"/>
        <v>254.04</v>
      </c>
      <c r="AF53" s="210">
        <f t="shared" si="37"/>
        <v>210.70239999999998</v>
      </c>
      <c r="AG53" s="210">
        <f t="shared" si="37"/>
        <v>203.99760000000001</v>
      </c>
      <c r="AH53" s="210">
        <f t="shared" si="37"/>
        <v>148.20159999999998</v>
      </c>
      <c r="AI53" s="210">
        <f t="shared" si="37"/>
        <v>0</v>
      </c>
      <c r="AJ53" s="210">
        <f t="shared" si="37"/>
        <v>89.203999999999994</v>
      </c>
      <c r="AK53" s="210">
        <f t="shared" si="37"/>
        <v>92.9392</v>
      </c>
      <c r="AL53" s="210">
        <f t="shared" si="37"/>
        <v>25.937599999999996</v>
      </c>
      <c r="AM53" s="210">
        <f t="shared" si="37"/>
        <v>57.999999999999993</v>
      </c>
      <c r="AN53" s="210">
        <f t="shared" si="37"/>
        <v>17.399999999999999</v>
      </c>
      <c r="AO53" s="210">
        <f t="shared" si="37"/>
        <v>0</v>
      </c>
      <c r="AP53" s="210"/>
      <c r="AQ53" s="210">
        <f t="shared" si="37"/>
        <v>0</v>
      </c>
      <c r="AR53" s="210">
        <f t="shared" si="37"/>
        <v>0</v>
      </c>
      <c r="AS53" s="507">
        <f t="shared" si="20"/>
        <v>2731.2931000000003</v>
      </c>
      <c r="AT53" s="224">
        <f>COUNT(D51:AR52)-1</f>
        <v>26</v>
      </c>
      <c r="AU53" s="213">
        <f>AS53/AT53</f>
        <v>105.04973461538462</v>
      </c>
      <c r="AV53" s="215">
        <f>AV52/AV51</f>
        <v>138.33159999999998</v>
      </c>
      <c r="AW53" s="215">
        <f>AW52/AW51</f>
        <v>72.201419999999999</v>
      </c>
    </row>
    <row r="54" spans="1:49" ht="15.75" x14ac:dyDescent="0.25">
      <c r="A54">
        <v>13.94</v>
      </c>
      <c r="B54">
        <v>12.65</v>
      </c>
      <c r="C54" s="355" t="s">
        <v>85</v>
      </c>
      <c r="D54" s="351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348"/>
      <c r="AG54" s="348"/>
      <c r="AH54" s="348"/>
      <c r="AI54" s="348"/>
      <c r="AJ54" s="348"/>
      <c r="AK54" s="348"/>
      <c r="AL54" s="348"/>
      <c r="AM54" s="348"/>
      <c r="AN54" s="348"/>
      <c r="AO54" s="348"/>
      <c r="AP54" s="348"/>
      <c r="AQ54" s="348"/>
      <c r="AR54" s="348"/>
      <c r="AS54" s="498">
        <f t="shared" si="20"/>
        <v>0</v>
      </c>
      <c r="AT54" s="78"/>
      <c r="AU54" s="27"/>
      <c r="AV54" s="217">
        <f>COUNT(H54:L54)</f>
        <v>0</v>
      </c>
      <c r="AW54" s="217">
        <f>COUNT(M55:S55)</f>
        <v>6</v>
      </c>
    </row>
    <row r="55" spans="1:49" ht="15.75" x14ac:dyDescent="0.25">
      <c r="A55">
        <v>2.3199999999999998</v>
      </c>
      <c r="B55">
        <v>2.11</v>
      </c>
      <c r="C55" s="356" t="s">
        <v>1</v>
      </c>
      <c r="D55" s="225"/>
      <c r="E55" s="212"/>
      <c r="F55" s="212"/>
      <c r="G55" s="212"/>
      <c r="H55" s="212"/>
      <c r="I55" s="212">
        <v>43.28</v>
      </c>
      <c r="J55" s="212"/>
      <c r="K55" s="212"/>
      <c r="L55" s="212"/>
      <c r="M55" s="212"/>
      <c r="N55" s="212">
        <v>24</v>
      </c>
      <c r="O55" s="212">
        <v>34.92</v>
      </c>
      <c r="P55" s="212">
        <v>12.64</v>
      </c>
      <c r="Q55" s="212">
        <v>35.35</v>
      </c>
      <c r="R55" s="212">
        <v>3.5</v>
      </c>
      <c r="S55" s="212">
        <v>21.59</v>
      </c>
      <c r="T55" s="212">
        <v>29.06</v>
      </c>
      <c r="U55" s="212">
        <v>45.56</v>
      </c>
      <c r="V55" s="212">
        <v>61.84</v>
      </c>
      <c r="W55" s="212">
        <v>68.84</v>
      </c>
      <c r="X55" s="212">
        <v>55.35</v>
      </c>
      <c r="Y55" s="212"/>
      <c r="Z55" s="212">
        <v>59.14</v>
      </c>
      <c r="AA55" s="212">
        <v>46.4</v>
      </c>
      <c r="AB55" s="212">
        <v>71.75</v>
      </c>
      <c r="AC55" s="212">
        <v>24.7</v>
      </c>
      <c r="AD55" s="212">
        <v>50.6</v>
      </c>
      <c r="AE55" s="212">
        <v>45.07</v>
      </c>
      <c r="AF55" s="349">
        <v>48.38</v>
      </c>
      <c r="AG55" s="349">
        <v>93.32</v>
      </c>
      <c r="AH55" s="349">
        <v>39.619999999999997</v>
      </c>
      <c r="AI55" s="349">
        <v>19.82</v>
      </c>
      <c r="AJ55" s="349">
        <v>46.08</v>
      </c>
      <c r="AK55" s="349">
        <v>37.46</v>
      </c>
      <c r="AL55" s="349">
        <v>26.08</v>
      </c>
      <c r="AM55" s="349">
        <v>20.05</v>
      </c>
      <c r="AN55" s="349">
        <v>52.54</v>
      </c>
      <c r="AO55" s="349"/>
      <c r="AP55" s="349"/>
      <c r="AQ55" s="349"/>
      <c r="AR55" s="349"/>
      <c r="AS55" s="498">
        <f t="shared" si="20"/>
        <v>1116.9400000000003</v>
      </c>
      <c r="AT55" s="78"/>
      <c r="AU55" s="27"/>
      <c r="AV55" s="218">
        <f>SUM(H56:L56)</f>
        <v>91.320799999999991</v>
      </c>
      <c r="AW55" s="218">
        <f>SUM(M56:S56)</f>
        <v>278.52</v>
      </c>
    </row>
    <row r="56" spans="1:49" ht="16.5" thickBot="1" x14ac:dyDescent="0.3">
      <c r="C56" s="357" t="s">
        <v>75</v>
      </c>
      <c r="D56" s="352"/>
      <c r="E56" s="210"/>
      <c r="F56" s="210"/>
      <c r="G56" s="210"/>
      <c r="H56" s="210"/>
      <c r="I56" s="210">
        <f>I54*12.65+I55*2.11</f>
        <v>91.320799999999991</v>
      </c>
      <c r="J56" s="210"/>
      <c r="K56" s="210"/>
      <c r="L56" s="210"/>
      <c r="M56" s="210"/>
      <c r="N56" s="210">
        <f t="shared" ref="N56:AB56" si="38">N54*12.65+N55*2.11</f>
        <v>50.64</v>
      </c>
      <c r="O56" s="210">
        <f t="shared" si="38"/>
        <v>73.681200000000004</v>
      </c>
      <c r="P56" s="210">
        <f t="shared" si="38"/>
        <v>26.670400000000001</v>
      </c>
      <c r="Q56" s="210">
        <f t="shared" si="38"/>
        <v>74.588499999999996</v>
      </c>
      <c r="R56" s="210">
        <f t="shared" si="38"/>
        <v>7.3849999999999998</v>
      </c>
      <c r="S56" s="210">
        <f t="shared" si="38"/>
        <v>45.554899999999996</v>
      </c>
      <c r="T56" s="210">
        <f t="shared" si="38"/>
        <v>61.316599999999994</v>
      </c>
      <c r="U56" s="210">
        <f t="shared" si="38"/>
        <v>96.131600000000006</v>
      </c>
      <c r="V56" s="210">
        <f t="shared" si="38"/>
        <v>130.48240000000001</v>
      </c>
      <c r="W56" s="210">
        <f t="shared" si="38"/>
        <v>145.25239999999999</v>
      </c>
      <c r="X56" s="210">
        <f t="shared" si="38"/>
        <v>116.7885</v>
      </c>
      <c r="Y56" s="210">
        <f t="shared" si="38"/>
        <v>0</v>
      </c>
      <c r="Z56" s="210">
        <f t="shared" si="38"/>
        <v>124.7854</v>
      </c>
      <c r="AA56" s="210">
        <f t="shared" si="38"/>
        <v>97.903999999999996</v>
      </c>
      <c r="AB56" s="210">
        <f t="shared" si="38"/>
        <v>151.39249999999998</v>
      </c>
      <c r="AC56" s="210">
        <f>AC55*2.32</f>
        <v>57.303999999999995</v>
      </c>
      <c r="AD56" s="210">
        <f t="shared" ref="AD56:AR56" si="39">AD55*2.32</f>
        <v>117.392</v>
      </c>
      <c r="AE56" s="210">
        <f t="shared" si="39"/>
        <v>104.5624</v>
      </c>
      <c r="AF56" s="210">
        <f t="shared" si="39"/>
        <v>112.24159999999999</v>
      </c>
      <c r="AG56" s="210">
        <f t="shared" si="39"/>
        <v>216.50239999999997</v>
      </c>
      <c r="AH56" s="210">
        <f t="shared" si="39"/>
        <v>91.918399999999991</v>
      </c>
      <c r="AI56" s="210">
        <f t="shared" si="39"/>
        <v>45.982399999999998</v>
      </c>
      <c r="AJ56" s="210">
        <f t="shared" si="39"/>
        <v>106.90559999999999</v>
      </c>
      <c r="AK56" s="210">
        <f t="shared" si="39"/>
        <v>86.907199999999989</v>
      </c>
      <c r="AL56" s="210">
        <f t="shared" si="39"/>
        <v>60.505599999999994</v>
      </c>
      <c r="AM56" s="210">
        <f t="shared" si="39"/>
        <v>46.515999999999998</v>
      </c>
      <c r="AN56" s="210">
        <f t="shared" si="39"/>
        <v>121.89279999999999</v>
      </c>
      <c r="AO56" s="210">
        <f t="shared" si="39"/>
        <v>0</v>
      </c>
      <c r="AP56" s="210"/>
      <c r="AQ56" s="210">
        <f t="shared" si="39"/>
        <v>0</v>
      </c>
      <c r="AR56" s="210">
        <f t="shared" si="39"/>
        <v>0</v>
      </c>
      <c r="AS56" s="507">
        <f t="shared" si="20"/>
        <v>2462.5246000000002</v>
      </c>
      <c r="AT56" s="6">
        <f>COUNT(D54:AR55)</f>
        <v>27</v>
      </c>
      <c r="AU56" s="213">
        <f>AS56/AT56</f>
        <v>91.204614814814818</v>
      </c>
      <c r="AV56" s="215" t="e">
        <f>AV55/AV54</f>
        <v>#DIV/0!</v>
      </c>
      <c r="AW56" s="215">
        <f>AW55/AW54</f>
        <v>46.419999999999995</v>
      </c>
    </row>
    <row r="57" spans="1:49" ht="15.75" x14ac:dyDescent="0.25">
      <c r="A57">
        <v>14.1</v>
      </c>
      <c r="B57">
        <v>12.81</v>
      </c>
      <c r="C57" s="355" t="s">
        <v>86</v>
      </c>
      <c r="D57" s="351"/>
      <c r="E57" s="209"/>
      <c r="F57" s="209"/>
      <c r="G57" s="209"/>
      <c r="H57" s="209"/>
      <c r="I57" s="209"/>
      <c r="J57" s="209"/>
      <c r="K57" s="209"/>
      <c r="L57" s="209"/>
      <c r="M57" s="209">
        <v>0.2</v>
      </c>
      <c r="N57" s="209"/>
      <c r="O57" s="209"/>
      <c r="P57" s="209"/>
      <c r="Q57" s="209">
        <v>2.85</v>
      </c>
      <c r="R57" s="209"/>
      <c r="S57" s="209"/>
      <c r="T57" s="209">
        <v>6.4</v>
      </c>
      <c r="U57" s="209">
        <v>9.4</v>
      </c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348"/>
      <c r="AG57" s="348"/>
      <c r="AH57" s="348"/>
      <c r="AI57" s="348"/>
      <c r="AJ57" s="348"/>
      <c r="AK57" s="348"/>
      <c r="AL57" s="348"/>
      <c r="AM57" s="348"/>
      <c r="AN57" s="348"/>
      <c r="AO57" s="348"/>
      <c r="AP57" s="348"/>
      <c r="AQ57" s="348"/>
      <c r="AR57" s="348"/>
      <c r="AS57" s="498">
        <f t="shared" si="20"/>
        <v>18.850000000000001</v>
      </c>
      <c r="AT57" s="78"/>
      <c r="AU57" s="27"/>
    </row>
    <row r="58" spans="1:49" ht="15.75" x14ac:dyDescent="0.25">
      <c r="B58">
        <v>2.56</v>
      </c>
      <c r="C58" s="356" t="s">
        <v>34</v>
      </c>
      <c r="D58" s="225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7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349"/>
      <c r="AG58" s="349"/>
      <c r="AH58" s="349"/>
      <c r="AI58" s="349"/>
      <c r="AJ58" s="349"/>
      <c r="AK58" s="349"/>
      <c r="AL58" s="349"/>
      <c r="AM58" s="349"/>
      <c r="AN58" s="349"/>
      <c r="AO58" s="349"/>
      <c r="AP58" s="349"/>
      <c r="AQ58" s="349"/>
      <c r="AR58" s="349"/>
      <c r="AS58" s="498">
        <f t="shared" si="20"/>
        <v>0</v>
      </c>
      <c r="AT58" s="78"/>
      <c r="AU58" s="27"/>
    </row>
    <row r="59" spans="1:49" ht="15.75" x14ac:dyDescent="0.25">
      <c r="A59">
        <v>2.35</v>
      </c>
      <c r="B59">
        <v>2.14</v>
      </c>
      <c r="C59" s="356" t="s">
        <v>1</v>
      </c>
      <c r="D59" s="225"/>
      <c r="E59" s="212"/>
      <c r="F59" s="212"/>
      <c r="G59" s="212"/>
      <c r="H59" s="212"/>
      <c r="I59" s="212">
        <v>32.159999999999997</v>
      </c>
      <c r="J59" s="212"/>
      <c r="K59" s="212"/>
      <c r="L59" s="212"/>
      <c r="M59" s="212">
        <v>18.3</v>
      </c>
      <c r="N59" s="212"/>
      <c r="O59" s="212"/>
      <c r="P59" s="212"/>
      <c r="Q59" s="212"/>
      <c r="R59" s="212"/>
      <c r="S59" s="212">
        <v>50.77</v>
      </c>
      <c r="T59" s="212"/>
      <c r="U59" s="212"/>
      <c r="V59" s="212">
        <v>47.27</v>
      </c>
      <c r="W59" s="212">
        <v>70.86</v>
      </c>
      <c r="X59" s="212">
        <v>56.88</v>
      </c>
      <c r="Y59" s="212"/>
      <c r="Z59" s="212">
        <v>51.71</v>
      </c>
      <c r="AA59" s="212">
        <v>63.32</v>
      </c>
      <c r="AB59" s="212">
        <v>57.24</v>
      </c>
      <c r="AC59" s="212">
        <v>6.4</v>
      </c>
      <c r="AD59" s="212">
        <v>45.36</v>
      </c>
      <c r="AE59" s="212">
        <v>37.42</v>
      </c>
      <c r="AF59" s="349">
        <v>62.68</v>
      </c>
      <c r="AG59" s="349">
        <v>78.77</v>
      </c>
      <c r="AH59" s="349">
        <v>56.15</v>
      </c>
      <c r="AI59" s="349">
        <v>25.68</v>
      </c>
      <c r="AJ59" s="349">
        <v>34.86</v>
      </c>
      <c r="AK59" s="349">
        <v>39.020000000000003</v>
      </c>
      <c r="AL59" s="349">
        <v>28.2</v>
      </c>
      <c r="AM59" s="349">
        <v>31.31</v>
      </c>
      <c r="AN59" s="349">
        <v>53.86</v>
      </c>
      <c r="AO59" s="349"/>
      <c r="AP59" s="349"/>
      <c r="AQ59" s="349"/>
      <c r="AR59" s="349"/>
      <c r="AS59" s="498">
        <f t="shared" si="20"/>
        <v>948.2199999999998</v>
      </c>
      <c r="AT59" s="78"/>
      <c r="AU59" s="27"/>
    </row>
    <row r="60" spans="1:49" ht="16.5" thickBot="1" x14ac:dyDescent="0.3">
      <c r="C60" s="357" t="s">
        <v>75</v>
      </c>
      <c r="D60" s="352"/>
      <c r="E60" s="210"/>
      <c r="F60" s="210"/>
      <c r="G60" s="210"/>
      <c r="H60" s="210"/>
      <c r="I60" s="210">
        <f>I59*2.14</f>
        <v>68.822400000000002</v>
      </c>
      <c r="J60" s="210"/>
      <c r="K60" s="210"/>
      <c r="L60" s="210"/>
      <c r="M60" s="210">
        <f>M57*12.81+M58*2.56+M59*4.27</f>
        <v>80.702999999999989</v>
      </c>
      <c r="N60" s="210"/>
      <c r="O60" s="210"/>
      <c r="P60" s="210"/>
      <c r="Q60" s="210">
        <f t="shared" ref="Q60:AB60" si="40">Q57*12.81+Q58*2.56+Q59*2.14</f>
        <v>36.508500000000005</v>
      </c>
      <c r="R60" s="210"/>
      <c r="S60" s="210">
        <f t="shared" si="40"/>
        <v>108.64780000000002</v>
      </c>
      <c r="T60" s="210">
        <f t="shared" si="40"/>
        <v>81.984000000000009</v>
      </c>
      <c r="U60" s="210">
        <f t="shared" si="40"/>
        <v>120.41400000000002</v>
      </c>
      <c r="V60" s="210">
        <f t="shared" si="40"/>
        <v>101.15780000000001</v>
      </c>
      <c r="W60" s="210">
        <f t="shared" si="40"/>
        <v>151.6404</v>
      </c>
      <c r="X60" s="210">
        <f t="shared" si="40"/>
        <v>121.72320000000001</v>
      </c>
      <c r="Y60" s="210">
        <f t="shared" si="40"/>
        <v>0</v>
      </c>
      <c r="Z60" s="210">
        <f t="shared" si="40"/>
        <v>110.65940000000001</v>
      </c>
      <c r="AA60" s="210">
        <f t="shared" si="40"/>
        <v>135.50480000000002</v>
      </c>
      <c r="AB60" s="210">
        <f t="shared" si="40"/>
        <v>122.49360000000001</v>
      </c>
      <c r="AC60" s="210">
        <f>AC59*2.35+AC57*14.1</f>
        <v>15.040000000000001</v>
      </c>
      <c r="AD60" s="210">
        <f t="shared" ref="AD60:AR60" si="41">AD59*2.35+AD57*14.1</f>
        <v>106.596</v>
      </c>
      <c r="AE60" s="210">
        <f t="shared" si="41"/>
        <v>87.937000000000012</v>
      </c>
      <c r="AF60" s="210">
        <f t="shared" si="41"/>
        <v>147.298</v>
      </c>
      <c r="AG60" s="210">
        <f t="shared" si="41"/>
        <v>185.1095</v>
      </c>
      <c r="AH60" s="210">
        <f t="shared" si="41"/>
        <v>131.95250000000001</v>
      </c>
      <c r="AI60" s="210">
        <f t="shared" si="41"/>
        <v>60.347999999999999</v>
      </c>
      <c r="AJ60" s="210">
        <f t="shared" si="41"/>
        <v>81.921000000000006</v>
      </c>
      <c r="AK60" s="210">
        <f t="shared" si="41"/>
        <v>91.697000000000017</v>
      </c>
      <c r="AL60" s="210">
        <f t="shared" si="41"/>
        <v>66.27</v>
      </c>
      <c r="AM60" s="210">
        <f t="shared" si="41"/>
        <v>73.578500000000005</v>
      </c>
      <c r="AN60" s="210">
        <f t="shared" si="41"/>
        <v>126.571</v>
      </c>
      <c r="AO60" s="210">
        <f t="shared" si="41"/>
        <v>0</v>
      </c>
      <c r="AP60" s="210"/>
      <c r="AQ60" s="210">
        <f t="shared" si="41"/>
        <v>0</v>
      </c>
      <c r="AR60" s="210">
        <f t="shared" si="41"/>
        <v>0</v>
      </c>
      <c r="AS60" s="507">
        <f t="shared" si="20"/>
        <v>2414.5774000000001</v>
      </c>
      <c r="AT60" s="6">
        <f>COUNT(D57:AR59)-1</f>
        <v>24</v>
      </c>
      <c r="AU60" s="213">
        <f>AS60/AT60</f>
        <v>100.60739166666667</v>
      </c>
      <c r="AV60" s="211"/>
    </row>
    <row r="61" spans="1:49" ht="15.75" x14ac:dyDescent="0.25">
      <c r="A61">
        <v>14.1</v>
      </c>
      <c r="B61">
        <v>12.81</v>
      </c>
      <c r="C61" s="355" t="s">
        <v>170</v>
      </c>
      <c r="D61" s="351">
        <v>10.7</v>
      </c>
      <c r="E61" s="209">
        <v>3.6</v>
      </c>
      <c r="F61" s="209">
        <v>19.05</v>
      </c>
      <c r="G61" s="209">
        <v>4.0999999999999996</v>
      </c>
      <c r="H61" s="209">
        <v>6.7</v>
      </c>
      <c r="I61" s="209">
        <v>2.4</v>
      </c>
      <c r="J61" s="209">
        <v>5.4</v>
      </c>
      <c r="K61" s="209">
        <v>6</v>
      </c>
      <c r="L61" s="209">
        <v>3.9</v>
      </c>
      <c r="M61" s="209">
        <v>8.1</v>
      </c>
      <c r="N61" s="209">
        <v>5.6</v>
      </c>
      <c r="O61" s="209"/>
      <c r="P61" s="209"/>
      <c r="Q61" s="209">
        <v>1.85</v>
      </c>
      <c r="R61" s="209"/>
      <c r="S61" s="209">
        <v>2.8</v>
      </c>
      <c r="T61" s="209">
        <v>3.1</v>
      </c>
      <c r="U61" s="209">
        <v>2.2999999999999998</v>
      </c>
      <c r="V61" s="209"/>
      <c r="W61" s="209"/>
      <c r="X61" s="209"/>
      <c r="Y61" s="209"/>
      <c r="Z61" s="209"/>
      <c r="AA61" s="209">
        <v>4.5999999999999996</v>
      </c>
      <c r="AB61" s="209"/>
      <c r="AC61" s="209"/>
      <c r="AD61" s="209"/>
      <c r="AE61" s="209"/>
      <c r="AF61" s="348"/>
      <c r="AG61" s="348"/>
      <c r="AH61" s="348"/>
      <c r="AI61" s="348"/>
      <c r="AJ61" s="348"/>
      <c r="AK61" s="348"/>
      <c r="AL61" s="348"/>
      <c r="AM61" s="348"/>
      <c r="AN61" s="348"/>
      <c r="AO61" s="348"/>
      <c r="AP61" s="348"/>
      <c r="AQ61" s="348"/>
      <c r="AR61" s="348"/>
      <c r="AS61" s="498">
        <f t="shared" si="20"/>
        <v>90.199999999999974</v>
      </c>
      <c r="AT61" s="78"/>
      <c r="AU61" s="27"/>
      <c r="AV61" s="217">
        <f>COUNT(D61:L61)</f>
        <v>9</v>
      </c>
      <c r="AW61" s="217">
        <f>COUNT(M63:S63)</f>
        <v>2</v>
      </c>
    </row>
    <row r="62" spans="1:49" ht="14.25" customHeight="1" x14ac:dyDescent="0.25">
      <c r="B62">
        <v>2.56</v>
      </c>
      <c r="C62" s="356" t="s">
        <v>34</v>
      </c>
      <c r="D62" s="225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7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349"/>
      <c r="AG62" s="349"/>
      <c r="AH62" s="349"/>
      <c r="AI62" s="349"/>
      <c r="AJ62" s="349"/>
      <c r="AK62" s="349"/>
      <c r="AL62" s="349"/>
      <c r="AM62" s="349"/>
      <c r="AN62" s="349"/>
      <c r="AO62" s="349"/>
      <c r="AP62" s="349"/>
      <c r="AQ62" s="349"/>
      <c r="AR62" s="349"/>
      <c r="AS62" s="498">
        <f t="shared" si="20"/>
        <v>0</v>
      </c>
      <c r="AT62" s="78"/>
      <c r="AU62" s="27"/>
      <c r="AV62" s="218">
        <f>SUM(D64:L64)</f>
        <v>792.2985000000001</v>
      </c>
      <c r="AW62" s="218">
        <f>SUM(M64:S64)</f>
        <v>388.50150000000002</v>
      </c>
    </row>
    <row r="63" spans="1:49" ht="15.75" x14ac:dyDescent="0.25">
      <c r="A63">
        <v>2.35</v>
      </c>
      <c r="B63">
        <v>2.14</v>
      </c>
      <c r="C63" s="356" t="s">
        <v>1</v>
      </c>
      <c r="D63" s="225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>
        <v>24.7</v>
      </c>
      <c r="Q63" s="212"/>
      <c r="R63" s="212"/>
      <c r="S63" s="212">
        <v>47</v>
      </c>
      <c r="T63" s="212"/>
      <c r="U63" s="212">
        <v>13.3</v>
      </c>
      <c r="V63" s="212">
        <v>57.08</v>
      </c>
      <c r="W63" s="212">
        <v>53.12</v>
      </c>
      <c r="X63" s="212">
        <v>85.34</v>
      </c>
      <c r="Y63" s="212"/>
      <c r="Z63" s="212">
        <v>84.28</v>
      </c>
      <c r="AA63" s="212">
        <v>46.06</v>
      </c>
      <c r="AB63" s="212">
        <v>83.01</v>
      </c>
      <c r="AC63" s="212">
        <v>12.82</v>
      </c>
      <c r="AD63" s="212">
        <v>60.64</v>
      </c>
      <c r="AE63" s="212">
        <v>48.8</v>
      </c>
      <c r="AF63" s="349">
        <v>56.98</v>
      </c>
      <c r="AG63" s="349">
        <v>88.66</v>
      </c>
      <c r="AH63" s="349">
        <v>65.099999999999994</v>
      </c>
      <c r="AI63" s="349">
        <v>23.07</v>
      </c>
      <c r="AJ63" s="349">
        <v>18</v>
      </c>
      <c r="AK63" s="349">
        <v>50.65</v>
      </c>
      <c r="AL63" s="349">
        <v>17.88</v>
      </c>
      <c r="AM63" s="349">
        <v>27.05</v>
      </c>
      <c r="AN63" s="349">
        <v>66.63</v>
      </c>
      <c r="AO63" s="349"/>
      <c r="AP63" s="349"/>
      <c r="AQ63" s="349"/>
      <c r="AR63" s="349"/>
      <c r="AS63" s="498">
        <f t="shared" si="20"/>
        <v>1030.1699999999998</v>
      </c>
      <c r="AT63" s="78"/>
      <c r="AU63" s="27"/>
    </row>
    <row r="64" spans="1:49" ht="16.5" thickBot="1" x14ac:dyDescent="0.3">
      <c r="C64" s="357" t="s">
        <v>75</v>
      </c>
      <c r="D64" s="352">
        <f>D61*12.81+D62*2.56+D63*2.14</f>
        <v>137.06700000000001</v>
      </c>
      <c r="E64" s="210">
        <f t="shared" ref="E64:AB64" si="42">E61*12.81+E62*2.56+E63*2.14</f>
        <v>46.116</v>
      </c>
      <c r="F64" s="210">
        <f t="shared" si="42"/>
        <v>244.03050000000002</v>
      </c>
      <c r="G64" s="210">
        <f t="shared" si="42"/>
        <v>52.521000000000001</v>
      </c>
      <c r="H64" s="210">
        <f t="shared" si="42"/>
        <v>85.827000000000012</v>
      </c>
      <c r="I64" s="210">
        <f t="shared" si="42"/>
        <v>30.744</v>
      </c>
      <c r="J64" s="210">
        <f t="shared" si="42"/>
        <v>69.174000000000007</v>
      </c>
      <c r="K64" s="210">
        <f t="shared" si="42"/>
        <v>76.86</v>
      </c>
      <c r="L64" s="210">
        <f t="shared" si="42"/>
        <v>49.959000000000003</v>
      </c>
      <c r="M64" s="210">
        <f t="shared" si="42"/>
        <v>103.761</v>
      </c>
      <c r="N64" s="210">
        <f t="shared" si="42"/>
        <v>71.736000000000004</v>
      </c>
      <c r="O64" s="210"/>
      <c r="P64" s="210">
        <f t="shared" si="42"/>
        <v>52.858000000000004</v>
      </c>
      <c r="Q64" s="210">
        <f t="shared" si="42"/>
        <v>23.698500000000003</v>
      </c>
      <c r="R64" s="210"/>
      <c r="S64" s="210">
        <f t="shared" si="42"/>
        <v>136.44800000000001</v>
      </c>
      <c r="T64" s="210">
        <f t="shared" si="42"/>
        <v>39.711000000000006</v>
      </c>
      <c r="U64" s="210">
        <f t="shared" si="42"/>
        <v>57.924999999999997</v>
      </c>
      <c r="V64" s="210">
        <f t="shared" si="42"/>
        <v>122.1512</v>
      </c>
      <c r="W64" s="210">
        <f t="shared" si="42"/>
        <v>113.6768</v>
      </c>
      <c r="X64" s="210">
        <f t="shared" si="42"/>
        <v>182.62760000000003</v>
      </c>
      <c r="Y64" s="210">
        <f t="shared" si="42"/>
        <v>0</v>
      </c>
      <c r="Z64" s="210">
        <f t="shared" si="42"/>
        <v>180.35920000000002</v>
      </c>
      <c r="AA64" s="210">
        <f t="shared" si="42"/>
        <v>157.49440000000001</v>
      </c>
      <c r="AB64" s="210">
        <f t="shared" si="42"/>
        <v>177.64140000000003</v>
      </c>
      <c r="AC64" s="210">
        <f>AC63*2.35+AC61*14.1</f>
        <v>30.127000000000002</v>
      </c>
      <c r="AD64" s="210">
        <f t="shared" ref="AD64:AR64" si="43">AD63*2.35+AD61*14.1</f>
        <v>142.50400000000002</v>
      </c>
      <c r="AE64" s="210">
        <f t="shared" si="43"/>
        <v>114.67999999999999</v>
      </c>
      <c r="AF64" s="210">
        <f t="shared" si="43"/>
        <v>133.90299999999999</v>
      </c>
      <c r="AG64" s="210">
        <f t="shared" si="43"/>
        <v>208.351</v>
      </c>
      <c r="AH64" s="210">
        <f t="shared" si="43"/>
        <v>152.98499999999999</v>
      </c>
      <c r="AI64" s="210">
        <f t="shared" si="43"/>
        <v>54.214500000000001</v>
      </c>
      <c r="AJ64" s="210">
        <f t="shared" si="43"/>
        <v>42.300000000000004</v>
      </c>
      <c r="AK64" s="210">
        <f t="shared" si="43"/>
        <v>119.0275</v>
      </c>
      <c r="AL64" s="210">
        <f t="shared" si="43"/>
        <v>42.018000000000001</v>
      </c>
      <c r="AM64" s="210">
        <f t="shared" si="43"/>
        <v>63.567500000000003</v>
      </c>
      <c r="AN64" s="210">
        <f t="shared" si="43"/>
        <v>156.5805</v>
      </c>
      <c r="AO64" s="210">
        <f t="shared" si="43"/>
        <v>0</v>
      </c>
      <c r="AP64" s="210"/>
      <c r="AQ64" s="210">
        <f t="shared" si="43"/>
        <v>0</v>
      </c>
      <c r="AR64" s="210">
        <f t="shared" si="43"/>
        <v>0</v>
      </c>
      <c r="AS64" s="507">
        <f t="shared" si="20"/>
        <v>3472.6446000000005</v>
      </c>
      <c r="AT64" s="6">
        <f>COUNT(D61:AR63)</f>
        <v>37</v>
      </c>
      <c r="AU64" s="213">
        <f>AS64/AT64</f>
        <v>93.855259459459475</v>
      </c>
      <c r="AV64" s="215">
        <f>AV62/AV61</f>
        <v>88.033166666666673</v>
      </c>
      <c r="AW64" s="215">
        <f>AW62/AW61</f>
        <v>194.25075000000001</v>
      </c>
    </row>
    <row r="65" spans="1:49" ht="15.75" x14ac:dyDescent="0.25">
      <c r="A65">
        <v>14.1</v>
      </c>
      <c r="B65">
        <v>12.81</v>
      </c>
      <c r="C65" s="358" t="s">
        <v>172</v>
      </c>
      <c r="D65" s="353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>
        <v>2.95</v>
      </c>
      <c r="R65" s="226"/>
      <c r="S65" s="226"/>
      <c r="T65" s="226">
        <v>2</v>
      </c>
      <c r="U65" s="230">
        <v>1.2</v>
      </c>
      <c r="V65" s="230"/>
      <c r="W65" s="226"/>
      <c r="X65" s="226"/>
      <c r="Y65" s="226"/>
      <c r="Z65" s="226"/>
      <c r="AA65" s="226"/>
      <c r="AB65" s="226"/>
      <c r="AC65" s="226"/>
      <c r="AD65" s="226"/>
      <c r="AE65" s="226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498">
        <f t="shared" si="20"/>
        <v>6.15</v>
      </c>
      <c r="AT65" s="6"/>
      <c r="AU65" s="213"/>
      <c r="AV65" s="215"/>
      <c r="AW65" s="215"/>
    </row>
    <row r="66" spans="1:49" ht="15.75" x14ac:dyDescent="0.25">
      <c r="A66">
        <v>2.35</v>
      </c>
      <c r="B66">
        <v>2.14</v>
      </c>
      <c r="C66" s="356" t="s">
        <v>171</v>
      </c>
      <c r="D66" s="225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>
        <v>23.82</v>
      </c>
      <c r="P66" s="212">
        <v>24.26</v>
      </c>
      <c r="Q66" s="212"/>
      <c r="R66" s="212"/>
      <c r="S66" s="212">
        <v>42.74</v>
      </c>
      <c r="T66" s="212"/>
      <c r="U66" s="212">
        <v>4.2</v>
      </c>
      <c r="V66" s="212">
        <v>49.21</v>
      </c>
      <c r="W66" s="212">
        <v>60.38</v>
      </c>
      <c r="X66" s="212">
        <v>53.79</v>
      </c>
      <c r="Y66" s="212"/>
      <c r="Z66" s="212">
        <v>51.86</v>
      </c>
      <c r="AA66" s="212">
        <v>64.33</v>
      </c>
      <c r="AB66" s="212">
        <v>38.64</v>
      </c>
      <c r="AC66" s="212">
        <v>8.1199999999999992</v>
      </c>
      <c r="AD66" s="212">
        <v>53.5</v>
      </c>
      <c r="AE66" s="212">
        <v>37.799999999999997</v>
      </c>
      <c r="AF66" s="349">
        <v>69.02</v>
      </c>
      <c r="AG66" s="349">
        <v>57.88</v>
      </c>
      <c r="AH66" s="349">
        <v>56.45</v>
      </c>
      <c r="AI66" s="349">
        <v>26.76</v>
      </c>
      <c r="AJ66" s="349">
        <v>35.36</v>
      </c>
      <c r="AK66" s="349">
        <v>34.08</v>
      </c>
      <c r="AL66" s="349">
        <v>28.86</v>
      </c>
      <c r="AM66" s="349">
        <v>17.03</v>
      </c>
      <c r="AN66" s="349">
        <v>61.92</v>
      </c>
      <c r="AO66" s="349"/>
      <c r="AP66" s="349"/>
      <c r="AQ66" s="349"/>
      <c r="AR66" s="349"/>
      <c r="AS66" s="498">
        <f t="shared" si="20"/>
        <v>900.01</v>
      </c>
      <c r="AT66" s="78"/>
      <c r="AU66" s="27"/>
    </row>
    <row r="67" spans="1:49" ht="16.5" thickBot="1" x14ac:dyDescent="0.3">
      <c r="C67" s="357" t="s">
        <v>75</v>
      </c>
      <c r="D67" s="352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>
        <f>O66*2.14+O65*12.81</f>
        <v>50.974800000000002</v>
      </c>
      <c r="P67" s="210">
        <f t="shared" ref="P67:AB67" si="44">P66*2.14+P65*12.81</f>
        <v>51.916400000000003</v>
      </c>
      <c r="Q67" s="210">
        <f t="shared" si="44"/>
        <v>37.789500000000004</v>
      </c>
      <c r="R67" s="210"/>
      <c r="S67" s="210">
        <f t="shared" si="44"/>
        <v>91.463600000000014</v>
      </c>
      <c r="T67" s="210">
        <f t="shared" si="44"/>
        <v>25.62</v>
      </c>
      <c r="U67" s="210">
        <v>44.06</v>
      </c>
      <c r="V67" s="210">
        <v>24.16</v>
      </c>
      <c r="W67" s="210">
        <f t="shared" si="44"/>
        <v>129.2132</v>
      </c>
      <c r="X67" s="210">
        <f t="shared" si="44"/>
        <v>115.11060000000001</v>
      </c>
      <c r="Y67" s="210">
        <f t="shared" si="44"/>
        <v>0</v>
      </c>
      <c r="Z67" s="210">
        <f t="shared" si="44"/>
        <v>110.9804</v>
      </c>
      <c r="AA67" s="210">
        <f t="shared" si="44"/>
        <v>137.6662</v>
      </c>
      <c r="AB67" s="210">
        <f t="shared" si="44"/>
        <v>82.689600000000013</v>
      </c>
      <c r="AC67" s="210">
        <f>AC66*2.35</f>
        <v>19.081999999999997</v>
      </c>
      <c r="AD67" s="210">
        <f t="shared" ref="AD67:AR67" si="45">AD66*2.35</f>
        <v>125.72500000000001</v>
      </c>
      <c r="AE67" s="210">
        <f t="shared" si="45"/>
        <v>88.83</v>
      </c>
      <c r="AF67" s="210">
        <f t="shared" si="45"/>
        <v>162.197</v>
      </c>
      <c r="AG67" s="210">
        <f t="shared" si="45"/>
        <v>136.018</v>
      </c>
      <c r="AH67" s="210">
        <f t="shared" si="45"/>
        <v>132.6575</v>
      </c>
      <c r="AI67" s="210">
        <f t="shared" si="45"/>
        <v>62.886000000000003</v>
      </c>
      <c r="AJ67" s="210">
        <f t="shared" si="45"/>
        <v>83.096000000000004</v>
      </c>
      <c r="AK67" s="210">
        <f t="shared" si="45"/>
        <v>80.087999999999994</v>
      </c>
      <c r="AL67" s="210">
        <f t="shared" si="45"/>
        <v>67.820999999999998</v>
      </c>
      <c r="AM67" s="210">
        <f t="shared" si="45"/>
        <v>40.020500000000006</v>
      </c>
      <c r="AN67" s="210">
        <f t="shared" si="45"/>
        <v>145.512</v>
      </c>
      <c r="AO67" s="210">
        <f t="shared" si="45"/>
        <v>0</v>
      </c>
      <c r="AP67" s="210"/>
      <c r="AQ67" s="210">
        <f t="shared" si="45"/>
        <v>0</v>
      </c>
      <c r="AR67" s="210">
        <f t="shared" si="45"/>
        <v>0</v>
      </c>
      <c r="AS67" s="507">
        <f t="shared" si="20"/>
        <v>2045.5772999999997</v>
      </c>
      <c r="AT67" s="6">
        <f>COUNT(D66:AR66)</f>
        <v>22</v>
      </c>
      <c r="AU67" s="213">
        <f>AS67/AT67</f>
        <v>92.980786363636355</v>
      </c>
      <c r="AV67" s="211"/>
    </row>
    <row r="68" spans="1:49" ht="15.75" x14ac:dyDescent="0.25">
      <c r="A68">
        <v>2.35</v>
      </c>
      <c r="B68">
        <v>12.81</v>
      </c>
      <c r="C68" s="497" t="s">
        <v>173</v>
      </c>
      <c r="D68" s="225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>
        <v>18.920000000000002</v>
      </c>
      <c r="P68" s="212">
        <v>21.96</v>
      </c>
      <c r="Q68" s="212">
        <v>22.45</v>
      </c>
      <c r="R68" s="212"/>
      <c r="S68" s="212">
        <v>34.79</v>
      </c>
      <c r="T68" s="212"/>
      <c r="U68" s="212">
        <v>44.06</v>
      </c>
      <c r="V68" s="212">
        <v>24.16</v>
      </c>
      <c r="W68" s="212"/>
      <c r="X68" s="212">
        <v>59.62</v>
      </c>
      <c r="Y68" s="212"/>
      <c r="Z68" s="212">
        <v>5.8</v>
      </c>
      <c r="AA68" s="212">
        <v>29.6</v>
      </c>
      <c r="AB68" s="212"/>
      <c r="AC68" s="212">
        <v>8.7799999999999994</v>
      </c>
      <c r="AD68" s="212"/>
      <c r="AE68" s="212">
        <v>10.119999999999999</v>
      </c>
      <c r="AF68" s="349">
        <v>33.18</v>
      </c>
      <c r="AG68" s="349">
        <v>48.93</v>
      </c>
      <c r="AH68" s="349">
        <v>46.44</v>
      </c>
      <c r="AI68" s="349">
        <v>17.89</v>
      </c>
      <c r="AJ68" s="349">
        <v>29.9</v>
      </c>
      <c r="AK68" s="349">
        <v>33.630000000000003</v>
      </c>
      <c r="AL68" s="349">
        <v>10.5</v>
      </c>
      <c r="AM68" s="349">
        <v>7.8</v>
      </c>
      <c r="AN68" s="349">
        <v>41.54</v>
      </c>
      <c r="AO68" s="349"/>
      <c r="AP68" s="349"/>
      <c r="AQ68" s="349"/>
      <c r="AR68" s="349"/>
      <c r="AS68" s="498">
        <f t="shared" si="20"/>
        <v>550.06999999999994</v>
      </c>
      <c r="AT68" s="78"/>
      <c r="AU68" s="27"/>
    </row>
    <row r="69" spans="1:49" ht="16.5" thickBot="1" x14ac:dyDescent="0.3">
      <c r="C69" s="357" t="s">
        <v>75</v>
      </c>
      <c r="D69" s="352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>
        <f>O68*2.14</f>
        <v>40.488800000000005</v>
      </c>
      <c r="P69" s="210">
        <f t="shared" ref="P69:AB69" si="46">P68*2.14</f>
        <v>46.994400000000006</v>
      </c>
      <c r="Q69" s="210">
        <f t="shared" si="46"/>
        <v>48.042999999999999</v>
      </c>
      <c r="R69" s="210"/>
      <c r="S69" s="210">
        <f t="shared" si="46"/>
        <v>74.450600000000009</v>
      </c>
      <c r="T69" s="210"/>
      <c r="U69" s="210"/>
      <c r="V69" s="210"/>
      <c r="W69" s="210">
        <f t="shared" si="46"/>
        <v>0</v>
      </c>
      <c r="X69" s="210">
        <f t="shared" si="46"/>
        <v>127.5868</v>
      </c>
      <c r="Y69" s="210">
        <f t="shared" si="46"/>
        <v>0</v>
      </c>
      <c r="Z69" s="210">
        <f t="shared" si="46"/>
        <v>12.412000000000001</v>
      </c>
      <c r="AA69" s="210">
        <f t="shared" si="46"/>
        <v>63.344000000000008</v>
      </c>
      <c r="AB69" s="210">
        <f t="shared" si="46"/>
        <v>0</v>
      </c>
      <c r="AC69" s="210">
        <f>AC68*2.35</f>
        <v>20.632999999999999</v>
      </c>
      <c r="AD69" s="210">
        <f t="shared" ref="AD69:AR69" si="47">AD68*2.35</f>
        <v>0</v>
      </c>
      <c r="AE69" s="210">
        <f t="shared" si="47"/>
        <v>23.782</v>
      </c>
      <c r="AF69" s="210">
        <f t="shared" si="47"/>
        <v>77.972999999999999</v>
      </c>
      <c r="AG69" s="210">
        <f t="shared" si="47"/>
        <v>114.9855</v>
      </c>
      <c r="AH69" s="210">
        <f t="shared" si="47"/>
        <v>109.134</v>
      </c>
      <c r="AI69" s="210">
        <f t="shared" si="47"/>
        <v>42.041500000000006</v>
      </c>
      <c r="AJ69" s="210">
        <f t="shared" si="47"/>
        <v>70.265000000000001</v>
      </c>
      <c r="AK69" s="210">
        <f t="shared" si="47"/>
        <v>79.030500000000004</v>
      </c>
      <c r="AL69" s="210">
        <f t="shared" si="47"/>
        <v>24.675000000000001</v>
      </c>
      <c r="AM69" s="210">
        <f t="shared" si="47"/>
        <v>18.330000000000002</v>
      </c>
      <c r="AN69" s="210">
        <f t="shared" si="47"/>
        <v>97.619</v>
      </c>
      <c r="AO69" s="210">
        <f t="shared" si="47"/>
        <v>0</v>
      </c>
      <c r="AP69" s="210"/>
      <c r="AQ69" s="210">
        <f t="shared" si="47"/>
        <v>0</v>
      </c>
      <c r="AR69" s="210">
        <f t="shared" si="47"/>
        <v>0</v>
      </c>
      <c r="AS69" s="507">
        <f t="shared" si="20"/>
        <v>1091.7881</v>
      </c>
      <c r="AT69" s="6">
        <f>COUNT(D68:AR68)</f>
        <v>20</v>
      </c>
      <c r="AU69" s="213">
        <f>AS69/AT69</f>
        <v>54.589404999999999</v>
      </c>
      <c r="AV69" s="211"/>
    </row>
    <row r="70" spans="1:49" ht="15.75" x14ac:dyDescent="0.25">
      <c r="A70">
        <v>14.1</v>
      </c>
      <c r="B70">
        <v>12.81</v>
      </c>
      <c r="C70" s="358" t="s">
        <v>176</v>
      </c>
      <c r="D70" s="353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30"/>
      <c r="W70" s="226"/>
      <c r="X70" s="226"/>
      <c r="Y70" s="226"/>
      <c r="Z70" s="226"/>
      <c r="AA70" s="226"/>
      <c r="AB70" s="226"/>
      <c r="AC70" s="226"/>
      <c r="AD70" s="226"/>
      <c r="AE70" s="226"/>
      <c r="AF70" s="350"/>
      <c r="AG70" s="350"/>
      <c r="AH70" s="350"/>
      <c r="AI70" s="350"/>
      <c r="AJ70" s="350"/>
      <c r="AK70" s="350"/>
      <c r="AL70" s="350"/>
      <c r="AM70" s="350"/>
      <c r="AN70" s="350"/>
      <c r="AO70" s="350"/>
      <c r="AP70" s="350"/>
      <c r="AQ70" s="350"/>
      <c r="AR70" s="350"/>
      <c r="AS70" s="498">
        <f t="shared" si="20"/>
        <v>0</v>
      </c>
      <c r="AT70" s="6"/>
      <c r="AU70" s="213"/>
      <c r="AV70" s="211"/>
    </row>
    <row r="71" spans="1:49" ht="15.75" x14ac:dyDescent="0.25">
      <c r="B71">
        <v>2.14</v>
      </c>
      <c r="C71" s="356" t="s">
        <v>174</v>
      </c>
      <c r="D71" s="225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>
        <v>17.55</v>
      </c>
      <c r="T71" s="212"/>
      <c r="U71" s="212"/>
      <c r="V71" s="212"/>
      <c r="W71" s="212"/>
      <c r="X71" s="212">
        <v>54.45</v>
      </c>
      <c r="Y71" s="212"/>
      <c r="Z71" s="212">
        <v>57.84</v>
      </c>
      <c r="AA71" s="212">
        <v>75.17</v>
      </c>
      <c r="AB71" s="212">
        <v>64.55</v>
      </c>
      <c r="AC71" s="212">
        <v>11.08</v>
      </c>
      <c r="AD71" s="212">
        <v>48.46</v>
      </c>
      <c r="AE71" s="212">
        <v>40.31</v>
      </c>
      <c r="AF71" s="349">
        <v>73.459999999999994</v>
      </c>
      <c r="AG71" s="349">
        <v>96.9</v>
      </c>
      <c r="AH71" s="349">
        <v>55.19</v>
      </c>
      <c r="AI71" s="349">
        <v>14.05</v>
      </c>
      <c r="AJ71" s="349"/>
      <c r="AK71" s="349">
        <v>44.51</v>
      </c>
      <c r="AL71" s="349">
        <v>18.78</v>
      </c>
      <c r="AM71" s="349">
        <v>27.93</v>
      </c>
      <c r="AN71" s="349">
        <v>38.01</v>
      </c>
      <c r="AO71" s="349"/>
      <c r="AP71" s="349"/>
      <c r="AQ71" s="349"/>
      <c r="AR71" s="349"/>
      <c r="AS71" s="498">
        <f t="shared" si="20"/>
        <v>738.2399999999999</v>
      </c>
      <c r="AT71" s="78"/>
      <c r="AU71" s="27"/>
    </row>
    <row r="72" spans="1:49" ht="16.5" thickBot="1" x14ac:dyDescent="0.3">
      <c r="A72">
        <v>2.35</v>
      </c>
      <c r="C72" s="357" t="s">
        <v>75</v>
      </c>
      <c r="D72" s="352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>
        <f t="shared" ref="S72:AB72" si="48">S71*2.14+S70*12.81</f>
        <v>37.557000000000002</v>
      </c>
      <c r="T72" s="210"/>
      <c r="U72" s="210"/>
      <c r="V72" s="210"/>
      <c r="W72" s="210">
        <f t="shared" si="48"/>
        <v>0</v>
      </c>
      <c r="X72" s="210">
        <f t="shared" si="48"/>
        <v>116.52300000000001</v>
      </c>
      <c r="Y72" s="210">
        <f t="shared" si="48"/>
        <v>0</v>
      </c>
      <c r="Z72" s="210">
        <f t="shared" si="48"/>
        <v>123.77760000000002</v>
      </c>
      <c r="AA72" s="210">
        <f t="shared" si="48"/>
        <v>160.86380000000003</v>
      </c>
      <c r="AB72" s="210">
        <f t="shared" si="48"/>
        <v>138.137</v>
      </c>
      <c r="AC72" s="210">
        <f>AC71*2.35</f>
        <v>26.038</v>
      </c>
      <c r="AD72" s="210">
        <f t="shared" ref="AD72:AR72" si="49">AD71*2.35</f>
        <v>113.881</v>
      </c>
      <c r="AE72" s="210">
        <f t="shared" si="49"/>
        <v>94.728500000000011</v>
      </c>
      <c r="AF72" s="210">
        <f t="shared" si="49"/>
        <v>172.631</v>
      </c>
      <c r="AG72" s="210">
        <f t="shared" si="49"/>
        <v>227.71500000000003</v>
      </c>
      <c r="AH72" s="210">
        <f t="shared" si="49"/>
        <v>129.69649999999999</v>
      </c>
      <c r="AI72" s="210">
        <f t="shared" si="49"/>
        <v>33.017500000000005</v>
      </c>
      <c r="AJ72" s="210">
        <f t="shared" si="49"/>
        <v>0</v>
      </c>
      <c r="AK72" s="210">
        <f t="shared" si="49"/>
        <v>104.5985</v>
      </c>
      <c r="AL72" s="210">
        <f t="shared" si="49"/>
        <v>44.133000000000003</v>
      </c>
      <c r="AM72" s="210">
        <f t="shared" si="49"/>
        <v>65.635500000000008</v>
      </c>
      <c r="AN72" s="210">
        <f t="shared" si="49"/>
        <v>89.323499999999996</v>
      </c>
      <c r="AO72" s="210">
        <f t="shared" si="49"/>
        <v>0</v>
      </c>
      <c r="AP72" s="210"/>
      <c r="AQ72" s="210">
        <f t="shared" si="49"/>
        <v>0</v>
      </c>
      <c r="AR72" s="210">
        <f t="shared" si="49"/>
        <v>0</v>
      </c>
      <c r="AS72" s="507">
        <f t="shared" si="20"/>
        <v>1678.2564000000002</v>
      </c>
      <c r="AT72" s="6">
        <f>COUNT(D71:AR71)</f>
        <v>16</v>
      </c>
      <c r="AU72" s="213">
        <f>AS72/AT72</f>
        <v>104.89102500000001</v>
      </c>
      <c r="AV72" s="211"/>
    </row>
    <row r="73" spans="1:49" ht="15.75" x14ac:dyDescent="0.25">
      <c r="A73">
        <v>2.35</v>
      </c>
      <c r="B73">
        <v>2.14</v>
      </c>
      <c r="C73" s="356" t="s">
        <v>175</v>
      </c>
      <c r="D73" s="225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>
        <v>3.96</v>
      </c>
      <c r="R73" s="212">
        <v>5.2</v>
      </c>
      <c r="S73" s="212">
        <v>16.920000000000002</v>
      </c>
      <c r="T73" s="212">
        <v>5.82</v>
      </c>
      <c r="U73" s="212">
        <v>30.87</v>
      </c>
      <c r="V73" s="212">
        <v>5.7</v>
      </c>
      <c r="W73" s="212">
        <v>38.299999999999997</v>
      </c>
      <c r="X73" s="212">
        <v>37.020000000000003</v>
      </c>
      <c r="Y73" s="212"/>
      <c r="Z73" s="212">
        <v>5.7</v>
      </c>
      <c r="AA73" s="212"/>
      <c r="AB73" s="212"/>
      <c r="AC73" s="212">
        <v>12.8</v>
      </c>
      <c r="AD73" s="212">
        <v>1.9</v>
      </c>
      <c r="AE73" s="212"/>
      <c r="AF73" s="349">
        <v>32.799999999999997</v>
      </c>
      <c r="AG73" s="349">
        <v>36</v>
      </c>
      <c r="AH73" s="349">
        <v>22.29</v>
      </c>
      <c r="AI73" s="349">
        <v>17.89</v>
      </c>
      <c r="AJ73" s="349">
        <v>20.3</v>
      </c>
      <c r="AK73" s="349">
        <v>19.91</v>
      </c>
      <c r="AL73" s="349">
        <v>24.04</v>
      </c>
      <c r="AM73" s="349">
        <v>16.48</v>
      </c>
      <c r="AN73" s="349">
        <v>40.26</v>
      </c>
      <c r="AO73" s="349"/>
      <c r="AP73" s="349"/>
      <c r="AQ73" s="349"/>
      <c r="AR73" s="349"/>
      <c r="AS73" s="498">
        <f t="shared" si="20"/>
        <v>394.16000000000008</v>
      </c>
      <c r="AT73" s="78"/>
      <c r="AU73" s="27"/>
    </row>
    <row r="74" spans="1:49" ht="16.5" thickBot="1" x14ac:dyDescent="0.3">
      <c r="C74" s="357" t="s">
        <v>75</v>
      </c>
      <c r="D74" s="352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>
        <f t="shared" ref="Q74:AB74" si="50">Q73*1.93</f>
        <v>7.6427999999999994</v>
      </c>
      <c r="R74" s="210">
        <f t="shared" si="50"/>
        <v>10.036</v>
      </c>
      <c r="S74" s="210">
        <f t="shared" si="50"/>
        <v>32.6556</v>
      </c>
      <c r="T74" s="210">
        <f t="shared" si="50"/>
        <v>11.2326</v>
      </c>
      <c r="U74" s="210">
        <f t="shared" si="50"/>
        <v>59.579099999999997</v>
      </c>
      <c r="V74" s="210">
        <f t="shared" si="50"/>
        <v>11.000999999999999</v>
      </c>
      <c r="W74" s="210">
        <f t="shared" si="50"/>
        <v>73.918999999999997</v>
      </c>
      <c r="X74" s="210">
        <f t="shared" si="50"/>
        <v>71.448599999999999</v>
      </c>
      <c r="Y74" s="210">
        <f t="shared" si="50"/>
        <v>0</v>
      </c>
      <c r="Z74" s="210">
        <f t="shared" si="50"/>
        <v>11.000999999999999</v>
      </c>
      <c r="AA74" s="210">
        <f t="shared" si="50"/>
        <v>0</v>
      </c>
      <c r="AB74" s="210">
        <f t="shared" si="50"/>
        <v>0</v>
      </c>
      <c r="AC74" s="210">
        <f>AC73*2.35</f>
        <v>30.080000000000002</v>
      </c>
      <c r="AD74" s="210">
        <f t="shared" ref="AD74:AR74" si="51">AD73*2.35</f>
        <v>4.4649999999999999</v>
      </c>
      <c r="AE74" s="210">
        <f t="shared" si="51"/>
        <v>0</v>
      </c>
      <c r="AF74" s="210">
        <f t="shared" si="51"/>
        <v>77.08</v>
      </c>
      <c r="AG74" s="210">
        <f t="shared" si="51"/>
        <v>84.600000000000009</v>
      </c>
      <c r="AH74" s="210">
        <f t="shared" si="51"/>
        <v>52.381500000000003</v>
      </c>
      <c r="AI74" s="210">
        <f t="shared" si="51"/>
        <v>42.041500000000006</v>
      </c>
      <c r="AJ74" s="210">
        <f t="shared" si="51"/>
        <v>47.705000000000005</v>
      </c>
      <c r="AK74" s="210">
        <f t="shared" si="51"/>
        <v>46.788499999999999</v>
      </c>
      <c r="AL74" s="210">
        <f t="shared" si="51"/>
        <v>56.494</v>
      </c>
      <c r="AM74" s="210">
        <f t="shared" si="51"/>
        <v>38.728000000000002</v>
      </c>
      <c r="AN74" s="210">
        <f t="shared" si="51"/>
        <v>94.611000000000004</v>
      </c>
      <c r="AO74" s="210">
        <f t="shared" si="51"/>
        <v>0</v>
      </c>
      <c r="AP74" s="210"/>
      <c r="AQ74" s="210">
        <f t="shared" si="51"/>
        <v>0</v>
      </c>
      <c r="AR74" s="210">
        <f t="shared" si="51"/>
        <v>0</v>
      </c>
      <c r="AS74" s="507">
        <f t="shared" si="20"/>
        <v>863.49019999999996</v>
      </c>
      <c r="AT74" s="6">
        <f>COUNT(D73:AR73)</f>
        <v>20</v>
      </c>
      <c r="AU74" s="213">
        <f>AS74/AT74</f>
        <v>43.174509999999998</v>
      </c>
      <c r="AV74" s="211"/>
    </row>
    <row r="75" spans="1:49" ht="15.75" x14ac:dyDescent="0.25">
      <c r="A75">
        <v>2.35</v>
      </c>
      <c r="B75">
        <v>2.14</v>
      </c>
      <c r="C75" s="356" t="s">
        <v>91</v>
      </c>
      <c r="D75" s="225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2"/>
      <c r="P75" s="212">
        <v>7.2</v>
      </c>
      <c r="Q75" s="212">
        <v>22.43</v>
      </c>
      <c r="R75" s="212">
        <v>3.8</v>
      </c>
      <c r="S75" s="212">
        <v>17.96</v>
      </c>
      <c r="T75" s="212">
        <v>24.94</v>
      </c>
      <c r="U75" s="212">
        <v>31.29</v>
      </c>
      <c r="V75" s="212">
        <v>60.77</v>
      </c>
      <c r="W75" s="212">
        <v>65.08</v>
      </c>
      <c r="X75" s="212">
        <v>45.26</v>
      </c>
      <c r="Y75" s="212"/>
      <c r="Z75" s="212">
        <v>46.69</v>
      </c>
      <c r="AA75" s="212">
        <v>47.18</v>
      </c>
      <c r="AB75" s="212">
        <v>68.7</v>
      </c>
      <c r="AC75" s="212">
        <v>14.5</v>
      </c>
      <c r="AD75" s="212">
        <v>41.13</v>
      </c>
      <c r="AE75" s="212">
        <v>36.630000000000003</v>
      </c>
      <c r="AF75" s="349">
        <v>48.68</v>
      </c>
      <c r="AG75" s="349">
        <v>82.38</v>
      </c>
      <c r="AH75" s="349">
        <v>47.09</v>
      </c>
      <c r="AI75" s="349">
        <v>13.77</v>
      </c>
      <c r="AJ75" s="349">
        <v>34.68</v>
      </c>
      <c r="AK75" s="349">
        <v>29.19</v>
      </c>
      <c r="AL75" s="349">
        <v>30.64</v>
      </c>
      <c r="AM75" s="349">
        <v>22.98</v>
      </c>
      <c r="AN75" s="349">
        <v>57.15</v>
      </c>
      <c r="AO75" s="349"/>
      <c r="AP75" s="349"/>
      <c r="AQ75" s="349"/>
      <c r="AR75" s="349"/>
      <c r="AS75" s="498">
        <f t="shared" si="20"/>
        <v>900.12</v>
      </c>
      <c r="AT75" s="78"/>
      <c r="AU75" s="27"/>
    </row>
    <row r="76" spans="1:49" ht="16.5" thickBot="1" x14ac:dyDescent="0.3">
      <c r="C76" s="357" t="s">
        <v>75</v>
      </c>
      <c r="D76" s="352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>
        <f t="shared" ref="P76:AB76" si="52">P75*2.14</f>
        <v>15.408000000000001</v>
      </c>
      <c r="Q76" s="210">
        <f t="shared" si="52"/>
        <v>48.0002</v>
      </c>
      <c r="R76" s="210">
        <f t="shared" si="52"/>
        <v>8.1319999999999997</v>
      </c>
      <c r="S76" s="210">
        <f t="shared" si="52"/>
        <v>38.434400000000004</v>
      </c>
      <c r="T76" s="210">
        <f t="shared" si="52"/>
        <v>53.371600000000008</v>
      </c>
      <c r="U76" s="210">
        <f t="shared" si="52"/>
        <v>66.960599999999999</v>
      </c>
      <c r="V76" s="210">
        <f t="shared" si="52"/>
        <v>130.04780000000002</v>
      </c>
      <c r="W76" s="210">
        <f t="shared" si="52"/>
        <v>139.27119999999999</v>
      </c>
      <c r="X76" s="210">
        <f t="shared" si="52"/>
        <v>96.856400000000008</v>
      </c>
      <c r="Y76" s="210">
        <f t="shared" si="52"/>
        <v>0</v>
      </c>
      <c r="Z76" s="210">
        <f t="shared" si="52"/>
        <v>99.916600000000003</v>
      </c>
      <c r="AA76" s="210">
        <f t="shared" si="52"/>
        <v>100.96520000000001</v>
      </c>
      <c r="AB76" s="210">
        <f t="shared" si="52"/>
        <v>147.018</v>
      </c>
      <c r="AC76" s="210">
        <f>AC75*2.35</f>
        <v>34.075000000000003</v>
      </c>
      <c r="AD76" s="210">
        <f t="shared" ref="AD76:AR76" si="53">AD75*2.35</f>
        <v>96.655500000000004</v>
      </c>
      <c r="AE76" s="210">
        <f t="shared" si="53"/>
        <v>86.080500000000015</v>
      </c>
      <c r="AF76" s="210">
        <f t="shared" si="53"/>
        <v>114.39800000000001</v>
      </c>
      <c r="AG76" s="210">
        <f t="shared" si="53"/>
        <v>193.59299999999999</v>
      </c>
      <c r="AH76" s="210">
        <f t="shared" si="53"/>
        <v>110.66150000000002</v>
      </c>
      <c r="AI76" s="210">
        <f t="shared" si="53"/>
        <v>32.359499999999997</v>
      </c>
      <c r="AJ76" s="210">
        <f t="shared" si="53"/>
        <v>81.498000000000005</v>
      </c>
      <c r="AK76" s="210">
        <f t="shared" si="53"/>
        <v>68.596500000000006</v>
      </c>
      <c r="AL76" s="210">
        <f t="shared" si="53"/>
        <v>72.004000000000005</v>
      </c>
      <c r="AM76" s="210">
        <f t="shared" si="53"/>
        <v>54.003</v>
      </c>
      <c r="AN76" s="210">
        <f t="shared" si="53"/>
        <v>134.30250000000001</v>
      </c>
      <c r="AO76" s="210">
        <f t="shared" si="53"/>
        <v>0</v>
      </c>
      <c r="AP76" s="210"/>
      <c r="AQ76" s="210">
        <f t="shared" si="53"/>
        <v>0</v>
      </c>
      <c r="AR76" s="210">
        <f t="shared" si="53"/>
        <v>0</v>
      </c>
      <c r="AS76" s="507">
        <f t="shared" si="20"/>
        <v>2022.6090000000002</v>
      </c>
      <c r="AT76" s="6">
        <f>COUNT(D75:AR75)</f>
        <v>24</v>
      </c>
      <c r="AU76" s="213">
        <f>AS76/AT76</f>
        <v>84.275375000000011</v>
      </c>
      <c r="AV76" s="211"/>
    </row>
    <row r="77" spans="1:49" ht="15.75" x14ac:dyDescent="0.25">
      <c r="A77">
        <v>14.11</v>
      </c>
      <c r="B77">
        <v>12.81</v>
      </c>
      <c r="C77" s="355" t="s">
        <v>87</v>
      </c>
      <c r="D77" s="353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30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350"/>
      <c r="AG77" s="350"/>
      <c r="AH77" s="350"/>
      <c r="AI77" s="350"/>
      <c r="AJ77" s="350"/>
      <c r="AK77" s="350"/>
      <c r="AL77" s="350"/>
      <c r="AM77" s="350"/>
      <c r="AN77" s="350"/>
      <c r="AO77" s="350"/>
      <c r="AP77" s="350"/>
      <c r="AQ77" s="350"/>
      <c r="AR77" s="350"/>
      <c r="AS77" s="498">
        <f t="shared" si="20"/>
        <v>0</v>
      </c>
      <c r="AT77" s="6"/>
      <c r="AU77" s="213"/>
      <c r="AV77" s="211"/>
    </row>
    <row r="78" spans="1:49" ht="15.75" x14ac:dyDescent="0.25">
      <c r="A78">
        <v>2.35</v>
      </c>
      <c r="B78">
        <v>2.14</v>
      </c>
      <c r="C78" s="356" t="s">
        <v>92</v>
      </c>
      <c r="D78" s="225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>
        <v>10.1</v>
      </c>
      <c r="Q78" s="212"/>
      <c r="R78" s="212"/>
      <c r="S78" s="212">
        <v>49.28</v>
      </c>
      <c r="T78" s="212"/>
      <c r="U78" s="212">
        <v>46.19</v>
      </c>
      <c r="V78" s="212">
        <v>53.58</v>
      </c>
      <c r="W78" s="212">
        <v>75.56</v>
      </c>
      <c r="X78" s="212">
        <v>74.819999999999993</v>
      </c>
      <c r="Y78" s="212"/>
      <c r="Z78" s="212">
        <v>74.59</v>
      </c>
      <c r="AA78" s="212">
        <v>68.66</v>
      </c>
      <c r="AB78" s="212">
        <v>64.97</v>
      </c>
      <c r="AC78" s="212">
        <v>15.55</v>
      </c>
      <c r="AD78" s="212">
        <v>57.62</v>
      </c>
      <c r="AE78" s="212">
        <v>42.79</v>
      </c>
      <c r="AF78" s="349">
        <v>49.46</v>
      </c>
      <c r="AG78" s="349">
        <v>84.56</v>
      </c>
      <c r="AH78" s="349">
        <v>56.98</v>
      </c>
      <c r="AI78" s="349">
        <v>24.47</v>
      </c>
      <c r="AJ78" s="349">
        <v>44.78</v>
      </c>
      <c r="AK78" s="349">
        <v>53.55</v>
      </c>
      <c r="AL78" s="349">
        <v>18.78</v>
      </c>
      <c r="AM78" s="349">
        <v>21.4</v>
      </c>
      <c r="AN78" s="349">
        <v>43.01</v>
      </c>
      <c r="AO78" s="349"/>
      <c r="AP78" s="349"/>
      <c r="AQ78" s="349"/>
      <c r="AR78" s="349"/>
      <c r="AS78" s="498">
        <f t="shared" si="20"/>
        <v>1030.7</v>
      </c>
      <c r="AT78" s="78"/>
      <c r="AU78" s="27"/>
    </row>
    <row r="79" spans="1:49" ht="16.5" thickBot="1" x14ac:dyDescent="0.3">
      <c r="C79" s="357" t="s">
        <v>75</v>
      </c>
      <c r="D79" s="352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>
        <f t="shared" ref="P79:AB79" si="54">P78*2.14+P77*12.81</f>
        <v>21.614000000000001</v>
      </c>
      <c r="Q79" s="210"/>
      <c r="R79" s="210"/>
      <c r="S79" s="210">
        <f t="shared" si="54"/>
        <v>105.45920000000001</v>
      </c>
      <c r="T79" s="210"/>
      <c r="U79" s="210">
        <f t="shared" si="54"/>
        <v>98.846599999999995</v>
      </c>
      <c r="V79" s="210">
        <f t="shared" si="54"/>
        <v>114.66120000000001</v>
      </c>
      <c r="W79" s="210">
        <f t="shared" si="54"/>
        <v>161.69840000000002</v>
      </c>
      <c r="X79" s="210">
        <f t="shared" si="54"/>
        <v>160.1148</v>
      </c>
      <c r="Y79" s="210">
        <f t="shared" si="54"/>
        <v>0</v>
      </c>
      <c r="Z79" s="210">
        <f t="shared" si="54"/>
        <v>159.62260000000001</v>
      </c>
      <c r="AA79" s="210">
        <f t="shared" si="54"/>
        <v>146.9324</v>
      </c>
      <c r="AB79" s="210">
        <f t="shared" si="54"/>
        <v>139.03579999999999</v>
      </c>
      <c r="AC79" s="210">
        <f>AC78*2.35</f>
        <v>36.542500000000004</v>
      </c>
      <c r="AD79" s="210">
        <f t="shared" ref="AD79:AR79" si="55">AD78*2.35</f>
        <v>135.40700000000001</v>
      </c>
      <c r="AE79" s="210">
        <f t="shared" si="55"/>
        <v>100.5565</v>
      </c>
      <c r="AF79" s="210">
        <f t="shared" si="55"/>
        <v>116.23100000000001</v>
      </c>
      <c r="AG79" s="210">
        <f t="shared" si="55"/>
        <v>198.71600000000001</v>
      </c>
      <c r="AH79" s="210">
        <f t="shared" si="55"/>
        <v>133.90299999999999</v>
      </c>
      <c r="AI79" s="210">
        <f t="shared" si="55"/>
        <v>57.5045</v>
      </c>
      <c r="AJ79" s="210">
        <f t="shared" si="55"/>
        <v>105.233</v>
      </c>
      <c r="AK79" s="210">
        <f t="shared" si="55"/>
        <v>125.8425</v>
      </c>
      <c r="AL79" s="210">
        <f t="shared" si="55"/>
        <v>44.133000000000003</v>
      </c>
      <c r="AM79" s="210">
        <f t="shared" si="55"/>
        <v>50.29</v>
      </c>
      <c r="AN79" s="210">
        <f t="shared" si="55"/>
        <v>101.0735</v>
      </c>
      <c r="AO79" s="210">
        <f t="shared" si="55"/>
        <v>0</v>
      </c>
      <c r="AP79" s="210"/>
      <c r="AQ79" s="210">
        <f t="shared" si="55"/>
        <v>0</v>
      </c>
      <c r="AR79" s="210">
        <f t="shared" si="55"/>
        <v>0</v>
      </c>
      <c r="AS79" s="507">
        <f t="shared" si="20"/>
        <v>2313.4175</v>
      </c>
      <c r="AT79" s="6">
        <f>COUNT(D78:AR78)</f>
        <v>21</v>
      </c>
      <c r="AU79" s="213">
        <f>AS79/AT79</f>
        <v>110.1627380952381</v>
      </c>
      <c r="AV79" s="211"/>
    </row>
    <row r="80" spans="1:49" ht="15.75" x14ac:dyDescent="0.25">
      <c r="A80">
        <v>14.11</v>
      </c>
      <c r="B80">
        <v>12.81</v>
      </c>
      <c r="C80" s="355" t="s">
        <v>93</v>
      </c>
      <c r="D80" s="353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350"/>
      <c r="AG80" s="350"/>
      <c r="AH80" s="350"/>
      <c r="AI80" s="350"/>
      <c r="AJ80" s="350"/>
      <c r="AK80" s="350"/>
      <c r="AL80" s="350"/>
      <c r="AM80" s="350"/>
      <c r="AN80" s="350"/>
      <c r="AO80" s="350"/>
      <c r="AP80" s="350"/>
      <c r="AQ80" s="350"/>
      <c r="AR80" s="350"/>
      <c r="AS80" s="498">
        <f t="shared" si="20"/>
        <v>0</v>
      </c>
      <c r="AT80" s="6"/>
      <c r="AU80" s="213"/>
      <c r="AV80" s="211"/>
    </row>
    <row r="81" spans="1:48" ht="15.75" x14ac:dyDescent="0.25">
      <c r="A81">
        <v>2.35</v>
      </c>
      <c r="B81">
        <v>2.14</v>
      </c>
      <c r="C81" s="356" t="s">
        <v>1</v>
      </c>
      <c r="D81" s="225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2"/>
      <c r="P81" s="212">
        <v>16.399999999999999</v>
      </c>
      <c r="Q81" s="212"/>
      <c r="R81" s="212"/>
      <c r="S81" s="212">
        <v>45.04</v>
      </c>
      <c r="T81" s="212"/>
      <c r="U81" s="212">
        <v>51.09</v>
      </c>
      <c r="V81" s="212">
        <v>37.74</v>
      </c>
      <c r="W81" s="212">
        <v>63.74</v>
      </c>
      <c r="X81" s="212">
        <v>69.39</v>
      </c>
      <c r="Y81" s="212"/>
      <c r="Z81" s="212">
        <v>68.73</v>
      </c>
      <c r="AA81" s="212">
        <v>61.24</v>
      </c>
      <c r="AB81" s="212">
        <v>31.94</v>
      </c>
      <c r="AC81" s="212">
        <v>12.41</v>
      </c>
      <c r="AD81" s="212">
        <v>59.96</v>
      </c>
      <c r="AE81" s="212">
        <v>39.94</v>
      </c>
      <c r="AF81" s="349">
        <v>49.72</v>
      </c>
      <c r="AG81" s="349">
        <v>73.52</v>
      </c>
      <c r="AH81" s="349">
        <v>52.9</v>
      </c>
      <c r="AI81" s="349">
        <v>19.579999999999998</v>
      </c>
      <c r="AJ81" s="349">
        <v>47.23</v>
      </c>
      <c r="AK81" s="349">
        <v>48.74</v>
      </c>
      <c r="AL81" s="349">
        <v>21.18</v>
      </c>
      <c r="AM81" s="349">
        <v>17</v>
      </c>
      <c r="AN81" s="349">
        <v>60.68</v>
      </c>
      <c r="AO81" s="349"/>
      <c r="AP81" s="349"/>
      <c r="AQ81" s="349"/>
      <c r="AR81" s="349"/>
      <c r="AS81" s="498">
        <f t="shared" si="20"/>
        <v>948.17000000000007</v>
      </c>
      <c r="AT81" s="78"/>
      <c r="AU81" s="27"/>
    </row>
    <row r="82" spans="1:48" ht="16.5" thickBot="1" x14ac:dyDescent="0.3">
      <c r="C82" s="357" t="s">
        <v>75</v>
      </c>
      <c r="D82" s="352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>
        <f t="shared" ref="P82:AB82" si="56">P81*2.14+P80*12.81</f>
        <v>35.095999999999997</v>
      </c>
      <c r="Q82" s="210"/>
      <c r="R82" s="210"/>
      <c r="S82" s="210">
        <f t="shared" si="56"/>
        <v>96.385600000000011</v>
      </c>
      <c r="T82" s="210"/>
      <c r="U82" s="210">
        <f t="shared" si="56"/>
        <v>109.33260000000001</v>
      </c>
      <c r="V82" s="210">
        <f t="shared" si="56"/>
        <v>80.763600000000011</v>
      </c>
      <c r="W82" s="210">
        <f t="shared" si="56"/>
        <v>136.40360000000001</v>
      </c>
      <c r="X82" s="210">
        <f t="shared" si="56"/>
        <v>148.49460000000002</v>
      </c>
      <c r="Y82" s="210">
        <f t="shared" si="56"/>
        <v>0</v>
      </c>
      <c r="Z82" s="210">
        <f t="shared" si="56"/>
        <v>147.08220000000003</v>
      </c>
      <c r="AA82" s="210">
        <f t="shared" si="56"/>
        <v>131.05360000000002</v>
      </c>
      <c r="AB82" s="210">
        <f t="shared" si="56"/>
        <v>68.351600000000005</v>
      </c>
      <c r="AC82" s="210">
        <f>AC81*2.35</f>
        <v>29.163500000000003</v>
      </c>
      <c r="AD82" s="210">
        <f t="shared" ref="AD82:AR82" si="57">AD81*2.35</f>
        <v>140.90600000000001</v>
      </c>
      <c r="AE82" s="210">
        <f t="shared" si="57"/>
        <v>93.858999999999995</v>
      </c>
      <c r="AF82" s="210">
        <f t="shared" si="57"/>
        <v>116.842</v>
      </c>
      <c r="AG82" s="210">
        <f t="shared" si="57"/>
        <v>172.77199999999999</v>
      </c>
      <c r="AH82" s="210">
        <f t="shared" si="57"/>
        <v>124.315</v>
      </c>
      <c r="AI82" s="210">
        <f t="shared" si="57"/>
        <v>46.012999999999998</v>
      </c>
      <c r="AJ82" s="210">
        <f t="shared" si="57"/>
        <v>110.9905</v>
      </c>
      <c r="AK82" s="210">
        <f t="shared" si="57"/>
        <v>114.53900000000002</v>
      </c>
      <c r="AL82" s="210">
        <f t="shared" si="57"/>
        <v>49.773000000000003</v>
      </c>
      <c r="AM82" s="210">
        <f t="shared" si="57"/>
        <v>39.950000000000003</v>
      </c>
      <c r="AN82" s="210">
        <f t="shared" si="57"/>
        <v>142.59800000000001</v>
      </c>
      <c r="AO82" s="210">
        <f t="shared" si="57"/>
        <v>0</v>
      </c>
      <c r="AP82" s="210"/>
      <c r="AQ82" s="210">
        <f t="shared" si="57"/>
        <v>0</v>
      </c>
      <c r="AR82" s="210">
        <f t="shared" si="57"/>
        <v>0</v>
      </c>
      <c r="AS82" s="507">
        <f t="shared" si="20"/>
        <v>2134.6844000000001</v>
      </c>
      <c r="AT82" s="6">
        <f>COUNT(D81:AR81)</f>
        <v>21</v>
      </c>
      <c r="AU82" s="213">
        <f>AS82/AT82</f>
        <v>101.6516380952381</v>
      </c>
      <c r="AV82" s="211"/>
    </row>
    <row r="83" spans="1:48" ht="15.75" x14ac:dyDescent="0.25">
      <c r="A83">
        <v>14.11</v>
      </c>
      <c r="B83">
        <v>12.81</v>
      </c>
      <c r="C83" s="355" t="s">
        <v>94</v>
      </c>
      <c r="D83" s="353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350"/>
      <c r="AG83" s="350"/>
      <c r="AH83" s="350"/>
      <c r="AI83" s="350"/>
      <c r="AJ83" s="350"/>
      <c r="AK83" s="350"/>
      <c r="AL83" s="350"/>
      <c r="AM83" s="350"/>
      <c r="AN83" s="350"/>
      <c r="AO83" s="350"/>
      <c r="AP83" s="350"/>
      <c r="AQ83" s="350"/>
      <c r="AR83" s="350"/>
      <c r="AS83" s="498">
        <f t="shared" si="20"/>
        <v>0</v>
      </c>
      <c r="AT83" s="6"/>
      <c r="AU83" s="213"/>
      <c r="AV83" s="211"/>
    </row>
    <row r="84" spans="1:48" ht="15.75" x14ac:dyDescent="0.25">
      <c r="A84">
        <v>2.35</v>
      </c>
      <c r="B84">
        <v>2.14</v>
      </c>
      <c r="C84" s="356" t="s">
        <v>95</v>
      </c>
      <c r="D84" s="225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>
        <v>23.66</v>
      </c>
      <c r="P84" s="212">
        <v>22.56</v>
      </c>
      <c r="Q84" s="212"/>
      <c r="R84" s="212"/>
      <c r="S84" s="212">
        <v>35.08</v>
      </c>
      <c r="T84" s="212"/>
      <c r="U84" s="261">
        <v>49.02</v>
      </c>
      <c r="V84" s="261">
        <v>44.18</v>
      </c>
      <c r="W84" s="261">
        <v>70.540000000000006</v>
      </c>
      <c r="X84" s="261">
        <v>59.05</v>
      </c>
      <c r="Y84" s="261"/>
      <c r="Z84" s="212">
        <v>69.38</v>
      </c>
      <c r="AA84" s="212">
        <v>64.22</v>
      </c>
      <c r="AB84" s="212">
        <v>56</v>
      </c>
      <c r="AC84" s="212">
        <v>11</v>
      </c>
      <c r="AD84" s="212">
        <v>51.14</v>
      </c>
      <c r="AE84" s="212">
        <v>42.97</v>
      </c>
      <c r="AF84" s="212">
        <v>48.7</v>
      </c>
      <c r="AG84" s="212">
        <v>76.459999999999994</v>
      </c>
      <c r="AH84" s="212">
        <v>51.66</v>
      </c>
      <c r="AI84" s="212">
        <v>18.28</v>
      </c>
      <c r="AJ84" s="212">
        <v>43.93</v>
      </c>
      <c r="AK84" s="212">
        <v>49.22</v>
      </c>
      <c r="AL84" s="212">
        <v>18.100000000000001</v>
      </c>
      <c r="AM84" s="212">
        <v>18.350000000000001</v>
      </c>
      <c r="AN84" s="212">
        <v>47.06</v>
      </c>
      <c r="AO84" s="212"/>
      <c r="AP84" s="212"/>
      <c r="AQ84" s="212"/>
      <c r="AR84" s="212"/>
      <c r="AS84" s="498">
        <f t="shared" si="20"/>
        <v>970.56000000000017</v>
      </c>
      <c r="AT84" s="78"/>
      <c r="AU84" s="27"/>
    </row>
    <row r="85" spans="1:48" ht="16.5" thickBot="1" x14ac:dyDescent="0.3">
      <c r="C85" s="357" t="s">
        <v>75</v>
      </c>
      <c r="D85" s="352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>
        <f>O84*2.14+O83*12.81</f>
        <v>50.632400000000004</v>
      </c>
      <c r="P85" s="210">
        <f t="shared" ref="P85:AB85" si="58">P84*2.14+P83*12.81</f>
        <v>48.278399999999998</v>
      </c>
      <c r="Q85" s="210"/>
      <c r="R85" s="210"/>
      <c r="S85" s="210">
        <f t="shared" si="58"/>
        <v>75.071200000000005</v>
      </c>
      <c r="T85" s="210"/>
      <c r="U85" s="210">
        <f t="shared" si="58"/>
        <v>104.90280000000001</v>
      </c>
      <c r="V85" s="210">
        <f t="shared" si="58"/>
        <v>94.545200000000008</v>
      </c>
      <c r="W85" s="210">
        <f t="shared" si="58"/>
        <v>150.95560000000003</v>
      </c>
      <c r="X85" s="210">
        <f t="shared" si="58"/>
        <v>126.367</v>
      </c>
      <c r="Y85" s="210">
        <f t="shared" si="58"/>
        <v>0</v>
      </c>
      <c r="Z85" s="210">
        <f t="shared" si="58"/>
        <v>148.47319999999999</v>
      </c>
      <c r="AA85" s="210">
        <f t="shared" si="58"/>
        <v>137.4308</v>
      </c>
      <c r="AB85" s="210">
        <f t="shared" si="58"/>
        <v>119.84</v>
      </c>
      <c r="AC85" s="210">
        <f>AC84*2.35</f>
        <v>25.85</v>
      </c>
      <c r="AD85" s="210">
        <f t="shared" ref="AD85:AR85" si="59">AD84*2.35</f>
        <v>120.179</v>
      </c>
      <c r="AE85" s="210">
        <f t="shared" si="59"/>
        <v>100.9795</v>
      </c>
      <c r="AF85" s="210">
        <f t="shared" si="59"/>
        <v>114.44500000000001</v>
      </c>
      <c r="AG85" s="210">
        <f t="shared" si="59"/>
        <v>179.68099999999998</v>
      </c>
      <c r="AH85" s="210">
        <f t="shared" si="59"/>
        <v>121.401</v>
      </c>
      <c r="AI85" s="210">
        <f t="shared" si="59"/>
        <v>42.958000000000006</v>
      </c>
      <c r="AJ85" s="210">
        <f t="shared" si="59"/>
        <v>103.2355</v>
      </c>
      <c r="AK85" s="210">
        <f t="shared" si="59"/>
        <v>115.667</v>
      </c>
      <c r="AL85" s="210">
        <f t="shared" si="59"/>
        <v>42.535000000000004</v>
      </c>
      <c r="AM85" s="210">
        <f t="shared" si="59"/>
        <v>43.122500000000002</v>
      </c>
      <c r="AN85" s="210">
        <f t="shared" si="59"/>
        <v>110.59100000000001</v>
      </c>
      <c r="AO85" s="210">
        <f t="shared" si="59"/>
        <v>0</v>
      </c>
      <c r="AP85" s="210"/>
      <c r="AQ85" s="210">
        <f t="shared" si="59"/>
        <v>0</v>
      </c>
      <c r="AR85" s="210">
        <f t="shared" si="59"/>
        <v>0</v>
      </c>
      <c r="AS85" s="507">
        <f t="shared" ref="AS85:AS88" si="60">SUM(D85:AR85)</f>
        <v>2177.1410999999998</v>
      </c>
      <c r="AT85" s="6">
        <f>COUNT(D84:AR84)</f>
        <v>22</v>
      </c>
      <c r="AU85" s="213">
        <f>AS85/AT85</f>
        <v>98.960959090909085</v>
      </c>
      <c r="AV85" s="211"/>
    </row>
    <row r="86" spans="1:48" ht="15.75" x14ac:dyDescent="0.25">
      <c r="A86">
        <v>11.12</v>
      </c>
      <c r="C86" s="355" t="s">
        <v>178</v>
      </c>
      <c r="D86" s="353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498">
        <f t="shared" si="60"/>
        <v>0</v>
      </c>
      <c r="AT86" s="6"/>
      <c r="AU86" s="213"/>
    </row>
    <row r="87" spans="1:48" ht="15.75" x14ac:dyDescent="0.25">
      <c r="B87">
        <v>2.2200000000000002</v>
      </c>
      <c r="C87" s="359" t="s">
        <v>190</v>
      </c>
      <c r="D87" s="353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360">
        <v>55.2</v>
      </c>
      <c r="T87" s="230">
        <v>41.5</v>
      </c>
      <c r="U87" s="230">
        <v>62.7</v>
      </c>
      <c r="V87" s="226"/>
      <c r="W87" s="226"/>
      <c r="X87" s="226">
        <v>108.4</v>
      </c>
      <c r="Y87" s="226">
        <v>72.900000000000006</v>
      </c>
      <c r="Z87" s="226">
        <v>116.2</v>
      </c>
      <c r="AA87" s="226">
        <v>100.6</v>
      </c>
      <c r="AB87" s="226">
        <v>123.3</v>
      </c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498">
        <f t="shared" si="60"/>
        <v>680.8</v>
      </c>
      <c r="AT87" s="6"/>
      <c r="AU87" s="213"/>
    </row>
    <row r="88" spans="1:48" ht="15.75" x14ac:dyDescent="0.25">
      <c r="A88">
        <v>1.96</v>
      </c>
      <c r="B88">
        <v>1.78</v>
      </c>
      <c r="C88" s="356" t="s">
        <v>95</v>
      </c>
      <c r="D88" s="225"/>
      <c r="E88" s="212"/>
      <c r="F88" s="212"/>
      <c r="G88" s="212"/>
      <c r="H88" s="212"/>
      <c r="I88" s="212">
        <v>88.32</v>
      </c>
      <c r="J88" s="212"/>
      <c r="K88" s="212"/>
      <c r="L88" s="212"/>
      <c r="M88" s="212"/>
      <c r="N88" s="212">
        <v>71.2</v>
      </c>
      <c r="O88" s="212">
        <v>76.2</v>
      </c>
      <c r="P88" s="212">
        <v>44.06</v>
      </c>
      <c r="Q88" s="212">
        <v>101.02</v>
      </c>
      <c r="R88" s="212"/>
      <c r="S88" s="212"/>
      <c r="T88" s="212"/>
      <c r="U88" s="212"/>
      <c r="V88" s="212">
        <v>87.4</v>
      </c>
      <c r="W88" s="212">
        <v>85</v>
      </c>
      <c r="X88" s="212"/>
      <c r="Y88" s="212"/>
      <c r="Z88" s="212"/>
      <c r="AA88" s="212"/>
      <c r="AB88" s="212"/>
      <c r="AC88" s="212">
        <v>19.14</v>
      </c>
      <c r="AD88" s="212"/>
      <c r="AE88" s="212">
        <v>71.650000000000006</v>
      </c>
      <c r="AF88" s="212">
        <v>72.12</v>
      </c>
      <c r="AG88" s="212">
        <v>110.34</v>
      </c>
      <c r="AH88" s="212">
        <v>103.54</v>
      </c>
      <c r="AI88" s="212">
        <v>71.67</v>
      </c>
      <c r="AJ88" s="212">
        <v>86.66</v>
      </c>
      <c r="AK88" s="212">
        <v>71.2</v>
      </c>
      <c r="AL88" s="212">
        <v>51.08</v>
      </c>
      <c r="AM88" s="212">
        <v>66.099999999999994</v>
      </c>
      <c r="AN88" s="212">
        <v>113.1</v>
      </c>
      <c r="AO88" s="212"/>
      <c r="AP88" s="212">
        <v>37.700000000000003</v>
      </c>
      <c r="AQ88" s="212">
        <v>35.9</v>
      </c>
      <c r="AR88" s="212">
        <v>25.9</v>
      </c>
      <c r="AS88" s="498">
        <f t="shared" si="60"/>
        <v>1489.3</v>
      </c>
      <c r="AT88" s="78"/>
      <c r="AU88" s="27"/>
    </row>
    <row r="89" spans="1:48" ht="16.5" thickBot="1" x14ac:dyDescent="0.3">
      <c r="C89" s="357" t="s">
        <v>75</v>
      </c>
      <c r="D89" s="352"/>
      <c r="E89" s="210"/>
      <c r="F89" s="210"/>
      <c r="G89" s="210"/>
      <c r="H89" s="210"/>
      <c r="I89" s="210">
        <f>I88*$B$88</f>
        <v>157.20959999999999</v>
      </c>
      <c r="J89" s="210"/>
      <c r="K89" s="210"/>
      <c r="L89" s="210"/>
      <c r="M89" s="210"/>
      <c r="N89" s="210">
        <f t="shared" ref="N89:Q89" si="61">N88*$B$88</f>
        <v>126.736</v>
      </c>
      <c r="O89" s="210">
        <f t="shared" si="61"/>
        <v>135.636</v>
      </c>
      <c r="P89" s="210">
        <f t="shared" si="61"/>
        <v>78.4268</v>
      </c>
      <c r="Q89" s="210">
        <f t="shared" si="61"/>
        <v>179.81559999999999</v>
      </c>
      <c r="R89" s="210"/>
      <c r="S89" s="210">
        <f>S87*$B$87</f>
        <v>122.54400000000001</v>
      </c>
      <c r="T89" s="210">
        <f t="shared" ref="T89:U89" si="62">T87*$B$87</f>
        <v>92.13000000000001</v>
      </c>
      <c r="U89" s="210">
        <f t="shared" si="62"/>
        <v>139.19400000000002</v>
      </c>
      <c r="V89" s="210">
        <f>V88*$B$88</f>
        <v>155.572</v>
      </c>
      <c r="W89" s="210">
        <f t="shared" ref="W89" si="63">W88*$B$88</f>
        <v>151.30000000000001</v>
      </c>
      <c r="X89" s="210">
        <f>(X88*$B$88)+(X87*B87)</f>
        <v>240.64800000000002</v>
      </c>
      <c r="Y89" s="210">
        <f>(Y88*1.78)+(Y87*2.22)</f>
        <v>161.83800000000002</v>
      </c>
      <c r="Z89" s="210">
        <f t="shared" ref="Z89:AB89" si="64">(Z88*1.78)+(Z87*2.22)</f>
        <v>257.96400000000006</v>
      </c>
      <c r="AA89" s="210">
        <f t="shared" si="64"/>
        <v>223.33199999999999</v>
      </c>
      <c r="AB89" s="210">
        <f t="shared" si="64"/>
        <v>273.726</v>
      </c>
      <c r="AC89" s="210">
        <f>AC88*1.96</f>
        <v>37.514400000000002</v>
      </c>
      <c r="AD89" s="210">
        <f t="shared" ref="AD89:AO89" si="65">AD88*1.96</f>
        <v>0</v>
      </c>
      <c r="AE89" s="210">
        <f t="shared" si="65"/>
        <v>140.434</v>
      </c>
      <c r="AF89" s="210">
        <f t="shared" si="65"/>
        <v>141.3552</v>
      </c>
      <c r="AG89" s="210">
        <f t="shared" si="65"/>
        <v>216.2664</v>
      </c>
      <c r="AH89" s="210">
        <f t="shared" si="65"/>
        <v>202.9384</v>
      </c>
      <c r="AI89" s="210">
        <f t="shared" si="65"/>
        <v>140.47319999999999</v>
      </c>
      <c r="AJ89" s="210">
        <f t="shared" si="65"/>
        <v>169.8536</v>
      </c>
      <c r="AK89" s="210">
        <f t="shared" si="65"/>
        <v>139.55199999999999</v>
      </c>
      <c r="AL89" s="210">
        <f t="shared" si="65"/>
        <v>100.1168</v>
      </c>
      <c r="AM89" s="210">
        <f t="shared" si="65"/>
        <v>129.55599999999998</v>
      </c>
      <c r="AN89" s="210">
        <f t="shared" si="65"/>
        <v>221.67599999999999</v>
      </c>
      <c r="AO89" s="210">
        <f t="shared" si="65"/>
        <v>0</v>
      </c>
      <c r="AP89" s="210">
        <f>AP88*3.91</f>
        <v>147.40700000000001</v>
      </c>
      <c r="AQ89" s="210">
        <f t="shared" ref="AQ89:AR89" si="66">AQ88*3.91</f>
        <v>140.369</v>
      </c>
      <c r="AR89" s="210">
        <f t="shared" si="66"/>
        <v>101.26899999999999</v>
      </c>
      <c r="AS89" s="507">
        <f>SUM(D89:AR89)</f>
        <v>4524.8530000000001</v>
      </c>
      <c r="AT89" s="6">
        <f>COUNT(D88:AR88)</f>
        <v>21</v>
      </c>
      <c r="AU89" s="213">
        <f>AS89/AT89</f>
        <v>215.46919047619048</v>
      </c>
    </row>
    <row r="91" spans="1:48" x14ac:dyDescent="0.25">
      <c r="C91" s="361" t="s">
        <v>34</v>
      </c>
      <c r="G91">
        <v>1.83</v>
      </c>
    </row>
    <row r="92" spans="1:48" x14ac:dyDescent="0.25">
      <c r="C92" s="361" t="s">
        <v>1</v>
      </c>
      <c r="G92">
        <v>1.52</v>
      </c>
      <c r="AS92" s="215">
        <f>SUM(AS6:AS91)</f>
        <v>82803.780199999994</v>
      </c>
      <c r="AT92" s="220">
        <f>SUM(AT6:AT91)</f>
        <v>624</v>
      </c>
      <c r="AU92" s="281">
        <f>AS92/AT92</f>
        <v>132.6983657051282</v>
      </c>
    </row>
    <row r="93" spans="1:48" x14ac:dyDescent="0.25">
      <c r="C93" s="361"/>
    </row>
    <row r="96" spans="1:48" x14ac:dyDescent="0.25">
      <c r="J96" t="s">
        <v>183</v>
      </c>
      <c r="K96">
        <v>78</v>
      </c>
      <c r="L96">
        <f>K96*B88</f>
        <v>138.84</v>
      </c>
    </row>
    <row r="97" spans="11:12" x14ac:dyDescent="0.25">
      <c r="K97">
        <v>45</v>
      </c>
      <c r="L97">
        <f>K97*2.14*1.5</f>
        <v>144.45000000000002</v>
      </c>
    </row>
    <row r="99" spans="11:12" x14ac:dyDescent="0.25">
      <c r="K99">
        <f>AVERAGE(S17:V17,S52:V52,U55:V55,S59:V59,S63:V63,S78:V78,S81:V81,T75:V75,U73,S66,V66,S68,S49:V49,T45:V45,S41,V41,S37:V37,S33:V33,S13:V13,)</f>
        <v>44.547179487179484</v>
      </c>
    </row>
  </sheetData>
  <mergeCells count="1">
    <mergeCell ref="D1:U1"/>
  </mergeCells>
  <pageMargins left="0.11811023622047245" right="0.11811023622047245" top="0" bottom="0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14"/>
  <sheetViews>
    <sheetView zoomScaleNormal="100" workbookViewId="0">
      <pane xSplit="3" ySplit="3" topLeftCell="V88" activePane="bottomRight" state="frozen"/>
      <selection pane="topRight" activeCell="C1" sqref="C1"/>
      <selection pane="bottomLeft" activeCell="A4" sqref="A4"/>
      <selection pane="bottomRight" activeCell="AL111" sqref="AL111"/>
    </sheetView>
  </sheetViews>
  <sheetFormatPr defaultRowHeight="15.75" x14ac:dyDescent="0.25"/>
  <cols>
    <col min="1" max="1" width="6.28515625" style="35" customWidth="1"/>
    <col min="2" max="2" width="26.140625" style="35" customWidth="1"/>
    <col min="3" max="3" width="8.7109375" style="35" customWidth="1"/>
    <col min="4" max="4" width="6.5703125" style="36" customWidth="1"/>
    <col min="5" max="5" width="4.28515625" style="37" customWidth="1"/>
    <col min="6" max="6" width="7.28515625" style="36" customWidth="1"/>
    <col min="7" max="7" width="6.5703125" style="36" customWidth="1"/>
    <col min="8" max="8" width="4.28515625" style="37" customWidth="1"/>
    <col min="9" max="9" width="7" style="36" customWidth="1"/>
    <col min="10" max="10" width="7.42578125" style="36" customWidth="1"/>
    <col min="11" max="11" width="4.140625" style="37" customWidth="1"/>
    <col min="12" max="12" width="7.85546875" style="36" customWidth="1"/>
    <col min="13" max="13" width="7.42578125" style="36" customWidth="1"/>
    <col min="14" max="14" width="4.140625" style="37" customWidth="1"/>
    <col min="15" max="15" width="8.28515625" style="36" customWidth="1"/>
    <col min="16" max="16" width="6" style="36" customWidth="1"/>
    <col min="17" max="17" width="4.140625" style="37" customWidth="1"/>
    <col min="18" max="18" width="8.28515625" style="36" customWidth="1"/>
    <col min="19" max="19" width="6.5703125" style="36" customWidth="1"/>
    <col min="20" max="20" width="4" style="37" customWidth="1"/>
    <col min="21" max="21" width="9.7109375" style="36" customWidth="1"/>
    <col min="22" max="22" width="6.5703125" style="36" customWidth="1"/>
    <col min="23" max="23" width="4" style="37" customWidth="1"/>
    <col min="24" max="24" width="7.5703125" style="36" customWidth="1"/>
    <col min="25" max="25" width="7.42578125" style="36" customWidth="1"/>
    <col min="26" max="26" width="4" style="37" customWidth="1"/>
    <col min="27" max="28" width="7.5703125" style="36" customWidth="1"/>
    <col min="29" max="29" width="4" style="37" customWidth="1"/>
    <col min="30" max="30" width="7.5703125" style="36" customWidth="1"/>
    <col min="31" max="31" width="6.5703125" style="36" customWidth="1"/>
    <col min="32" max="32" width="4" style="37" customWidth="1"/>
    <col min="33" max="33" width="7.5703125" style="36" customWidth="1"/>
    <col min="34" max="34" width="6.5703125" style="36" customWidth="1"/>
    <col min="35" max="35" width="4" style="37" customWidth="1"/>
    <col min="36" max="36" width="7.5703125" style="36" customWidth="1"/>
    <col min="37" max="37" width="6.5703125" style="36" customWidth="1"/>
    <col min="38" max="38" width="4" style="37" customWidth="1"/>
    <col min="39" max="39" width="7.5703125" style="36" customWidth="1"/>
    <col min="40" max="40" width="7.7109375" style="36" customWidth="1"/>
    <col min="41" max="41" width="7.7109375" style="37" customWidth="1"/>
    <col min="42" max="46" width="7.7109375" style="36" customWidth="1"/>
    <col min="47" max="47" width="5.28515625" style="36" customWidth="1"/>
    <col min="48" max="49" width="7.7109375" style="36" customWidth="1"/>
    <col min="50" max="50" width="5.140625" style="36" customWidth="1"/>
    <col min="51" max="52" width="7.7109375" style="36" customWidth="1"/>
    <col min="53" max="53" width="4.85546875" style="36" customWidth="1"/>
    <col min="54" max="55" width="7.7109375" style="36" customWidth="1"/>
    <col min="56" max="56" width="4.7109375" style="36" customWidth="1"/>
    <col min="57" max="57" width="7.42578125" style="36" customWidth="1"/>
    <col min="58" max="58" width="7.7109375" style="36" customWidth="1"/>
    <col min="59" max="59" width="4.28515625" style="36" customWidth="1"/>
    <col min="60" max="61" width="7.7109375" style="36" customWidth="1"/>
    <col min="62" max="62" width="5" style="36" customWidth="1"/>
    <col min="63" max="63" width="7.7109375" style="36" customWidth="1"/>
    <col min="64" max="64" width="7.5703125" style="36" customWidth="1"/>
    <col min="65" max="65" width="4" style="36" customWidth="1"/>
    <col min="66" max="66" width="7.5703125" style="36" customWidth="1"/>
    <col min="67" max="67" width="7.140625" style="36" customWidth="1"/>
    <col min="68" max="68" width="3.5703125" style="36" customWidth="1"/>
    <col min="69" max="70" width="7.5703125" style="36" customWidth="1"/>
    <col min="71" max="71" width="5.140625" style="36" customWidth="1"/>
    <col min="72" max="73" width="7.5703125" style="36" customWidth="1"/>
    <col min="74" max="74" width="4.85546875" style="36" customWidth="1"/>
    <col min="75" max="76" width="7.5703125" style="36" customWidth="1"/>
    <col min="77" max="77" width="5" style="36" customWidth="1"/>
    <col min="78" max="78" width="7.5703125" style="36" customWidth="1"/>
    <col min="79" max="79" width="6.5703125" style="36" customWidth="1"/>
    <col min="80" max="80" width="4" style="36" customWidth="1"/>
    <col min="81" max="81" width="7.5703125" style="36" customWidth="1"/>
    <col min="82" max="82" width="6.5703125" style="36" customWidth="1"/>
    <col min="83" max="83" width="3.42578125" style="37" customWidth="1"/>
    <col min="84" max="85" width="7.5703125" style="36" customWidth="1"/>
    <col min="86" max="86" width="4.42578125" style="36" customWidth="1"/>
    <col min="87" max="88" width="7.5703125" style="36" customWidth="1"/>
    <col min="89" max="89" width="3.85546875" style="36" customWidth="1"/>
    <col min="90" max="90" width="7.7109375" style="36" customWidth="1"/>
    <col min="91" max="91" width="6.28515625" style="36" customWidth="1"/>
    <col min="92" max="92" width="4.42578125" style="36" customWidth="1"/>
    <col min="93" max="93" width="6.7109375" style="36" customWidth="1"/>
    <col min="94" max="94" width="7.5703125" style="36" customWidth="1"/>
    <col min="95" max="95" width="4.85546875" style="36" customWidth="1"/>
    <col min="96" max="97" width="7.5703125" style="36" customWidth="1"/>
    <col min="98" max="98" width="4.28515625" style="36" customWidth="1"/>
    <col min="99" max="99" width="7.5703125" style="36" customWidth="1"/>
    <col min="100" max="100" width="6.5703125" style="36" customWidth="1"/>
    <col min="101" max="101" width="4" style="37" customWidth="1"/>
    <col min="102" max="102" width="7.5703125" style="36" customWidth="1"/>
    <col min="103" max="103" width="10.7109375" style="36" customWidth="1"/>
    <col min="104" max="104" width="11.42578125" style="36" customWidth="1"/>
    <col min="105" max="105" width="4.42578125" style="36" customWidth="1"/>
    <col min="106" max="106" width="9.5703125" style="36" bestFit="1" customWidth="1"/>
    <col min="107" max="16384" width="9.140625" style="36"/>
  </cols>
  <sheetData>
    <row r="1" spans="1:108" ht="16.5" thickBot="1" x14ac:dyDescent="0.3">
      <c r="D1" s="36" t="s">
        <v>33</v>
      </c>
    </row>
    <row r="2" spans="1:108" x14ac:dyDescent="0.25">
      <c r="A2" s="669" t="s">
        <v>20</v>
      </c>
      <c r="B2" s="675" t="s">
        <v>26</v>
      </c>
      <c r="C2" s="671" t="s">
        <v>26</v>
      </c>
      <c r="D2" s="666">
        <v>44747</v>
      </c>
      <c r="E2" s="667"/>
      <c r="F2" s="668"/>
      <c r="G2" s="666">
        <v>44753</v>
      </c>
      <c r="H2" s="667"/>
      <c r="I2" s="668"/>
      <c r="J2" s="666">
        <v>44756</v>
      </c>
      <c r="K2" s="667"/>
      <c r="L2" s="668"/>
      <c r="M2" s="666">
        <v>44757</v>
      </c>
      <c r="N2" s="667"/>
      <c r="O2" s="668"/>
      <c r="P2" s="666">
        <v>44758</v>
      </c>
      <c r="Q2" s="667"/>
      <c r="R2" s="668"/>
      <c r="S2" s="666">
        <v>44760</v>
      </c>
      <c r="T2" s="667"/>
      <c r="U2" s="668"/>
      <c r="V2" s="666">
        <v>44761</v>
      </c>
      <c r="W2" s="667"/>
      <c r="X2" s="668"/>
      <c r="Y2" s="666">
        <v>44762</v>
      </c>
      <c r="Z2" s="667"/>
      <c r="AA2" s="668"/>
      <c r="AB2" s="666">
        <v>44763</v>
      </c>
      <c r="AC2" s="667"/>
      <c r="AD2" s="668"/>
      <c r="AE2" s="666">
        <v>44399</v>
      </c>
      <c r="AF2" s="667"/>
      <c r="AG2" s="668"/>
      <c r="AH2" s="666">
        <v>44400</v>
      </c>
      <c r="AI2" s="667"/>
      <c r="AJ2" s="668"/>
      <c r="AK2" s="666">
        <v>44767</v>
      </c>
      <c r="AL2" s="667"/>
      <c r="AM2" s="668"/>
      <c r="AN2" s="666">
        <v>44768</v>
      </c>
      <c r="AO2" s="667"/>
      <c r="AP2" s="668"/>
      <c r="AQ2" s="666">
        <v>44769</v>
      </c>
      <c r="AR2" s="667"/>
      <c r="AS2" s="668"/>
      <c r="AT2" s="666">
        <v>44770</v>
      </c>
      <c r="AU2" s="667"/>
      <c r="AV2" s="668"/>
      <c r="AW2" s="666">
        <v>44406</v>
      </c>
      <c r="AX2" s="667"/>
      <c r="AY2" s="668"/>
      <c r="AZ2" s="666">
        <v>44407</v>
      </c>
      <c r="BA2" s="667"/>
      <c r="BB2" s="668"/>
      <c r="BC2" s="666">
        <v>44774</v>
      </c>
      <c r="BD2" s="667"/>
      <c r="BE2" s="668"/>
      <c r="BF2" s="666">
        <v>44775</v>
      </c>
      <c r="BG2" s="667"/>
      <c r="BH2" s="668"/>
      <c r="BI2" s="666">
        <v>44776</v>
      </c>
      <c r="BJ2" s="667"/>
      <c r="BK2" s="668"/>
      <c r="BL2" s="677">
        <v>44777</v>
      </c>
      <c r="BM2" s="678"/>
      <c r="BN2" s="679"/>
      <c r="BO2" s="666">
        <v>44778</v>
      </c>
      <c r="BP2" s="667"/>
      <c r="BQ2" s="668"/>
      <c r="BR2" s="666">
        <v>44779</v>
      </c>
      <c r="BS2" s="667"/>
      <c r="BT2" s="668"/>
      <c r="BU2" s="666">
        <v>44780</v>
      </c>
      <c r="BV2" s="667"/>
      <c r="BW2" s="668"/>
      <c r="BX2" s="666">
        <v>44781</v>
      </c>
      <c r="BY2" s="667"/>
      <c r="BZ2" s="668"/>
      <c r="CA2" s="666">
        <v>44782</v>
      </c>
      <c r="CB2" s="667"/>
      <c r="CC2" s="668"/>
      <c r="CD2" s="666">
        <v>44783</v>
      </c>
      <c r="CE2" s="667"/>
      <c r="CF2" s="668"/>
      <c r="CG2" s="666">
        <v>44784</v>
      </c>
      <c r="CH2" s="667"/>
      <c r="CI2" s="668"/>
      <c r="CJ2" s="666">
        <v>44785</v>
      </c>
      <c r="CK2" s="667"/>
      <c r="CL2" s="668"/>
      <c r="CM2" s="666">
        <v>44788</v>
      </c>
      <c r="CN2" s="667"/>
      <c r="CO2" s="668"/>
      <c r="CP2" s="666">
        <v>44789</v>
      </c>
      <c r="CQ2" s="667"/>
      <c r="CR2" s="668"/>
      <c r="CS2" s="666">
        <v>44790</v>
      </c>
      <c r="CT2" s="667"/>
      <c r="CU2" s="668"/>
      <c r="CV2" s="666">
        <v>44791</v>
      </c>
      <c r="CW2" s="667"/>
      <c r="CX2" s="668"/>
      <c r="CY2" s="673" t="s">
        <v>27</v>
      </c>
      <c r="CZ2" s="674"/>
    </row>
    <row r="3" spans="1:108" ht="26.25" customHeight="1" thickBot="1" x14ac:dyDescent="0.3">
      <c r="A3" s="670"/>
      <c r="B3" s="676"/>
      <c r="C3" s="672"/>
      <c r="D3" s="117" t="s">
        <v>28</v>
      </c>
      <c r="E3" s="119">
        <v>9</v>
      </c>
      <c r="F3" s="116" t="s">
        <v>29</v>
      </c>
      <c r="G3" s="117" t="s">
        <v>28</v>
      </c>
      <c r="H3" s="118"/>
      <c r="I3" s="116" t="s">
        <v>29</v>
      </c>
      <c r="J3" s="117" t="s">
        <v>28</v>
      </c>
      <c r="K3" s="119"/>
      <c r="L3" s="116" t="s">
        <v>29</v>
      </c>
      <c r="M3" s="117" t="s">
        <v>28</v>
      </c>
      <c r="N3" s="119"/>
      <c r="O3" s="116" t="s">
        <v>29</v>
      </c>
      <c r="P3" s="117" t="s">
        <v>28</v>
      </c>
      <c r="Q3" s="119"/>
      <c r="R3" s="116" t="s">
        <v>29</v>
      </c>
      <c r="S3" s="117" t="s">
        <v>28</v>
      </c>
      <c r="T3" s="118"/>
      <c r="U3" s="116" t="s">
        <v>29</v>
      </c>
      <c r="V3" s="117" t="s">
        <v>28</v>
      </c>
      <c r="W3" s="118">
        <v>28</v>
      </c>
      <c r="X3" s="116" t="s">
        <v>29</v>
      </c>
      <c r="Y3" s="117" t="s">
        <v>28</v>
      </c>
      <c r="Z3" s="118"/>
      <c r="AA3" s="116" t="s">
        <v>29</v>
      </c>
      <c r="AB3" s="117" t="s">
        <v>28</v>
      </c>
      <c r="AC3" s="118"/>
      <c r="AD3" s="116" t="s">
        <v>29</v>
      </c>
      <c r="AE3" s="117" t="s">
        <v>28</v>
      </c>
      <c r="AF3" s="118"/>
      <c r="AG3" s="116" t="s">
        <v>29</v>
      </c>
      <c r="AH3" s="117" t="s">
        <v>28</v>
      </c>
      <c r="AI3" s="118"/>
      <c r="AJ3" s="116" t="s">
        <v>29</v>
      </c>
      <c r="AK3" s="117" t="s">
        <v>28</v>
      </c>
      <c r="AL3" s="118"/>
      <c r="AM3" s="116" t="s">
        <v>29</v>
      </c>
      <c r="AN3" s="117" t="s">
        <v>28</v>
      </c>
      <c r="AO3" s="118"/>
      <c r="AP3" s="120" t="s">
        <v>29</v>
      </c>
      <c r="AQ3" s="121" t="s">
        <v>28</v>
      </c>
      <c r="AR3" s="122"/>
      <c r="AS3" s="123" t="s">
        <v>29</v>
      </c>
      <c r="AT3" s="117" t="s">
        <v>28</v>
      </c>
      <c r="AU3" s="122"/>
      <c r="AV3" s="120" t="s">
        <v>29</v>
      </c>
      <c r="AW3" s="121" t="s">
        <v>28</v>
      </c>
      <c r="AX3" s="122"/>
      <c r="AY3" s="123" t="s">
        <v>29</v>
      </c>
      <c r="AZ3" s="115" t="s">
        <v>28</v>
      </c>
      <c r="BA3" s="122"/>
      <c r="BB3" s="120" t="s">
        <v>29</v>
      </c>
      <c r="BC3" s="117" t="s">
        <v>28</v>
      </c>
      <c r="BD3" s="122"/>
      <c r="BE3" s="116" t="s">
        <v>29</v>
      </c>
      <c r="BF3" s="117" t="s">
        <v>28</v>
      </c>
      <c r="BG3" s="122"/>
      <c r="BH3" s="116" t="s">
        <v>29</v>
      </c>
      <c r="BI3" s="117" t="s">
        <v>28</v>
      </c>
      <c r="BJ3" s="122"/>
      <c r="BK3" s="116" t="s">
        <v>29</v>
      </c>
      <c r="BL3" s="117" t="s">
        <v>28</v>
      </c>
      <c r="BM3" s="122"/>
      <c r="BN3" s="116" t="s">
        <v>29</v>
      </c>
      <c r="BO3" s="117" t="s">
        <v>28</v>
      </c>
      <c r="BP3" s="122"/>
      <c r="BQ3" s="116" t="s">
        <v>29</v>
      </c>
      <c r="BR3" s="117" t="s">
        <v>28</v>
      </c>
      <c r="BS3" s="122"/>
      <c r="BT3" s="116" t="s">
        <v>29</v>
      </c>
      <c r="BU3" s="117" t="s">
        <v>28</v>
      </c>
      <c r="BV3" s="122"/>
      <c r="BW3" s="116" t="s">
        <v>29</v>
      </c>
      <c r="BX3" s="117" t="s">
        <v>28</v>
      </c>
      <c r="BY3" s="122"/>
      <c r="BZ3" s="116" t="s">
        <v>29</v>
      </c>
      <c r="CA3" s="117" t="s">
        <v>28</v>
      </c>
      <c r="CB3" s="122"/>
      <c r="CC3" s="116" t="s">
        <v>29</v>
      </c>
      <c r="CD3" s="117" t="s">
        <v>28</v>
      </c>
      <c r="CE3" s="122"/>
      <c r="CF3" s="116" t="s">
        <v>29</v>
      </c>
      <c r="CG3" s="117" t="s">
        <v>28</v>
      </c>
      <c r="CH3" s="122"/>
      <c r="CI3" s="116" t="s">
        <v>29</v>
      </c>
      <c r="CJ3" s="117" t="s">
        <v>28</v>
      </c>
      <c r="CK3" s="122"/>
      <c r="CL3" s="116" t="s">
        <v>29</v>
      </c>
      <c r="CM3" s="117" t="s">
        <v>28</v>
      </c>
      <c r="CN3" s="479"/>
      <c r="CO3" s="116" t="s">
        <v>29</v>
      </c>
      <c r="CP3" s="117" t="s">
        <v>28</v>
      </c>
      <c r="CQ3" s="479"/>
      <c r="CR3" s="116" t="s">
        <v>29</v>
      </c>
      <c r="CS3" s="117" t="s">
        <v>28</v>
      </c>
      <c r="CT3" s="479"/>
      <c r="CU3" s="116" t="s">
        <v>29</v>
      </c>
      <c r="CV3" s="117" t="s">
        <v>28</v>
      </c>
      <c r="CW3" s="122"/>
      <c r="CX3" s="116" t="s">
        <v>29</v>
      </c>
      <c r="CY3" s="115" t="s">
        <v>28</v>
      </c>
      <c r="CZ3" s="116" t="s">
        <v>29</v>
      </c>
      <c r="DB3" s="36" t="s">
        <v>216</v>
      </c>
    </row>
    <row r="4" spans="1:108" ht="16.5" thickBot="1" x14ac:dyDescent="0.3">
      <c r="A4" s="151"/>
      <c r="B4" s="152">
        <v>5551</v>
      </c>
      <c r="C4" s="153">
        <v>5551</v>
      </c>
      <c r="D4" s="151"/>
      <c r="E4" s="192"/>
      <c r="F4" s="153"/>
      <c r="G4" s="151"/>
      <c r="H4" s="156"/>
      <c r="I4" s="153"/>
      <c r="J4" s="151"/>
      <c r="K4" s="156"/>
      <c r="L4" s="153"/>
      <c r="M4" s="151"/>
      <c r="N4" s="156"/>
      <c r="O4" s="153"/>
      <c r="P4" s="151"/>
      <c r="Q4" s="156"/>
      <c r="R4" s="153"/>
      <c r="S4" s="151"/>
      <c r="T4" s="156"/>
      <c r="U4" s="153"/>
      <c r="V4" s="151"/>
      <c r="W4" s="156"/>
      <c r="X4" s="153"/>
      <c r="Y4" s="151"/>
      <c r="Z4" s="156"/>
      <c r="AA4" s="153"/>
      <c r="AB4" s="151"/>
      <c r="AC4" s="156"/>
      <c r="AD4" s="153"/>
      <c r="AE4" s="151"/>
      <c r="AF4" s="156"/>
      <c r="AG4" s="153"/>
      <c r="AH4" s="151"/>
      <c r="AI4" s="156"/>
      <c r="AJ4" s="153"/>
      <c r="AK4" s="151"/>
      <c r="AL4" s="156"/>
      <c r="AM4" s="153"/>
      <c r="AN4" s="151"/>
      <c r="AO4" s="156"/>
      <c r="AP4" s="152"/>
      <c r="AQ4" s="157"/>
      <c r="AR4" s="158"/>
      <c r="AS4" s="159"/>
      <c r="AT4" s="157"/>
      <c r="AU4" s="152"/>
      <c r="AV4" s="155"/>
      <c r="AW4" s="157"/>
      <c r="AX4" s="152"/>
      <c r="AY4" s="159"/>
      <c r="AZ4" s="155"/>
      <c r="BA4" s="152"/>
      <c r="BB4" s="155"/>
      <c r="BC4" s="157"/>
      <c r="BD4" s="160"/>
      <c r="BE4" s="159"/>
      <c r="BF4" s="157"/>
      <c r="BG4" s="160"/>
      <c r="BH4" s="159"/>
      <c r="BI4" s="157"/>
      <c r="BJ4" s="160"/>
      <c r="BK4" s="159"/>
      <c r="BL4" s="157"/>
      <c r="BM4" s="160"/>
      <c r="BN4" s="159"/>
      <c r="BO4" s="157"/>
      <c r="BP4" s="160"/>
      <c r="BQ4" s="159"/>
      <c r="BR4" s="157"/>
      <c r="BS4" s="160"/>
      <c r="BT4" s="159"/>
      <c r="BU4" s="157"/>
      <c r="BV4" s="160"/>
      <c r="BW4" s="159"/>
      <c r="BX4" s="157"/>
      <c r="BY4" s="160"/>
      <c r="BZ4" s="159"/>
      <c r="CA4" s="157"/>
      <c r="CB4" s="160"/>
      <c r="CC4" s="159"/>
      <c r="CD4" s="151"/>
      <c r="CE4" s="161"/>
      <c r="CF4" s="153"/>
      <c r="CG4" s="151"/>
      <c r="CH4" s="161"/>
      <c r="CI4" s="153"/>
      <c r="CJ4" s="151"/>
      <c r="CK4" s="161"/>
      <c r="CL4" s="153"/>
      <c r="CM4" s="151"/>
      <c r="CN4" s="155"/>
      <c r="CO4" s="155"/>
      <c r="CP4" s="151"/>
      <c r="CQ4" s="155"/>
      <c r="CR4" s="155"/>
      <c r="CS4" s="151"/>
      <c r="CT4" s="155"/>
      <c r="CU4" s="155"/>
      <c r="CV4" s="151"/>
      <c r="CW4" s="152"/>
      <c r="CX4" s="153"/>
      <c r="CY4" s="154"/>
      <c r="CZ4" s="162"/>
    </row>
    <row r="5" spans="1:108" x14ac:dyDescent="0.25">
      <c r="A5" s="186">
        <v>243</v>
      </c>
      <c r="B5" s="186" t="s">
        <v>35</v>
      </c>
      <c r="C5" s="163" t="s">
        <v>34</v>
      </c>
      <c r="D5" s="137"/>
      <c r="E5" s="189"/>
      <c r="F5" s="164"/>
      <c r="G5" s="137"/>
      <c r="H5" s="189"/>
      <c r="I5" s="164"/>
      <c r="J5" s="137"/>
      <c r="K5" s="189"/>
      <c r="L5" s="164"/>
      <c r="M5" s="137"/>
      <c r="N5" s="189"/>
      <c r="O5" s="164"/>
      <c r="P5" s="137"/>
      <c r="Q5" s="189"/>
      <c r="R5" s="164"/>
      <c r="S5" s="137"/>
      <c r="T5" s="189"/>
      <c r="U5" s="164"/>
      <c r="V5" s="137"/>
      <c r="W5" s="189"/>
      <c r="X5" s="164"/>
      <c r="Y5" s="137"/>
      <c r="Z5" s="189"/>
      <c r="AA5" s="164"/>
      <c r="AB5" s="137"/>
      <c r="AC5" s="189"/>
      <c r="AD5" s="164"/>
      <c r="AE5" s="137"/>
      <c r="AF5" s="189"/>
      <c r="AG5" s="164"/>
      <c r="AH5" s="137"/>
      <c r="AI5" s="189"/>
      <c r="AJ5" s="164"/>
      <c r="AK5" s="137"/>
      <c r="AL5" s="189"/>
      <c r="AM5" s="164"/>
      <c r="AN5" s="377">
        <v>19.8</v>
      </c>
      <c r="AO5" s="365">
        <v>2</v>
      </c>
      <c r="AP5" s="366">
        <v>31.1</v>
      </c>
      <c r="AQ5" s="137"/>
      <c r="AR5" s="189"/>
      <c r="AS5" s="164"/>
      <c r="AT5" s="137"/>
      <c r="AU5" s="189"/>
      <c r="AV5" s="164"/>
      <c r="AW5" s="142"/>
      <c r="AX5" s="165"/>
      <c r="AY5" s="143"/>
      <c r="AZ5" s="140"/>
      <c r="BA5" s="165"/>
      <c r="BB5" s="140"/>
      <c r="BC5" s="142"/>
      <c r="BD5" s="144"/>
      <c r="BE5" s="143"/>
      <c r="BF5" s="142"/>
      <c r="BG5" s="144"/>
      <c r="BH5" s="143"/>
      <c r="BI5" s="142"/>
      <c r="BJ5" s="144"/>
      <c r="BK5" s="143"/>
      <c r="BL5" s="142"/>
      <c r="BM5" s="144"/>
      <c r="BN5" s="143"/>
      <c r="BO5" s="142"/>
      <c r="BP5" s="144"/>
      <c r="BQ5" s="143"/>
      <c r="BR5" s="142"/>
      <c r="BS5" s="144"/>
      <c r="BT5" s="143"/>
      <c r="BU5" s="142"/>
      <c r="BV5" s="144"/>
      <c r="BW5" s="143"/>
      <c r="BX5" s="142"/>
      <c r="BY5" s="144"/>
      <c r="BZ5" s="143"/>
      <c r="CA5" s="142"/>
      <c r="CB5" s="144"/>
      <c r="CC5" s="143"/>
      <c r="CD5" s="137"/>
      <c r="CE5" s="145"/>
      <c r="CF5" s="139"/>
      <c r="CG5" s="137"/>
      <c r="CH5" s="145"/>
      <c r="CI5" s="139"/>
      <c r="CJ5" s="137"/>
      <c r="CK5" s="145"/>
      <c r="CL5" s="139"/>
      <c r="CM5" s="137"/>
      <c r="CN5" s="140"/>
      <c r="CO5" s="140"/>
      <c r="CP5" s="137"/>
      <c r="CQ5" s="140"/>
      <c r="CR5" s="140"/>
      <c r="CS5" s="137"/>
      <c r="CT5" s="140"/>
      <c r="CU5" s="140"/>
      <c r="CV5" s="137"/>
      <c r="CW5" s="166"/>
      <c r="CX5" s="139"/>
      <c r="CY5" s="595">
        <f>D5+G5+J5+M5+P5+V5+Y5+AB5+AE5+AH5+AK5+AN5+AQ5+AT5+AW5+AZ5+BC5+BF5+BI5+BL5+BO5+BR5+BU5+BX5+CA5+CD5+CG5+CJ5+CM5+CP5+CS5+CV5+S5</f>
        <v>19.8</v>
      </c>
      <c r="CZ5" s="164">
        <f>F5+I5+L5+O5+R5+U5+X5+AA5+AD5+AG5+AJ5+AM5+AP5+AS5+AV5+AY5+BB5+BE5+BH5+BK5+BN5+BQ5+BT5+BW5+BZ5+CC5+CF5+CI5+CL5+CO5+CR5+CU5+CX5</f>
        <v>31.1</v>
      </c>
      <c r="DA5" s="532">
        <f>COUNT(BT5,BW5,BZ5,CI5,CL5,CO5,CR5,CU5,F5,I5,L5,O5,R5,U5,X5,AA5,AD5,AG5,AJ5,AM5,AP5,#REF!,AS5,AV5,AY5,BB5,BE5,BH5,BK5,BN5,BQ5,CC5,CF5,CX5,#REF!,#REF!,#REF!)</f>
        <v>1</v>
      </c>
    </row>
    <row r="6" spans="1:108" ht="16.5" thickBot="1" x14ac:dyDescent="0.3">
      <c r="A6" s="194"/>
      <c r="B6" s="194"/>
      <c r="C6" s="167" t="s">
        <v>1</v>
      </c>
      <c r="D6" s="57">
        <v>35.700000000000003</v>
      </c>
      <c r="E6" s="193">
        <v>4</v>
      </c>
      <c r="F6" s="148">
        <f>D6*0.91</f>
        <v>32.487000000000002</v>
      </c>
      <c r="G6" s="57"/>
      <c r="H6" s="193"/>
      <c r="I6" s="148"/>
      <c r="J6" s="57"/>
      <c r="K6" s="193"/>
      <c r="L6" s="148"/>
      <c r="M6" s="57"/>
      <c r="N6" s="193"/>
      <c r="O6" s="148"/>
      <c r="P6" s="57"/>
      <c r="Q6" s="193"/>
      <c r="R6" s="148"/>
      <c r="S6" s="57"/>
      <c r="T6" s="193"/>
      <c r="U6" s="148"/>
      <c r="V6" s="57"/>
      <c r="W6" s="193"/>
      <c r="X6" s="148"/>
      <c r="Y6" s="57"/>
      <c r="Z6" s="193"/>
      <c r="AA6" s="148"/>
      <c r="AB6" s="57">
        <v>31.9</v>
      </c>
      <c r="AC6" s="362">
        <v>3</v>
      </c>
      <c r="AD6" s="363">
        <v>41.4</v>
      </c>
      <c r="AE6" s="57">
        <v>42.06</v>
      </c>
      <c r="AF6" s="362">
        <v>4</v>
      </c>
      <c r="AG6" s="363">
        <v>50.9</v>
      </c>
      <c r="AH6" s="57">
        <v>44.5</v>
      </c>
      <c r="AI6" s="362">
        <v>4</v>
      </c>
      <c r="AJ6" s="363">
        <v>69.8</v>
      </c>
      <c r="AK6" s="364">
        <v>50.7</v>
      </c>
      <c r="AL6" s="362">
        <v>4</v>
      </c>
      <c r="AM6" s="363">
        <v>79.599999999999994</v>
      </c>
      <c r="AN6" s="364">
        <v>23.8</v>
      </c>
      <c r="AO6" s="362">
        <v>2</v>
      </c>
      <c r="AP6" s="363">
        <v>28.8</v>
      </c>
      <c r="AQ6" s="57"/>
      <c r="AR6" s="193"/>
      <c r="AS6" s="148"/>
      <c r="AT6" s="57"/>
      <c r="AU6" s="193"/>
      <c r="AV6" s="148"/>
      <c r="AW6" s="48"/>
      <c r="AX6" s="149"/>
      <c r="AY6" s="49"/>
      <c r="AZ6" s="49"/>
      <c r="BA6" s="149"/>
      <c r="BB6" s="49"/>
      <c r="BC6" s="48"/>
      <c r="BD6" s="150"/>
      <c r="BE6" s="49"/>
      <c r="BF6" s="48"/>
      <c r="BG6" s="150"/>
      <c r="BH6" s="49"/>
      <c r="BI6" s="48"/>
      <c r="BJ6" s="150"/>
      <c r="BK6" s="49"/>
      <c r="BL6" s="48"/>
      <c r="BM6" s="150"/>
      <c r="BN6" s="49"/>
      <c r="BO6" s="48"/>
      <c r="BP6" s="150"/>
      <c r="BQ6" s="49"/>
      <c r="BR6" s="48"/>
      <c r="BS6" s="150"/>
      <c r="BT6" s="49"/>
      <c r="BU6" s="48"/>
      <c r="BV6" s="150"/>
      <c r="BW6" s="49"/>
      <c r="BX6" s="48"/>
      <c r="BY6" s="150"/>
      <c r="BZ6" s="49"/>
      <c r="CA6" s="48"/>
      <c r="CB6" s="150"/>
      <c r="CC6" s="49"/>
      <c r="CD6" s="57"/>
      <c r="CE6" s="61"/>
      <c r="CF6" s="56"/>
      <c r="CG6" s="57"/>
      <c r="CH6" s="61"/>
      <c r="CI6" s="56"/>
      <c r="CJ6" s="57"/>
      <c r="CK6" s="61"/>
      <c r="CL6" s="56"/>
      <c r="CM6" s="57"/>
      <c r="CN6" s="49"/>
      <c r="CO6" s="49"/>
      <c r="CP6" s="57"/>
      <c r="CQ6" s="49"/>
      <c r="CR6" s="49"/>
      <c r="CS6" s="57"/>
      <c r="CT6" s="49"/>
      <c r="CU6" s="49"/>
      <c r="CV6" s="57"/>
      <c r="CW6" s="63"/>
      <c r="CX6" s="56"/>
      <c r="CY6" s="596">
        <f>D6+G6+J6+M6+P6+V6+Y6+AB6+AE6+AH6+AK6+AN6+AQ6+AT6+AW6+AZ6+BC6+BF6+BI6+BL6+BO6+BR6+BU6+BX6+CA6+CD6+CG6+CJ6+CM6+CP6+CS6+CV6+S6</f>
        <v>228.66000000000003</v>
      </c>
      <c r="CZ6" s="148">
        <f>F6+I6+L6+O6+R6+U6+X6+AA6+AD6+AG6+AJ6+AM6+AP6+AS6+AV6+AY6+BB6+BE6+BH6+BK6+BN6+BQ6+BT6+BW6+BZ6+CC6+CF6+CI6+CL6+CO6+CR6+CU6+CX6</f>
        <v>302.98700000000002</v>
      </c>
      <c r="DA6" s="171">
        <f>COUNT(BT6,BW6,BZ6,CI6,CL6,CO6,CR6,CU6,F6,I6,L6,O6,R6,U6,X6,AA6,AD6,AG6,AJ6,AM6,AP6,#REF!,AS6,AV6,AY6,BB6,BE6,BH6,BK6,BN6,BQ6,CC6,CF6,CX6,#REF!,#REF!,#REF!)</f>
        <v>6</v>
      </c>
      <c r="DB6" s="41">
        <f>SUM(CZ5:CZ6)</f>
        <v>334.08700000000005</v>
      </c>
    </row>
    <row r="7" spans="1:108" x14ac:dyDescent="0.25">
      <c r="A7" s="202"/>
      <c r="B7" s="186" t="s">
        <v>179</v>
      </c>
      <c r="C7" s="163" t="s">
        <v>0</v>
      </c>
      <c r="D7" s="137"/>
      <c r="E7" s="189"/>
      <c r="F7" s="139"/>
      <c r="G7" s="137"/>
      <c r="H7" s="189"/>
      <c r="I7" s="139"/>
      <c r="J7" s="137"/>
      <c r="K7" s="189"/>
      <c r="L7" s="139"/>
      <c r="M7" s="137"/>
      <c r="N7" s="189"/>
      <c r="O7" s="139"/>
      <c r="P7" s="137"/>
      <c r="Q7" s="189"/>
      <c r="R7" s="139"/>
      <c r="S7" s="137"/>
      <c r="T7" s="189"/>
      <c r="U7" s="139"/>
      <c r="V7" s="137"/>
      <c r="W7" s="189"/>
      <c r="X7" s="139"/>
      <c r="Y7" s="137"/>
      <c r="Z7" s="189"/>
      <c r="AA7" s="139"/>
      <c r="AB7" s="137"/>
      <c r="AC7" s="189"/>
      <c r="AD7" s="139"/>
      <c r="AE7" s="137"/>
      <c r="AF7" s="189"/>
      <c r="AG7" s="139"/>
      <c r="AH7" s="137"/>
      <c r="AI7" s="189"/>
      <c r="AJ7" s="139"/>
      <c r="AK7" s="137"/>
      <c r="AL7" s="189"/>
      <c r="AM7" s="139"/>
      <c r="AN7" s="137"/>
      <c r="AO7" s="189"/>
      <c r="AP7" s="139"/>
      <c r="AQ7" s="137"/>
      <c r="AR7" s="189"/>
      <c r="AS7" s="139"/>
      <c r="AT7" s="137"/>
      <c r="AU7" s="189"/>
      <c r="AV7" s="139"/>
      <c r="AW7" s="142"/>
      <c r="AX7" s="165"/>
      <c r="AY7" s="143"/>
      <c r="AZ7" s="140"/>
      <c r="BA7" s="165"/>
      <c r="BB7" s="140"/>
      <c r="BC7" s="142"/>
      <c r="BD7" s="144"/>
      <c r="BE7" s="143"/>
      <c r="BF7" s="142"/>
      <c r="BG7" s="144"/>
      <c r="BH7" s="143"/>
      <c r="BI7" s="142"/>
      <c r="BJ7" s="144"/>
      <c r="BK7" s="143"/>
      <c r="BL7" s="142"/>
      <c r="BM7" s="144"/>
      <c r="BN7" s="143"/>
      <c r="BO7" s="142"/>
      <c r="BP7" s="144"/>
      <c r="BQ7" s="143"/>
      <c r="BR7" s="142"/>
      <c r="BS7" s="144"/>
      <c r="BT7" s="143"/>
      <c r="BU7" s="142"/>
      <c r="BV7" s="144"/>
      <c r="BW7" s="143"/>
      <c r="BX7" s="142"/>
      <c r="BY7" s="144"/>
      <c r="BZ7" s="143"/>
      <c r="CA7" s="142"/>
      <c r="CB7" s="144"/>
      <c r="CC7" s="143"/>
      <c r="CD7" s="137"/>
      <c r="CE7" s="145"/>
      <c r="CF7" s="139"/>
      <c r="CG7" s="137"/>
      <c r="CH7" s="145"/>
      <c r="CI7" s="139"/>
      <c r="CJ7" s="137"/>
      <c r="CK7" s="145"/>
      <c r="CL7" s="139"/>
      <c r="CM7" s="137"/>
      <c r="CN7" s="140"/>
      <c r="CO7" s="140"/>
      <c r="CP7" s="137"/>
      <c r="CQ7" s="140"/>
      <c r="CR7" s="140"/>
      <c r="CS7" s="137"/>
      <c r="CT7" s="140"/>
      <c r="CU7" s="140"/>
      <c r="CV7" s="137"/>
      <c r="CW7" s="166"/>
      <c r="CX7" s="139"/>
      <c r="CY7" s="597">
        <f t="shared" ref="CY7:CY12" si="0">D7+G7+J7+M7+P7+V7+Y7+AB7+AE7+AH7+AK7+AN7+AQ7+AT7+AW7+AZ7+BC7+BF7+BI7+BL7+BO7+BR7+BU7+BX7+CA7+CD7+CG7+CJ7+CM7+CP7+CS7+CV7</f>
        <v>0</v>
      </c>
      <c r="CZ7" s="403">
        <f t="shared" ref="CZ7:CZ9" si="1">F7+I7+L7+O7+R7+U7+X7+AA7+AD7+AG7+AJ7+AM7+AP7+AS7+AV7+AY7+BB7+BE7+BH7+BK7+BN7+BQ7+BT7+BW7+BZ7+CC7+CF7+CI7+CL7+CO7+CR7+CU7+CX7</f>
        <v>0</v>
      </c>
      <c r="DA7" s="532">
        <f>COUNT(BT7,BW7,BZ7,CI7,CL7,CO7,CR7,CU7,F7,I7,L7,O7,R7,U7,X7,AA7,AD7,AG7,AJ7,AM7,AP7,#REF!,AS7,AV7,AY7,BB7,BE7,BH7,BK7,BN7,BQ7,CC7,CF7,CX7,#REF!,#REF!,#REF!)</f>
        <v>0</v>
      </c>
      <c r="DB7" s="41"/>
      <c r="DD7" s="42"/>
    </row>
    <row r="8" spans="1:108" x14ac:dyDescent="0.25">
      <c r="A8" s="202"/>
      <c r="B8" s="187"/>
      <c r="C8" s="111" t="s">
        <v>34</v>
      </c>
      <c r="D8" s="29"/>
      <c r="E8" s="188"/>
      <c r="F8" s="30"/>
      <c r="G8" s="29"/>
      <c r="H8" s="188"/>
      <c r="I8" s="30"/>
      <c r="J8" s="29"/>
      <c r="K8" s="188"/>
      <c r="L8" s="30"/>
      <c r="M8" s="29"/>
      <c r="N8" s="188"/>
      <c r="O8" s="30"/>
      <c r="P8" s="29"/>
      <c r="Q8" s="188"/>
      <c r="R8" s="30"/>
      <c r="S8" s="29"/>
      <c r="T8" s="188"/>
      <c r="U8" s="30"/>
      <c r="V8" s="29"/>
      <c r="W8" s="188"/>
      <c r="X8" s="30"/>
      <c r="Y8" s="29"/>
      <c r="Z8" s="188"/>
      <c r="AA8" s="30"/>
      <c r="AB8" s="29"/>
      <c r="AC8" s="188"/>
      <c r="AD8" s="30"/>
      <c r="AE8" s="29"/>
      <c r="AF8" s="188"/>
      <c r="AG8" s="30"/>
      <c r="AH8" s="29"/>
      <c r="AI8" s="188"/>
      <c r="AJ8" s="30"/>
      <c r="AK8" s="29"/>
      <c r="AL8" s="188"/>
      <c r="AM8" s="30"/>
      <c r="AN8" s="29"/>
      <c r="AO8" s="188"/>
      <c r="AP8" s="30"/>
      <c r="AQ8" s="29"/>
      <c r="AR8" s="188"/>
      <c r="AS8" s="30"/>
      <c r="AT8" s="29"/>
      <c r="AU8" s="188"/>
      <c r="AV8" s="30"/>
      <c r="AW8" s="44"/>
      <c r="AX8" s="58"/>
      <c r="AY8" s="45"/>
      <c r="AZ8" s="31"/>
      <c r="BA8" s="58"/>
      <c r="BB8" s="31"/>
      <c r="BC8" s="44"/>
      <c r="BD8" s="59"/>
      <c r="BE8" s="45"/>
      <c r="BF8" s="44"/>
      <c r="BG8" s="59"/>
      <c r="BH8" s="45"/>
      <c r="BI8" s="44"/>
      <c r="BJ8" s="59"/>
      <c r="BK8" s="45"/>
      <c r="BL8" s="44"/>
      <c r="BM8" s="59"/>
      <c r="BN8" s="45"/>
      <c r="BO8" s="44"/>
      <c r="BP8" s="59"/>
      <c r="BQ8" s="45"/>
      <c r="BR8" s="44"/>
      <c r="BS8" s="59"/>
      <c r="BT8" s="45"/>
      <c r="BU8" s="44"/>
      <c r="BV8" s="59"/>
      <c r="BW8" s="45"/>
      <c r="BX8" s="44"/>
      <c r="BY8" s="59"/>
      <c r="BZ8" s="45"/>
      <c r="CA8" s="44"/>
      <c r="CB8" s="59"/>
      <c r="CC8" s="45"/>
      <c r="CD8" s="29"/>
      <c r="CE8" s="60"/>
      <c r="CF8" s="30"/>
      <c r="CG8" s="29"/>
      <c r="CH8" s="60"/>
      <c r="CI8" s="30"/>
      <c r="CJ8" s="29"/>
      <c r="CK8" s="60"/>
      <c r="CL8" s="30"/>
      <c r="CM8" s="29"/>
      <c r="CN8" s="31"/>
      <c r="CO8" s="31"/>
      <c r="CP8" s="29"/>
      <c r="CQ8" s="31"/>
      <c r="CR8" s="31"/>
      <c r="CS8" s="29"/>
      <c r="CT8" s="31"/>
      <c r="CU8" s="31"/>
      <c r="CV8" s="29"/>
      <c r="CW8" s="62"/>
      <c r="CX8" s="30"/>
      <c r="CY8" s="598">
        <f t="shared" si="0"/>
        <v>0</v>
      </c>
      <c r="CZ8" s="398">
        <f t="shared" si="1"/>
        <v>0</v>
      </c>
      <c r="DA8" s="533">
        <f>COUNT(BT8,BW8,BZ8,CI8,CL8,CO8,CR8,CU8,F8,I8,L8,O8,R8,U8,X8,AA8,AD8,AG8,AJ8,AM8,AP8,#REF!,AS8,AV8,AY8,BB8,BE8,BH8,BK8,BN8,BQ8,CC8,CF8,CX8,#REF!,#REF!,#REF!)</f>
        <v>0</v>
      </c>
      <c r="DB8" s="41"/>
      <c r="DD8" s="42"/>
    </row>
    <row r="9" spans="1:108" ht="16.5" thickBot="1" x14ac:dyDescent="0.3">
      <c r="A9" s="202"/>
      <c r="B9" s="194"/>
      <c r="C9" s="167" t="s">
        <v>1</v>
      </c>
      <c r="D9" s="57"/>
      <c r="E9" s="193"/>
      <c r="F9" s="56"/>
      <c r="G9" s="57"/>
      <c r="H9" s="193"/>
      <c r="I9" s="56"/>
      <c r="J9" s="57"/>
      <c r="K9" s="193"/>
      <c r="L9" s="56"/>
      <c r="M9" s="57"/>
      <c r="N9" s="193"/>
      <c r="O9" s="56"/>
      <c r="P9" s="57"/>
      <c r="Q9" s="193"/>
      <c r="R9" s="56"/>
      <c r="S9" s="57"/>
      <c r="T9" s="193"/>
      <c r="U9" s="56"/>
      <c r="V9" s="57"/>
      <c r="W9" s="193"/>
      <c r="X9" s="56"/>
      <c r="Y9" s="57">
        <v>64.180000000000007</v>
      </c>
      <c r="Z9" s="362">
        <v>6</v>
      </c>
      <c r="AA9" s="363">
        <v>85.44</v>
      </c>
      <c r="AB9" s="57"/>
      <c r="AC9" s="193"/>
      <c r="AD9" s="56"/>
      <c r="AE9" s="57"/>
      <c r="AF9" s="193"/>
      <c r="AG9" s="56"/>
      <c r="AH9" s="57"/>
      <c r="AI9" s="193"/>
      <c r="AJ9" s="56"/>
      <c r="AK9" s="57"/>
      <c r="AL9" s="193"/>
      <c r="AM9" s="148"/>
      <c r="AN9" s="57"/>
      <c r="AO9" s="193"/>
      <c r="AP9" s="56"/>
      <c r="AQ9" s="57"/>
      <c r="AR9" s="193"/>
      <c r="AS9" s="56"/>
      <c r="AT9" s="57"/>
      <c r="AU9" s="193"/>
      <c r="AV9" s="56"/>
      <c r="AW9" s="48"/>
      <c r="AX9" s="149"/>
      <c r="AY9" s="50"/>
      <c r="AZ9" s="49"/>
      <c r="BA9" s="149"/>
      <c r="BB9" s="49"/>
      <c r="BC9" s="48"/>
      <c r="BD9" s="150"/>
      <c r="BE9" s="50"/>
      <c r="BF9" s="48"/>
      <c r="BG9" s="150"/>
      <c r="BH9" s="50"/>
      <c r="BI9" s="48"/>
      <c r="BJ9" s="150"/>
      <c r="BK9" s="50"/>
      <c r="BL9" s="48"/>
      <c r="BM9" s="150"/>
      <c r="BN9" s="50"/>
      <c r="BO9" s="48"/>
      <c r="BP9" s="150"/>
      <c r="BQ9" s="50"/>
      <c r="BR9" s="48"/>
      <c r="BS9" s="150"/>
      <c r="BT9" s="50"/>
      <c r="BU9" s="48"/>
      <c r="BV9" s="150"/>
      <c r="BW9" s="50"/>
      <c r="BX9" s="48"/>
      <c r="BY9" s="150"/>
      <c r="BZ9" s="50"/>
      <c r="CA9" s="48"/>
      <c r="CB9" s="150"/>
      <c r="CC9" s="50"/>
      <c r="CD9" s="57"/>
      <c r="CE9" s="61"/>
      <c r="CF9" s="56"/>
      <c r="CG9" s="57"/>
      <c r="CH9" s="61"/>
      <c r="CI9" s="56"/>
      <c r="CJ9" s="57"/>
      <c r="CK9" s="61"/>
      <c r="CL9" s="56"/>
      <c r="CM9" s="57"/>
      <c r="CN9" s="49"/>
      <c r="CO9" s="49"/>
      <c r="CP9" s="57"/>
      <c r="CQ9" s="49"/>
      <c r="CR9" s="49"/>
      <c r="CS9" s="57"/>
      <c r="CT9" s="49"/>
      <c r="CU9" s="49"/>
      <c r="CV9" s="57"/>
      <c r="CW9" s="63"/>
      <c r="CX9" s="56"/>
      <c r="CY9" s="596">
        <f t="shared" si="0"/>
        <v>64.180000000000007</v>
      </c>
      <c r="CZ9" s="599">
        <f t="shared" si="1"/>
        <v>85.44</v>
      </c>
      <c r="DA9" s="171">
        <f>COUNT(BT9,BW9,BZ9,CI9,CL9,CO9,CR9,CU9,F9,I9,L9,O9,R9,U9,X9,AA9,AD9,AG9,AJ9,AM9,AP9,#REF!,AS9,AV9,AY9,BB9,BE9,BH9,BK9,BN9,BQ9,CC9,CF9,CX9,#REF!,#REF!,#REF!)</f>
        <v>1</v>
      </c>
      <c r="DB9" s="41">
        <f>SUM(CZ7:CZ9)</f>
        <v>85.44</v>
      </c>
      <c r="DD9" s="42"/>
    </row>
    <row r="10" spans="1:108" hidden="1" x14ac:dyDescent="0.25">
      <c r="A10" s="187">
        <v>664</v>
      </c>
      <c r="B10" s="186" t="s">
        <v>157</v>
      </c>
      <c r="C10" s="163" t="s">
        <v>0</v>
      </c>
      <c r="D10" s="137"/>
      <c r="E10" s="189"/>
      <c r="F10" s="139"/>
      <c r="G10" s="137"/>
      <c r="H10" s="189"/>
      <c r="I10" s="139"/>
      <c r="J10" s="137"/>
      <c r="K10" s="189"/>
      <c r="L10" s="139"/>
      <c r="M10" s="137"/>
      <c r="N10" s="189"/>
      <c r="O10" s="139"/>
      <c r="P10" s="137"/>
      <c r="Q10" s="189"/>
      <c r="R10" s="139"/>
      <c r="S10" s="511">
        <v>2.6</v>
      </c>
      <c r="T10" s="189"/>
      <c r="U10" s="139"/>
      <c r="V10" s="137"/>
      <c r="W10" s="189"/>
      <c r="X10" s="139"/>
      <c r="Y10" s="137"/>
      <c r="Z10" s="189"/>
      <c r="AA10" s="139"/>
      <c r="AB10" s="137"/>
      <c r="AC10" s="189"/>
      <c r="AD10" s="139"/>
      <c r="AE10" s="137"/>
      <c r="AF10" s="189"/>
      <c r="AG10" s="139"/>
      <c r="AH10" s="137"/>
      <c r="AI10" s="189"/>
      <c r="AJ10" s="139"/>
      <c r="AK10" s="137"/>
      <c r="AL10" s="189"/>
      <c r="AM10" s="139"/>
      <c r="AN10" s="137"/>
      <c r="AO10" s="189"/>
      <c r="AP10" s="139"/>
      <c r="AQ10" s="137"/>
      <c r="AR10" s="189"/>
      <c r="AS10" s="139"/>
      <c r="AT10" s="137"/>
      <c r="AU10" s="189"/>
      <c r="AV10" s="139"/>
      <c r="AW10" s="142"/>
      <c r="AX10" s="165"/>
      <c r="AY10" s="143"/>
      <c r="AZ10" s="140"/>
      <c r="BA10" s="165"/>
      <c r="BB10" s="140"/>
      <c r="BC10" s="142"/>
      <c r="BD10" s="144"/>
      <c r="BE10" s="143"/>
      <c r="BF10" s="142"/>
      <c r="BG10" s="144"/>
      <c r="BH10" s="143"/>
      <c r="BI10" s="142"/>
      <c r="BJ10" s="144"/>
      <c r="BK10" s="143"/>
      <c r="BL10" s="142"/>
      <c r="BM10" s="144"/>
      <c r="BN10" s="143"/>
      <c r="BO10" s="142"/>
      <c r="BP10" s="144"/>
      <c r="BQ10" s="143"/>
      <c r="BR10" s="142"/>
      <c r="BS10" s="144"/>
      <c r="BT10" s="143"/>
      <c r="BU10" s="142"/>
      <c r="BV10" s="144"/>
      <c r="BW10" s="143"/>
      <c r="BX10" s="142"/>
      <c r="BY10" s="144"/>
      <c r="BZ10" s="143"/>
      <c r="CA10" s="142"/>
      <c r="CB10" s="144"/>
      <c r="CC10" s="143"/>
      <c r="CD10" s="137"/>
      <c r="CE10" s="145"/>
      <c r="CF10" s="139"/>
      <c r="CG10" s="137"/>
      <c r="CH10" s="145"/>
      <c r="CI10" s="139"/>
      <c r="CJ10" s="137"/>
      <c r="CK10" s="145"/>
      <c r="CL10" s="139"/>
      <c r="CM10" s="137"/>
      <c r="CN10" s="140"/>
      <c r="CO10" s="140"/>
      <c r="CP10" s="137"/>
      <c r="CQ10" s="140"/>
      <c r="CR10" s="140"/>
      <c r="CS10" s="137"/>
      <c r="CT10" s="140"/>
      <c r="CU10" s="140"/>
      <c r="CV10" s="137"/>
      <c r="CW10" s="166"/>
      <c r="CX10" s="139"/>
      <c r="CY10" s="600">
        <f t="shared" si="0"/>
        <v>0</v>
      </c>
      <c r="CZ10" s="403">
        <f t="shared" ref="CZ10:CZ12" si="2">F10+I10+L10+O10+R10+U10+X10+AA10+AD10+AG10+AJ10+AM10+AP10+AS10+AV10+AY10+BB10+BE10+BH10+BK10+BN10+BQ10+BT10+BW10+BZ10+CC10+CF10+CI10+CL10+CO10+CR10+CU10+CX10</f>
        <v>0</v>
      </c>
      <c r="DA10" s="36">
        <f>COUNT(BT10,BW10,BZ10,CI10,CL10,CO10,CR10,CU10,F10,I10,L10,O10,R10,U10,X10,AA10,AD10,AG10,AJ10,AM10,AP10,#REF!,AS10,AV10,AY10,BB10,BE10,BH10,BK10,BN10,BQ10,CC10,CF10,CX10,#REF!,#REF!,#REF!)</f>
        <v>0</v>
      </c>
      <c r="DB10" s="41"/>
      <c r="DD10" s="42"/>
    </row>
    <row r="11" spans="1:108" hidden="1" x14ac:dyDescent="0.25">
      <c r="A11" s="187"/>
      <c r="B11" s="187"/>
      <c r="C11" s="111" t="s">
        <v>34</v>
      </c>
      <c r="D11" s="29"/>
      <c r="E11" s="188"/>
      <c r="F11" s="30"/>
      <c r="G11" s="29"/>
      <c r="H11" s="188"/>
      <c r="I11" s="30"/>
      <c r="J11" s="29"/>
      <c r="K11" s="188"/>
      <c r="L11" s="30"/>
      <c r="M11" s="29"/>
      <c r="N11" s="188"/>
      <c r="O11" s="30"/>
      <c r="P11" s="29"/>
      <c r="Q11" s="188"/>
      <c r="R11" s="30"/>
      <c r="S11" s="29"/>
      <c r="T11" s="188"/>
      <c r="U11" s="30"/>
      <c r="V11" s="29"/>
      <c r="W11" s="188"/>
      <c r="X11" s="30"/>
      <c r="Y11" s="29"/>
      <c r="Z11" s="188"/>
      <c r="AA11" s="30"/>
      <c r="AB11" s="29"/>
      <c r="AC11" s="188"/>
      <c r="AD11" s="30"/>
      <c r="AE11" s="29"/>
      <c r="AF11" s="188"/>
      <c r="AG11" s="30"/>
      <c r="AH11" s="29"/>
      <c r="AI11" s="188"/>
      <c r="AJ11" s="30"/>
      <c r="AK11" s="29"/>
      <c r="AL11" s="188"/>
      <c r="AM11" s="30"/>
      <c r="AN11" s="29"/>
      <c r="AO11" s="188"/>
      <c r="AP11" s="30"/>
      <c r="AQ11" s="29"/>
      <c r="AR11" s="188"/>
      <c r="AS11" s="30"/>
      <c r="AT11" s="29"/>
      <c r="AU11" s="188"/>
      <c r="AV11" s="30"/>
      <c r="AW11" s="44"/>
      <c r="AX11" s="58"/>
      <c r="AY11" s="45"/>
      <c r="AZ11" s="31"/>
      <c r="BA11" s="58"/>
      <c r="BB11" s="31"/>
      <c r="BC11" s="44"/>
      <c r="BD11" s="59"/>
      <c r="BE11" s="45"/>
      <c r="BF11" s="44"/>
      <c r="BG11" s="59"/>
      <c r="BH11" s="45"/>
      <c r="BI11" s="44"/>
      <c r="BJ11" s="59"/>
      <c r="BK11" s="45"/>
      <c r="BL11" s="44"/>
      <c r="BM11" s="59"/>
      <c r="BN11" s="45"/>
      <c r="BO11" s="44"/>
      <c r="BP11" s="59"/>
      <c r="BQ11" s="45"/>
      <c r="BR11" s="44"/>
      <c r="BS11" s="59"/>
      <c r="BT11" s="45"/>
      <c r="BU11" s="44"/>
      <c r="BV11" s="59"/>
      <c r="BW11" s="45"/>
      <c r="BX11" s="44"/>
      <c r="BY11" s="59"/>
      <c r="BZ11" s="45"/>
      <c r="CA11" s="44"/>
      <c r="CB11" s="59"/>
      <c r="CC11" s="45"/>
      <c r="CD11" s="29"/>
      <c r="CE11" s="60"/>
      <c r="CF11" s="30"/>
      <c r="CG11" s="29"/>
      <c r="CH11" s="60"/>
      <c r="CI11" s="30"/>
      <c r="CJ11" s="29"/>
      <c r="CK11" s="60"/>
      <c r="CL11" s="30"/>
      <c r="CM11" s="29"/>
      <c r="CN11" s="31"/>
      <c r="CO11" s="31"/>
      <c r="CP11" s="29"/>
      <c r="CQ11" s="31"/>
      <c r="CR11" s="31"/>
      <c r="CS11" s="29"/>
      <c r="CT11" s="31"/>
      <c r="CU11" s="31"/>
      <c r="CV11" s="29"/>
      <c r="CW11" s="62"/>
      <c r="CX11" s="30"/>
      <c r="CY11" s="601">
        <f t="shared" si="0"/>
        <v>0</v>
      </c>
      <c r="CZ11" s="398">
        <f t="shared" si="2"/>
        <v>0</v>
      </c>
      <c r="DA11" s="36">
        <f>COUNT(BT11,BW11,BZ11,CI11,CL11,CO11,CR11,CU11,F11,I11,L11,O11,R11,U11,X11,AA11,AD11,AG11,AJ11,AM11,AP11,#REF!,AS11,AV11,AY11,BB11,BE11,BH11,BK11,BN11,BQ11,CC11,CF11,CX11,#REF!,#REF!,#REF!)</f>
        <v>0</v>
      </c>
      <c r="DB11" s="41"/>
      <c r="DD11" s="42"/>
    </row>
    <row r="12" spans="1:108" ht="16.5" hidden="1" thickBot="1" x14ac:dyDescent="0.3">
      <c r="A12" s="187"/>
      <c r="B12" s="194"/>
      <c r="C12" s="167" t="s">
        <v>1</v>
      </c>
      <c r="D12" s="57">
        <v>27.12</v>
      </c>
      <c r="E12" s="193">
        <v>4</v>
      </c>
      <c r="F12" s="56">
        <f>D12*0.91</f>
        <v>24.679200000000002</v>
      </c>
      <c r="G12" s="57"/>
      <c r="H12" s="193"/>
      <c r="I12" s="56"/>
      <c r="J12" s="57"/>
      <c r="K12" s="193"/>
      <c r="L12" s="56"/>
      <c r="M12" s="57">
        <v>45.7</v>
      </c>
      <c r="N12" s="193">
        <v>5</v>
      </c>
      <c r="O12" s="148">
        <f>M12*0.91</f>
        <v>41.587000000000003</v>
      </c>
      <c r="P12" s="57">
        <v>28.9</v>
      </c>
      <c r="Q12" s="193">
        <v>4</v>
      </c>
      <c r="R12" s="148">
        <f>P12*0.91</f>
        <v>26.298999999999999</v>
      </c>
      <c r="S12" s="57"/>
      <c r="T12" s="193"/>
      <c r="U12" s="56"/>
      <c r="V12" s="57"/>
      <c r="W12" s="193"/>
      <c r="X12" s="56"/>
      <c r="Y12" s="57"/>
      <c r="Z12" s="193"/>
      <c r="AA12" s="148"/>
      <c r="AB12" s="57"/>
      <c r="AC12" s="193"/>
      <c r="AD12" s="56"/>
      <c r="AE12" s="57"/>
      <c r="AF12" s="193"/>
      <c r="AG12" s="56"/>
      <c r="AH12" s="57"/>
      <c r="AI12" s="193"/>
      <c r="AJ12" s="56"/>
      <c r="AK12" s="57"/>
      <c r="AL12" s="193"/>
      <c r="AM12" s="148"/>
      <c r="AN12" s="57"/>
      <c r="AO12" s="193"/>
      <c r="AP12" s="56"/>
      <c r="AQ12" s="57"/>
      <c r="AR12" s="193"/>
      <c r="AS12" s="56"/>
      <c r="AT12" s="57"/>
      <c r="AU12" s="193"/>
      <c r="AV12" s="56"/>
      <c r="AW12" s="48"/>
      <c r="AX12" s="149"/>
      <c r="AY12" s="50"/>
      <c r="AZ12" s="49"/>
      <c r="BA12" s="149"/>
      <c r="BB12" s="49"/>
      <c r="BC12" s="48"/>
      <c r="BD12" s="150"/>
      <c r="BE12" s="50"/>
      <c r="BF12" s="48"/>
      <c r="BG12" s="150"/>
      <c r="BH12" s="50"/>
      <c r="BI12" s="48"/>
      <c r="BJ12" s="150"/>
      <c r="BK12" s="50"/>
      <c r="BL12" s="48"/>
      <c r="BM12" s="150"/>
      <c r="BN12" s="50"/>
      <c r="BO12" s="48"/>
      <c r="BP12" s="150"/>
      <c r="BQ12" s="50"/>
      <c r="BR12" s="48"/>
      <c r="BS12" s="150"/>
      <c r="BT12" s="50"/>
      <c r="BU12" s="48"/>
      <c r="BV12" s="150"/>
      <c r="BW12" s="50"/>
      <c r="BX12" s="48"/>
      <c r="BY12" s="150"/>
      <c r="BZ12" s="50"/>
      <c r="CA12" s="48"/>
      <c r="CB12" s="150"/>
      <c r="CC12" s="50"/>
      <c r="CD12" s="57"/>
      <c r="CE12" s="61"/>
      <c r="CF12" s="56"/>
      <c r="CG12" s="57"/>
      <c r="CH12" s="61"/>
      <c r="CI12" s="56"/>
      <c r="CJ12" s="57"/>
      <c r="CK12" s="61"/>
      <c r="CL12" s="56"/>
      <c r="CM12" s="57"/>
      <c r="CN12" s="49"/>
      <c r="CO12" s="49"/>
      <c r="CP12" s="57"/>
      <c r="CQ12" s="49"/>
      <c r="CR12" s="49"/>
      <c r="CS12" s="57"/>
      <c r="CT12" s="49"/>
      <c r="CU12" s="49"/>
      <c r="CV12" s="57"/>
      <c r="CW12" s="63"/>
      <c r="CX12" s="56"/>
      <c r="CY12" s="601">
        <f t="shared" si="0"/>
        <v>101.72</v>
      </c>
      <c r="CZ12" s="398">
        <f t="shared" si="2"/>
        <v>92.565200000000004</v>
      </c>
      <c r="DA12" s="36">
        <f>COUNT(BT12,BW12,BZ12,CI12,CL12,CO12,CR12,CU12,F12,I12,L12,O12,R12,U12,X12,AA12,AD12,AG12,AJ12,AM12,AP12,#REF!,AS12,AV12,AY12,BB12,BE12,BH12,BK12,BN12,BQ12,CC12,CF12,CX12,#REF!,#REF!,#REF!)</f>
        <v>3</v>
      </c>
      <c r="DB12" s="41"/>
      <c r="DD12" s="42"/>
    </row>
    <row r="13" spans="1:108" x14ac:dyDescent="0.25">
      <c r="A13" s="112"/>
      <c r="B13" s="180"/>
      <c r="C13" s="180"/>
      <c r="D13" s="112"/>
      <c r="E13" s="181"/>
      <c r="F13" s="175"/>
      <c r="G13" s="112"/>
      <c r="H13" s="181"/>
      <c r="I13" s="175"/>
      <c r="J13" s="112"/>
      <c r="K13" s="181"/>
      <c r="L13" s="175"/>
      <c r="M13" s="112"/>
      <c r="N13" s="181"/>
      <c r="O13" s="177"/>
      <c r="P13" s="112"/>
      <c r="Q13" s="181"/>
      <c r="R13" s="175"/>
      <c r="S13" s="112"/>
      <c r="T13" s="181"/>
      <c r="U13" s="175"/>
      <c r="V13" s="112"/>
      <c r="W13" s="181"/>
      <c r="X13" s="175"/>
      <c r="Y13" s="112"/>
      <c r="Z13" s="181"/>
      <c r="AA13" s="175"/>
      <c r="AB13" s="112"/>
      <c r="AC13" s="181"/>
      <c r="AD13" s="175"/>
      <c r="AE13" s="112"/>
      <c r="AF13" s="181"/>
      <c r="AG13" s="175"/>
      <c r="AH13" s="112"/>
      <c r="AI13" s="181"/>
      <c r="AJ13" s="175"/>
      <c r="AK13" s="112"/>
      <c r="AL13" s="181"/>
      <c r="AM13" s="175"/>
      <c r="AN13" s="112"/>
      <c r="AO13" s="181"/>
      <c r="AP13" s="175"/>
      <c r="AQ13" s="175"/>
      <c r="AR13" s="182"/>
      <c r="AS13" s="175"/>
      <c r="AT13" s="175"/>
      <c r="AU13" s="182"/>
      <c r="AV13" s="175"/>
      <c r="AW13" s="175"/>
      <c r="AX13" s="183"/>
      <c r="AY13" s="175"/>
      <c r="AZ13" s="175"/>
      <c r="BA13" s="183"/>
      <c r="BB13" s="175"/>
      <c r="BC13" s="175"/>
      <c r="BD13" s="176"/>
      <c r="BE13" s="175"/>
      <c r="BF13" s="175"/>
      <c r="BG13" s="176"/>
      <c r="BH13" s="175"/>
      <c r="BI13" s="175"/>
      <c r="BJ13" s="176"/>
      <c r="BK13" s="175"/>
      <c r="BL13" s="175"/>
      <c r="BM13" s="176"/>
      <c r="BN13" s="175"/>
      <c r="BO13" s="175"/>
      <c r="BP13" s="176"/>
      <c r="BQ13" s="175"/>
      <c r="BR13" s="175"/>
      <c r="BS13" s="176"/>
      <c r="BT13" s="175"/>
      <c r="BU13" s="175"/>
      <c r="BV13" s="176"/>
      <c r="BW13" s="175"/>
      <c r="BX13" s="175"/>
      <c r="BY13" s="176"/>
      <c r="BZ13" s="175"/>
      <c r="CA13" s="175"/>
      <c r="CB13" s="176"/>
      <c r="CC13" s="175"/>
      <c r="CD13" s="112"/>
      <c r="CE13" s="184"/>
      <c r="CF13" s="175"/>
      <c r="CG13" s="112"/>
      <c r="CH13" s="184"/>
      <c r="CI13" s="175"/>
      <c r="CJ13" s="112"/>
      <c r="CK13" s="184"/>
      <c r="CL13" s="175"/>
      <c r="CM13" s="112"/>
      <c r="CN13" s="175"/>
      <c r="CO13" s="175"/>
      <c r="CP13" s="112"/>
      <c r="CQ13" s="175"/>
      <c r="CR13" s="175"/>
      <c r="CS13" s="112"/>
      <c r="CT13" s="175"/>
      <c r="CU13" s="175"/>
      <c r="CV13" s="112"/>
      <c r="CW13" s="178"/>
      <c r="CX13" s="175"/>
      <c r="CY13" s="175"/>
      <c r="CZ13" s="177"/>
      <c r="DA13" s="36">
        <f>COUNT(BT13,BW13,BZ13,CI13,CL13,CO13,CR13,CU13,F13,I13,L13,O13,R13,U13,X13,AA13,AD13,AG13,AJ13,AM13,AP13,#REF!,AS13,AV13,AY13,BB13,BE13,BH13,BK13,BN13,BQ13,CC13,CF13,CX13,#REF!,#REF!,#REF!)</f>
        <v>0</v>
      </c>
      <c r="DB13" s="41"/>
      <c r="DD13" s="42"/>
    </row>
    <row r="14" spans="1:108" ht="16.5" thickBot="1" x14ac:dyDescent="0.3">
      <c r="A14" s="124"/>
      <c r="B14" s="196" t="s">
        <v>31</v>
      </c>
      <c r="C14" s="197"/>
      <c r="D14" s="199"/>
      <c r="E14" s="181"/>
      <c r="F14" s="197"/>
      <c r="G14" s="124"/>
      <c r="H14" s="126"/>
      <c r="I14" s="125"/>
      <c r="J14" s="124"/>
      <c r="K14" s="126"/>
      <c r="L14" s="125"/>
      <c r="M14" s="124"/>
      <c r="N14" s="126"/>
      <c r="O14" s="127"/>
      <c r="P14" s="124"/>
      <c r="Q14" s="126"/>
      <c r="R14" s="125"/>
      <c r="S14" s="124"/>
      <c r="T14" s="126"/>
      <c r="U14" s="127"/>
      <c r="V14" s="124"/>
      <c r="W14" s="126"/>
      <c r="X14" s="127"/>
      <c r="Y14" s="124"/>
      <c r="Z14" s="126"/>
      <c r="AA14" s="127"/>
      <c r="AB14" s="124"/>
      <c r="AC14" s="126"/>
      <c r="AD14" s="127"/>
      <c r="AE14" s="124"/>
      <c r="AF14" s="126"/>
      <c r="AG14" s="127"/>
      <c r="AH14" s="124"/>
      <c r="AI14" s="126"/>
      <c r="AJ14" s="127"/>
      <c r="AK14" s="124"/>
      <c r="AL14" s="126"/>
      <c r="AM14" s="127"/>
      <c r="AN14" s="124"/>
      <c r="AO14" s="126"/>
      <c r="AP14" s="128"/>
      <c r="AQ14" s="129"/>
      <c r="AR14" s="130"/>
      <c r="AS14" s="131"/>
      <c r="AT14" s="129"/>
      <c r="AU14" s="130"/>
      <c r="AV14" s="132"/>
      <c r="AW14" s="129"/>
      <c r="AX14" s="133"/>
      <c r="AY14" s="131"/>
      <c r="AZ14" s="132"/>
      <c r="BA14" s="133"/>
      <c r="BB14" s="132"/>
      <c r="BC14" s="129"/>
      <c r="BD14" s="134"/>
      <c r="BE14" s="131"/>
      <c r="BF14" s="129"/>
      <c r="BG14" s="134"/>
      <c r="BH14" s="131"/>
      <c r="BI14" s="129"/>
      <c r="BJ14" s="134"/>
      <c r="BK14" s="131"/>
      <c r="BL14" s="129"/>
      <c r="BM14" s="134"/>
      <c r="BN14" s="131"/>
      <c r="BO14" s="129"/>
      <c r="BP14" s="134"/>
      <c r="BQ14" s="131"/>
      <c r="BR14" s="129"/>
      <c r="BS14" s="134"/>
      <c r="BT14" s="131"/>
      <c r="BU14" s="129"/>
      <c r="BV14" s="134"/>
      <c r="BW14" s="131"/>
      <c r="BX14" s="129"/>
      <c r="BY14" s="134"/>
      <c r="BZ14" s="131"/>
      <c r="CA14" s="129"/>
      <c r="CB14" s="134"/>
      <c r="CC14" s="131"/>
      <c r="CD14" s="124"/>
      <c r="CE14" s="135"/>
      <c r="CF14" s="127"/>
      <c r="CG14" s="124"/>
      <c r="CH14" s="135"/>
      <c r="CI14" s="127"/>
      <c r="CJ14" s="124"/>
      <c r="CK14" s="135"/>
      <c r="CL14" s="127"/>
      <c r="CM14" s="124"/>
      <c r="CN14" s="132"/>
      <c r="CO14" s="132"/>
      <c r="CP14" s="124"/>
      <c r="CQ14" s="132"/>
      <c r="CR14" s="132"/>
      <c r="CS14" s="124"/>
      <c r="CT14" s="132"/>
      <c r="CU14" s="132"/>
      <c r="CV14" s="124"/>
      <c r="CW14" s="136"/>
      <c r="CX14" s="127"/>
      <c r="CY14" s="602"/>
      <c r="CZ14" s="603"/>
      <c r="DA14" s="36">
        <f>COUNT(BT14,BW14,BZ14,CI14,CL14,CO14,CR14,CU14,F14,I14,L14,O14,R14,U14,X14,AA14,AD14,AG14,AJ14,AM14,AP14,#REF!,AS14,AV14,AY14,BB14,BE14,BH14,BK14,BN14,BQ14,CC14,CF14,CX14,#REF!,#REF!,#REF!)</f>
        <v>0</v>
      </c>
      <c r="DB14" s="41"/>
      <c r="DD14" s="42"/>
    </row>
    <row r="15" spans="1:108" x14ac:dyDescent="0.25">
      <c r="A15" s="187">
        <v>1512</v>
      </c>
      <c r="B15" s="186" t="s">
        <v>18</v>
      </c>
      <c r="C15" s="163" t="s">
        <v>0</v>
      </c>
      <c r="D15" s="137"/>
      <c r="E15" s="189"/>
      <c r="F15" s="139"/>
      <c r="G15" s="137"/>
      <c r="H15" s="141"/>
      <c r="I15" s="139"/>
      <c r="J15" s="137"/>
      <c r="K15" s="141"/>
      <c r="L15" s="139"/>
      <c r="M15" s="137"/>
      <c r="N15" s="141"/>
      <c r="O15" s="139"/>
      <c r="P15" s="137"/>
      <c r="Q15" s="141"/>
      <c r="R15" s="139"/>
      <c r="S15" s="137"/>
      <c r="T15" s="141"/>
      <c r="U15" s="139"/>
      <c r="V15" s="137"/>
      <c r="W15" s="141"/>
      <c r="X15" s="139"/>
      <c r="Y15" s="137"/>
      <c r="Z15" s="141"/>
      <c r="AA15" s="139"/>
      <c r="AB15" s="137"/>
      <c r="AC15" s="141"/>
      <c r="AD15" s="139"/>
      <c r="AE15" s="137"/>
      <c r="AF15" s="141"/>
      <c r="AG15" s="139"/>
      <c r="AH15" s="137"/>
      <c r="AI15" s="141"/>
      <c r="AJ15" s="139"/>
      <c r="AK15" s="137"/>
      <c r="AL15" s="141"/>
      <c r="AM15" s="139"/>
      <c r="AN15" s="137"/>
      <c r="AO15" s="141"/>
      <c r="AP15" s="139"/>
      <c r="AQ15" s="137"/>
      <c r="AR15" s="141"/>
      <c r="AS15" s="139"/>
      <c r="AT15" s="137"/>
      <c r="AU15" s="141"/>
      <c r="AV15" s="139"/>
      <c r="AW15" s="137"/>
      <c r="AX15" s="141"/>
      <c r="AY15" s="139"/>
      <c r="AZ15" s="137"/>
      <c r="BA15" s="141"/>
      <c r="BB15" s="139"/>
      <c r="BC15" s="137"/>
      <c r="BD15" s="141"/>
      <c r="BE15" s="139"/>
      <c r="BF15" s="137"/>
      <c r="BG15" s="141"/>
      <c r="BH15" s="139"/>
      <c r="BI15" s="137"/>
      <c r="BJ15" s="141"/>
      <c r="BK15" s="139"/>
      <c r="BL15" s="137"/>
      <c r="BM15" s="141"/>
      <c r="BN15" s="139"/>
      <c r="BO15" s="137"/>
      <c r="BP15" s="141"/>
      <c r="BQ15" s="139"/>
      <c r="BR15" s="137"/>
      <c r="BS15" s="141"/>
      <c r="BT15" s="139"/>
      <c r="BU15" s="137"/>
      <c r="BV15" s="141"/>
      <c r="BW15" s="139"/>
      <c r="BX15" s="137"/>
      <c r="BY15" s="141"/>
      <c r="BZ15" s="139"/>
      <c r="CA15" s="137"/>
      <c r="CB15" s="141"/>
      <c r="CC15" s="139"/>
      <c r="CD15" s="137"/>
      <c r="CE15" s="141"/>
      <c r="CF15" s="139"/>
      <c r="CG15" s="137"/>
      <c r="CH15" s="141"/>
      <c r="CI15" s="139"/>
      <c r="CJ15" s="137"/>
      <c r="CK15" s="141"/>
      <c r="CL15" s="139"/>
      <c r="CM15" s="137"/>
      <c r="CN15" s="140"/>
      <c r="CO15" s="140"/>
      <c r="CP15" s="137"/>
      <c r="CQ15" s="140"/>
      <c r="CR15" s="140"/>
      <c r="CS15" s="137"/>
      <c r="CT15" s="140"/>
      <c r="CU15" s="140"/>
      <c r="CV15" s="137"/>
      <c r="CW15" s="141"/>
      <c r="CX15" s="139"/>
      <c r="CY15" s="595">
        <f t="shared" ref="CY15:CY23" si="3">D15+G15+J15+M15+P15+V15+Y15+AB15+AE15+AH15+AK15+AN15+AQ15+AT15+AW15+AZ15+BC15+BF15+BI15+BL15+BO15+BR15+BU15+BX15+CA15+CD15+CG15+CJ15+CM15+CP15+CS15+CV15</f>
        <v>0</v>
      </c>
      <c r="CZ15" s="604">
        <f t="shared" ref="CZ15:CZ23" si="4">F15+I15+L15+O15+R15+U15+X15+AA15+AD15+AG15+AJ15+AM15+AP15+AS15+AV15+AY15+BB15+BE15+BH15+BK15+BN15+BQ15+BT15+BW15+BZ15+CC15+CF15+CI15+CL15+CO15+CR15+CU15+CX15</f>
        <v>0</v>
      </c>
      <c r="DA15" s="532">
        <f>COUNT(BT15,BW15,BZ15,CI15,CL15,CO15,CR15,CU15,F15,I15,L15,O15,R15,U15,X15,AA15,AD15,AG15,AJ15,AM15,AP15,#REF!,AS15,AV15,AY15,BB15,BE15,BH15,BK15,BN15,BQ15,CC15,CF15,CX15,#REF!,#REF!,#REF!)</f>
        <v>0</v>
      </c>
      <c r="DB15" s="41"/>
      <c r="DD15" s="42"/>
    </row>
    <row r="16" spans="1:108" x14ac:dyDescent="0.25">
      <c r="A16" s="187"/>
      <c r="B16" s="187"/>
      <c r="C16" s="111" t="s">
        <v>34</v>
      </c>
      <c r="D16" s="29"/>
      <c r="E16" s="188"/>
      <c r="F16" s="30"/>
      <c r="G16" s="29"/>
      <c r="H16" s="32"/>
      <c r="I16" s="30"/>
      <c r="J16" s="29"/>
      <c r="K16" s="32"/>
      <c r="L16" s="30"/>
      <c r="M16" s="29"/>
      <c r="N16" s="32"/>
      <c r="O16" s="30"/>
      <c r="P16" s="29"/>
      <c r="Q16" s="32"/>
      <c r="R16" s="30"/>
      <c r="S16" s="29"/>
      <c r="T16" s="32"/>
      <c r="U16" s="30"/>
      <c r="V16" s="29"/>
      <c r="W16" s="32"/>
      <c r="X16" s="30"/>
      <c r="Y16" s="29"/>
      <c r="Z16" s="32"/>
      <c r="AA16" s="30"/>
      <c r="AB16" s="29"/>
      <c r="AC16" s="32"/>
      <c r="AD16" s="30"/>
      <c r="AE16" s="29"/>
      <c r="AF16" s="32"/>
      <c r="AG16" s="30"/>
      <c r="AH16" s="29"/>
      <c r="AI16" s="32"/>
      <c r="AJ16" s="30"/>
      <c r="AK16" s="29"/>
      <c r="AL16" s="32"/>
      <c r="AM16" s="30"/>
      <c r="AN16" s="29"/>
      <c r="AO16" s="32"/>
      <c r="AP16" s="30"/>
      <c r="AQ16" s="29"/>
      <c r="AR16" s="32"/>
      <c r="AS16" s="30"/>
      <c r="AT16" s="29"/>
      <c r="AU16" s="32"/>
      <c r="AV16" s="30"/>
      <c r="AW16" s="29"/>
      <c r="AX16" s="32"/>
      <c r="AY16" s="30"/>
      <c r="AZ16" s="29"/>
      <c r="BA16" s="32"/>
      <c r="BB16" s="30"/>
      <c r="BC16" s="29"/>
      <c r="BD16" s="32"/>
      <c r="BE16" s="30"/>
      <c r="BF16" s="29"/>
      <c r="BG16" s="32"/>
      <c r="BH16" s="30"/>
      <c r="BI16" s="29"/>
      <c r="BJ16" s="32"/>
      <c r="BK16" s="30"/>
      <c r="BL16" s="29"/>
      <c r="BM16" s="32"/>
      <c r="BN16" s="30"/>
      <c r="BO16" s="29"/>
      <c r="BP16" s="32"/>
      <c r="BQ16" s="30"/>
      <c r="BR16" s="29"/>
      <c r="BS16" s="32"/>
      <c r="BT16" s="30"/>
      <c r="BU16" s="29"/>
      <c r="BV16" s="32"/>
      <c r="BW16" s="30"/>
      <c r="BX16" s="29"/>
      <c r="BY16" s="32"/>
      <c r="BZ16" s="30"/>
      <c r="CA16" s="29"/>
      <c r="CB16" s="32"/>
      <c r="CC16" s="30"/>
      <c r="CD16" s="29"/>
      <c r="CE16" s="32"/>
      <c r="CF16" s="30"/>
      <c r="CG16" s="29"/>
      <c r="CH16" s="32"/>
      <c r="CI16" s="30"/>
      <c r="CJ16" s="29"/>
      <c r="CK16" s="32"/>
      <c r="CL16" s="30"/>
      <c r="CM16" s="29"/>
      <c r="CN16" s="31"/>
      <c r="CO16" s="31"/>
      <c r="CP16" s="29"/>
      <c r="CQ16" s="31"/>
      <c r="CR16" s="31"/>
      <c r="CS16" s="29"/>
      <c r="CT16" s="31"/>
      <c r="CU16" s="31"/>
      <c r="CV16" s="29"/>
      <c r="CW16" s="32"/>
      <c r="CX16" s="30"/>
      <c r="CY16" s="598">
        <f t="shared" si="3"/>
        <v>0</v>
      </c>
      <c r="CZ16" s="398">
        <f t="shared" si="4"/>
        <v>0</v>
      </c>
      <c r="DA16" s="533">
        <f>COUNT(BT16,BW16,BZ16,CI16,CL16,CO16,CR16,CU16,F16,I16,L16,O16,R16,U16,X16,AA16,AD16,AG16,AJ16,AM16,AP16,#REF!,AS16,AV16,AY16,BB16,BE16,BH16,BK16,BN16,BQ16,CC16,CF16,CX16,#REF!,#REF!,#REF!)</f>
        <v>0</v>
      </c>
      <c r="DB16" s="41"/>
      <c r="DD16" s="42"/>
    </row>
    <row r="17" spans="1:108" ht="16.5" thickBot="1" x14ac:dyDescent="0.3">
      <c r="A17" s="187"/>
      <c r="B17" s="194"/>
      <c r="C17" s="167" t="s">
        <v>1</v>
      </c>
      <c r="D17" s="57"/>
      <c r="E17" s="193"/>
      <c r="F17" s="56"/>
      <c r="G17" s="57"/>
      <c r="H17" s="147"/>
      <c r="I17" s="56"/>
      <c r="J17" s="57"/>
      <c r="K17" s="147"/>
      <c r="L17" s="56"/>
      <c r="M17" s="57"/>
      <c r="N17" s="147"/>
      <c r="O17" s="56"/>
      <c r="P17" s="57"/>
      <c r="Q17" s="147"/>
      <c r="R17" s="56"/>
      <c r="S17" s="57"/>
      <c r="T17" s="147"/>
      <c r="U17" s="56"/>
      <c r="V17" s="57"/>
      <c r="W17" s="147"/>
      <c r="X17" s="56"/>
      <c r="Y17" s="364">
        <v>7.28</v>
      </c>
      <c r="Z17" s="372">
        <v>1</v>
      </c>
      <c r="AA17" s="373">
        <v>17.2</v>
      </c>
      <c r="AB17" s="57"/>
      <c r="AC17" s="147"/>
      <c r="AD17" s="56"/>
      <c r="AE17" s="57"/>
      <c r="AF17" s="147"/>
      <c r="AG17" s="56"/>
      <c r="AH17" s="57"/>
      <c r="AI17" s="147"/>
      <c r="AJ17" s="56"/>
      <c r="AK17" s="57"/>
      <c r="AL17" s="147"/>
      <c r="AM17" s="56"/>
      <c r="AN17" s="57"/>
      <c r="AO17" s="147"/>
      <c r="AP17" s="56"/>
      <c r="AQ17" s="57"/>
      <c r="AR17" s="147"/>
      <c r="AS17" s="56"/>
      <c r="AT17" s="57"/>
      <c r="AU17" s="147"/>
      <c r="AV17" s="56"/>
      <c r="AW17" s="57"/>
      <c r="AX17" s="147"/>
      <c r="AY17" s="56"/>
      <c r="AZ17" s="57"/>
      <c r="BA17" s="147"/>
      <c r="BB17" s="56"/>
      <c r="BC17" s="57"/>
      <c r="BD17" s="147"/>
      <c r="BE17" s="56"/>
      <c r="BF17" s="57"/>
      <c r="BG17" s="147"/>
      <c r="BH17" s="56"/>
      <c r="BI17" s="57"/>
      <c r="BJ17" s="147"/>
      <c r="BK17" s="56"/>
      <c r="BL17" s="57"/>
      <c r="BM17" s="147"/>
      <c r="BN17" s="56"/>
      <c r="BO17" s="57"/>
      <c r="BP17" s="147"/>
      <c r="BQ17" s="56"/>
      <c r="BR17" s="57"/>
      <c r="BS17" s="147"/>
      <c r="BT17" s="56"/>
      <c r="BU17" s="57"/>
      <c r="BV17" s="147"/>
      <c r="BW17" s="56"/>
      <c r="BX17" s="57"/>
      <c r="BY17" s="147"/>
      <c r="BZ17" s="56"/>
      <c r="CA17" s="57"/>
      <c r="CB17" s="147"/>
      <c r="CC17" s="56"/>
      <c r="CD17" s="57"/>
      <c r="CE17" s="147"/>
      <c r="CF17" s="56"/>
      <c r="CG17" s="57"/>
      <c r="CH17" s="147"/>
      <c r="CI17" s="56"/>
      <c r="CJ17" s="57"/>
      <c r="CK17" s="147"/>
      <c r="CL17" s="56"/>
      <c r="CM17" s="57"/>
      <c r="CN17" s="49"/>
      <c r="CO17" s="49"/>
      <c r="CP17" s="57"/>
      <c r="CQ17" s="49"/>
      <c r="CR17" s="49"/>
      <c r="CS17" s="57"/>
      <c r="CT17" s="49"/>
      <c r="CU17" s="49"/>
      <c r="CV17" s="57"/>
      <c r="CW17" s="147"/>
      <c r="CX17" s="56"/>
      <c r="CY17" s="605">
        <f t="shared" si="3"/>
        <v>7.28</v>
      </c>
      <c r="CZ17" s="427">
        <f t="shared" si="4"/>
        <v>17.2</v>
      </c>
      <c r="DA17" s="533">
        <f>COUNT(BT17,BW17,BZ17,CI17,CL17,CO17,CR17,CU17,F17,I17,L17,O17,R17,U17,X17,AA17,AD17,AG17,AJ17,AM17,AP17,#REF!,AS17,AV17,AY17,BB17,BE17,BH17,BK17,BN17,BQ17,CC17,CF17,CX17,#REF!,#REF!,#REF!)</f>
        <v>1</v>
      </c>
      <c r="DB17" s="41">
        <f>SUM(CZ15:CZ17)</f>
        <v>17.2</v>
      </c>
      <c r="DD17" s="42"/>
    </row>
    <row r="18" spans="1:108" x14ac:dyDescent="0.25">
      <c r="A18" s="187">
        <v>1706</v>
      </c>
      <c r="B18" s="186" t="s">
        <v>21</v>
      </c>
      <c r="C18" s="163" t="s">
        <v>0</v>
      </c>
      <c r="D18" s="137"/>
      <c r="E18" s="189"/>
      <c r="F18" s="139"/>
      <c r="G18" s="137"/>
      <c r="H18" s="141"/>
      <c r="I18" s="139"/>
      <c r="J18" s="137"/>
      <c r="K18" s="141"/>
      <c r="L18" s="139"/>
      <c r="M18" s="137"/>
      <c r="N18" s="141"/>
      <c r="O18" s="139"/>
      <c r="P18" s="137"/>
      <c r="Q18" s="141"/>
      <c r="R18" s="139"/>
      <c r="S18" s="137"/>
      <c r="T18" s="141"/>
      <c r="U18" s="139"/>
      <c r="V18" s="137"/>
      <c r="W18" s="141"/>
      <c r="X18" s="139"/>
      <c r="Y18" s="137"/>
      <c r="Z18" s="141"/>
      <c r="AA18" s="139"/>
      <c r="AB18" s="137"/>
      <c r="AC18" s="141"/>
      <c r="AD18" s="139"/>
      <c r="AE18" s="137"/>
      <c r="AF18" s="141"/>
      <c r="AG18" s="139"/>
      <c r="AH18" s="137"/>
      <c r="AI18" s="141"/>
      <c r="AJ18" s="139"/>
      <c r="AK18" s="137"/>
      <c r="AL18" s="141"/>
      <c r="AM18" s="139"/>
      <c r="AN18" s="137"/>
      <c r="AO18" s="141"/>
      <c r="AP18" s="139"/>
      <c r="AQ18" s="137"/>
      <c r="AR18" s="141"/>
      <c r="AS18" s="139"/>
      <c r="AT18" s="137"/>
      <c r="AU18" s="141"/>
      <c r="AV18" s="139"/>
      <c r="AW18" s="137"/>
      <c r="AX18" s="141"/>
      <c r="AY18" s="139"/>
      <c r="AZ18" s="137"/>
      <c r="BA18" s="141"/>
      <c r="BB18" s="139"/>
      <c r="BC18" s="137"/>
      <c r="BD18" s="141"/>
      <c r="BE18" s="139"/>
      <c r="BF18" s="137"/>
      <c r="BG18" s="141"/>
      <c r="BH18" s="139"/>
      <c r="BI18" s="137"/>
      <c r="BJ18" s="141"/>
      <c r="BK18" s="139"/>
      <c r="BL18" s="137"/>
      <c r="BM18" s="141"/>
      <c r="BN18" s="139"/>
      <c r="BO18" s="137"/>
      <c r="BP18" s="141"/>
      <c r="BQ18" s="139"/>
      <c r="BR18" s="137"/>
      <c r="BS18" s="141"/>
      <c r="BT18" s="139"/>
      <c r="BU18" s="137"/>
      <c r="BV18" s="141"/>
      <c r="BW18" s="139"/>
      <c r="BX18" s="137"/>
      <c r="BY18" s="141"/>
      <c r="BZ18" s="139"/>
      <c r="CA18" s="137"/>
      <c r="CB18" s="141"/>
      <c r="CC18" s="139"/>
      <c r="CD18" s="137"/>
      <c r="CE18" s="141"/>
      <c r="CF18" s="139"/>
      <c r="CG18" s="137"/>
      <c r="CH18" s="141"/>
      <c r="CI18" s="139"/>
      <c r="CJ18" s="137"/>
      <c r="CK18" s="141"/>
      <c r="CL18" s="139"/>
      <c r="CM18" s="137"/>
      <c r="CN18" s="140"/>
      <c r="CO18" s="140"/>
      <c r="CP18" s="137"/>
      <c r="CQ18" s="140"/>
      <c r="CR18" s="140"/>
      <c r="CS18" s="137"/>
      <c r="CT18" s="140"/>
      <c r="CU18" s="140"/>
      <c r="CV18" s="137"/>
      <c r="CW18" s="141"/>
      <c r="CX18" s="138"/>
      <c r="CY18" s="595">
        <f t="shared" si="3"/>
        <v>0</v>
      </c>
      <c r="CZ18" s="604">
        <f t="shared" si="4"/>
        <v>0</v>
      </c>
      <c r="DA18" s="532">
        <f>COUNT(BT18,BW18,BZ18,CI18,CL18,CO18,CR18,CU18,F18,I18,L18,O18,R18,U18,X18,AA18,AD18,AG18,AJ18,AM18,AP18,#REF!,AS18,AV18,AY18,BB18,BE18,BH18,BK18,BN18,BQ18,CC18,CF18,CX18,#REF!,#REF!,#REF!)</f>
        <v>0</v>
      </c>
      <c r="DB18" s="41"/>
      <c r="DD18" s="42"/>
    </row>
    <row r="19" spans="1:108" x14ac:dyDescent="0.25">
      <c r="A19" s="187"/>
      <c r="B19" s="187"/>
      <c r="C19" s="111" t="s">
        <v>34</v>
      </c>
      <c r="D19" s="29"/>
      <c r="E19" s="188"/>
      <c r="F19" s="30"/>
      <c r="G19" s="29"/>
      <c r="H19" s="32"/>
      <c r="I19" s="30"/>
      <c r="J19" s="29"/>
      <c r="K19" s="32"/>
      <c r="L19" s="30"/>
      <c r="M19" s="29"/>
      <c r="N19" s="32"/>
      <c r="O19" s="30"/>
      <c r="P19" s="29"/>
      <c r="Q19" s="32"/>
      <c r="R19" s="30"/>
      <c r="S19" s="29"/>
      <c r="T19" s="32"/>
      <c r="U19" s="30"/>
      <c r="V19" s="29"/>
      <c r="W19" s="32"/>
      <c r="X19" s="30"/>
      <c r="Y19" s="29"/>
      <c r="Z19" s="32"/>
      <c r="AA19" s="30"/>
      <c r="AB19" s="29"/>
      <c r="AC19" s="32"/>
      <c r="AD19" s="30"/>
      <c r="AE19" s="29"/>
      <c r="AF19" s="32"/>
      <c r="AG19" s="30"/>
      <c r="AH19" s="29"/>
      <c r="AI19" s="32"/>
      <c r="AJ19" s="30"/>
      <c r="AK19" s="29"/>
      <c r="AL19" s="32"/>
      <c r="AM19" s="30"/>
      <c r="AN19" s="29"/>
      <c r="AO19" s="32"/>
      <c r="AP19" s="30"/>
      <c r="AQ19" s="29"/>
      <c r="AR19" s="32"/>
      <c r="AS19" s="30"/>
      <c r="AT19" s="29"/>
      <c r="AU19" s="32"/>
      <c r="AV19" s="30"/>
      <c r="AW19" s="29"/>
      <c r="AX19" s="32"/>
      <c r="AY19" s="30"/>
      <c r="AZ19" s="29"/>
      <c r="BA19" s="32"/>
      <c r="BB19" s="30"/>
      <c r="BC19" s="29"/>
      <c r="BD19" s="32"/>
      <c r="BE19" s="30"/>
      <c r="BF19" s="29"/>
      <c r="BG19" s="32"/>
      <c r="BH19" s="30"/>
      <c r="BI19" s="29"/>
      <c r="BJ19" s="32"/>
      <c r="BK19" s="30"/>
      <c r="BL19" s="29"/>
      <c r="BM19" s="32"/>
      <c r="BN19" s="30"/>
      <c r="BO19" s="29"/>
      <c r="BP19" s="32"/>
      <c r="BQ19" s="30"/>
      <c r="BR19" s="29"/>
      <c r="BS19" s="32"/>
      <c r="BT19" s="30"/>
      <c r="BU19" s="29"/>
      <c r="BV19" s="32"/>
      <c r="BW19" s="30"/>
      <c r="BX19" s="29"/>
      <c r="BY19" s="32"/>
      <c r="BZ19" s="30"/>
      <c r="CA19" s="29"/>
      <c r="CB19" s="32"/>
      <c r="CC19" s="30"/>
      <c r="CD19" s="29"/>
      <c r="CE19" s="32"/>
      <c r="CF19" s="30"/>
      <c r="CG19" s="29"/>
      <c r="CH19" s="32"/>
      <c r="CI19" s="30"/>
      <c r="CJ19" s="29"/>
      <c r="CK19" s="32"/>
      <c r="CL19" s="30"/>
      <c r="CM19" s="29"/>
      <c r="CN19" s="31"/>
      <c r="CO19" s="31"/>
      <c r="CP19" s="29"/>
      <c r="CQ19" s="31"/>
      <c r="CR19" s="31"/>
      <c r="CS19" s="29"/>
      <c r="CT19" s="31"/>
      <c r="CU19" s="31"/>
      <c r="CV19" s="29"/>
      <c r="CW19" s="32"/>
      <c r="CX19" s="39"/>
      <c r="CY19" s="598">
        <f t="shared" si="3"/>
        <v>0</v>
      </c>
      <c r="CZ19" s="398">
        <f t="shared" si="4"/>
        <v>0</v>
      </c>
      <c r="DA19" s="533">
        <f>COUNT(BT19,BW19,BZ19,CI19,CL19,CO19,CR19,CU19,F19,I19,L19,O19,R19,U19,X19,AA19,AD19,AG19,AJ19,AM19,AP19,#REF!,AS19,AV19,AY19,BB19,BE19,BH19,BK19,BN19,BQ19,CC19,CF19,CX19,#REF!,#REF!,#REF!)</f>
        <v>0</v>
      </c>
      <c r="DB19" s="41"/>
      <c r="DD19" s="42"/>
    </row>
    <row r="20" spans="1:108" ht="16.5" thickBot="1" x14ac:dyDescent="0.3">
      <c r="A20" s="187"/>
      <c r="B20" s="194"/>
      <c r="C20" s="167" t="s">
        <v>1</v>
      </c>
      <c r="D20" s="57"/>
      <c r="E20" s="193"/>
      <c r="F20" s="56"/>
      <c r="G20" s="57"/>
      <c r="H20" s="147"/>
      <c r="I20" s="56"/>
      <c r="J20" s="57"/>
      <c r="K20" s="147"/>
      <c r="L20" s="56"/>
      <c r="M20" s="57">
        <v>4.76</v>
      </c>
      <c r="N20" s="147">
        <v>1</v>
      </c>
      <c r="O20" s="148">
        <f>M20*1.11</f>
        <v>5.2835999999999999</v>
      </c>
      <c r="P20" s="57"/>
      <c r="Q20" s="147"/>
      <c r="R20" s="56"/>
      <c r="S20" s="57"/>
      <c r="T20" s="147"/>
      <c r="U20" s="56"/>
      <c r="V20" s="57"/>
      <c r="W20" s="147"/>
      <c r="X20" s="56"/>
      <c r="Y20" s="57"/>
      <c r="Z20" s="147"/>
      <c r="AA20" s="56"/>
      <c r="AB20" s="57"/>
      <c r="AC20" s="147"/>
      <c r="AD20" s="56"/>
      <c r="AE20" s="57"/>
      <c r="AF20" s="147"/>
      <c r="AG20" s="56"/>
      <c r="AH20" s="57"/>
      <c r="AI20" s="147"/>
      <c r="AJ20" s="56"/>
      <c r="AK20" s="57">
        <v>27.74</v>
      </c>
      <c r="AL20" s="372">
        <v>5</v>
      </c>
      <c r="AM20" s="373">
        <v>30.8</v>
      </c>
      <c r="AN20" s="57"/>
      <c r="AO20" s="147"/>
      <c r="AP20" s="56"/>
      <c r="AQ20" s="57"/>
      <c r="AR20" s="147"/>
      <c r="AS20" s="56"/>
      <c r="AT20" s="57"/>
      <c r="AU20" s="147"/>
      <c r="AV20" s="56"/>
      <c r="AW20" s="57"/>
      <c r="AX20" s="147"/>
      <c r="AY20" s="56"/>
      <c r="AZ20" s="57"/>
      <c r="BA20" s="147"/>
      <c r="BB20" s="56"/>
      <c r="BC20" s="57"/>
      <c r="BD20" s="147"/>
      <c r="BE20" s="56"/>
      <c r="BF20" s="57"/>
      <c r="BG20" s="147"/>
      <c r="BH20" s="56"/>
      <c r="BI20" s="57"/>
      <c r="BJ20" s="147"/>
      <c r="BK20" s="56"/>
      <c r="BL20" s="57"/>
      <c r="BM20" s="147"/>
      <c r="BN20" s="56"/>
      <c r="BO20" s="57"/>
      <c r="BP20" s="147"/>
      <c r="BQ20" s="56"/>
      <c r="BR20" s="57"/>
      <c r="BS20" s="147"/>
      <c r="BT20" s="56"/>
      <c r="BU20" s="57"/>
      <c r="BV20" s="147"/>
      <c r="BW20" s="56"/>
      <c r="BX20" s="57"/>
      <c r="BY20" s="147"/>
      <c r="BZ20" s="56"/>
      <c r="CA20" s="57"/>
      <c r="CB20" s="147"/>
      <c r="CC20" s="56"/>
      <c r="CD20" s="57"/>
      <c r="CE20" s="147"/>
      <c r="CF20" s="56"/>
      <c r="CG20" s="57"/>
      <c r="CH20" s="147"/>
      <c r="CI20" s="56"/>
      <c r="CJ20" s="57"/>
      <c r="CK20" s="147"/>
      <c r="CL20" s="56"/>
      <c r="CM20" s="57"/>
      <c r="CN20" s="49"/>
      <c r="CO20" s="49"/>
      <c r="CP20" s="57"/>
      <c r="CQ20" s="49"/>
      <c r="CR20" s="49"/>
      <c r="CS20" s="57"/>
      <c r="CT20" s="49"/>
      <c r="CU20" s="49"/>
      <c r="CV20" s="57"/>
      <c r="CW20" s="147"/>
      <c r="CX20" s="55"/>
      <c r="CY20" s="596">
        <f t="shared" si="3"/>
        <v>32.5</v>
      </c>
      <c r="CZ20" s="408">
        <f t="shared" si="4"/>
        <v>36.083600000000004</v>
      </c>
      <c r="DA20" s="171">
        <f>COUNT(BT20,BW20,BZ20,CI20,CL20,CO20,CR20,CU20,F20,I20,L20,O20,R20,U20,X20,AA20,AD20,AG20,AJ20,AM20,AP20,#REF!,AS20,AV20,AY20,BB20,BE20,BH20,BK20,BN20,BQ20,CC20,CF20,CX20,#REF!,#REF!,#REF!)</f>
        <v>2</v>
      </c>
      <c r="DB20" s="41">
        <f>SUM(CZ18:CZ20)</f>
        <v>36.083600000000004</v>
      </c>
      <c r="DD20" s="42"/>
    </row>
    <row r="21" spans="1:108" x14ac:dyDescent="0.25">
      <c r="A21" s="399">
        <v>1365</v>
      </c>
      <c r="B21" s="137" t="s">
        <v>187</v>
      </c>
      <c r="C21" s="163" t="s">
        <v>0</v>
      </c>
      <c r="D21" s="401"/>
      <c r="E21" s="397"/>
      <c r="F21" s="127"/>
      <c r="G21" s="401"/>
      <c r="H21" s="397"/>
      <c r="I21" s="127"/>
      <c r="J21" s="401"/>
      <c r="K21" s="397"/>
      <c r="L21" s="127"/>
      <c r="M21" s="401"/>
      <c r="N21" s="397"/>
      <c r="O21" s="127"/>
      <c r="P21" s="401"/>
      <c r="Q21" s="397"/>
      <c r="R21" s="127"/>
      <c r="S21" s="401"/>
      <c r="T21" s="397"/>
      <c r="U21" s="127"/>
      <c r="V21" s="401"/>
      <c r="W21" s="397"/>
      <c r="X21" s="127"/>
      <c r="Y21" s="401"/>
      <c r="Z21" s="397"/>
      <c r="AA21" s="127"/>
      <c r="AB21" s="401"/>
      <c r="AC21" s="397"/>
      <c r="AD21" s="164"/>
      <c r="AE21" s="401"/>
      <c r="AF21" s="397"/>
      <c r="AG21" s="164"/>
      <c r="AH21" s="401"/>
      <c r="AI21" s="397"/>
      <c r="AJ21" s="164"/>
      <c r="AK21" s="401"/>
      <c r="AL21" s="397"/>
      <c r="AM21" s="164"/>
      <c r="AN21" s="401"/>
      <c r="AO21" s="397"/>
      <c r="AP21" s="164"/>
      <c r="AQ21" s="401"/>
      <c r="AR21" s="397"/>
      <c r="AS21" s="164"/>
      <c r="AT21" s="401"/>
      <c r="AU21" s="397"/>
      <c r="AV21" s="164"/>
      <c r="AW21" s="401"/>
      <c r="AX21" s="397"/>
      <c r="AY21" s="164"/>
      <c r="AZ21" s="401"/>
      <c r="BA21" s="414"/>
      <c r="BB21" s="164"/>
      <c r="BC21" s="401"/>
      <c r="BD21" s="397"/>
      <c r="BE21" s="164"/>
      <c r="BF21" s="401"/>
      <c r="BG21" s="397"/>
      <c r="BH21" s="164"/>
      <c r="BI21" s="401"/>
      <c r="BJ21" s="397"/>
      <c r="BK21" s="164"/>
      <c r="BL21" s="401"/>
      <c r="BM21" s="397"/>
      <c r="BN21" s="403"/>
      <c r="BO21" s="402"/>
      <c r="BP21" s="397"/>
      <c r="BQ21" s="403"/>
      <c r="BR21" s="402"/>
      <c r="BS21" s="397"/>
      <c r="BT21" s="403"/>
      <c r="BU21" s="402"/>
      <c r="BV21" s="397"/>
      <c r="BW21" s="403"/>
      <c r="BX21" s="402"/>
      <c r="BY21" s="397"/>
      <c r="BZ21" s="403"/>
      <c r="CA21" s="402"/>
      <c r="CB21" s="397"/>
      <c r="CC21" s="403"/>
      <c r="CD21" s="402"/>
      <c r="CE21" s="397"/>
      <c r="CF21" s="403"/>
      <c r="CG21" s="402"/>
      <c r="CH21" s="397"/>
      <c r="CI21" s="403"/>
      <c r="CJ21" s="402"/>
      <c r="CK21" s="397"/>
      <c r="CL21" s="403"/>
      <c r="CM21" s="402"/>
      <c r="CN21" s="403"/>
      <c r="CO21" s="403"/>
      <c r="CP21" s="402"/>
      <c r="CQ21" s="403"/>
      <c r="CR21" s="403"/>
      <c r="CS21" s="402"/>
      <c r="CT21" s="403"/>
      <c r="CU21" s="403"/>
      <c r="CV21" s="402"/>
      <c r="CW21" s="397"/>
      <c r="CX21" s="128"/>
      <c r="CY21" s="595">
        <f t="shared" si="3"/>
        <v>0</v>
      </c>
      <c r="CZ21" s="604">
        <f t="shared" si="4"/>
        <v>0</v>
      </c>
      <c r="DA21" s="532">
        <f>COUNT(BT21,BW21,BZ21,CI21,CL21,CO21,CR21,CU21,F21,I21,L21,O21,R21,U21,X21,AA21,AD21,AG21,AJ21,AM21,AP21,#REF!,AS21,AV21,AY21,BB21,BE21,BH21,BK21,BN21,BQ21,CC21,CF21,CX21,#REF!,#REF!,#REF!)</f>
        <v>0</v>
      </c>
      <c r="DB21" s="41"/>
      <c r="DD21" s="42"/>
    </row>
    <row r="22" spans="1:108" x14ac:dyDescent="0.25">
      <c r="A22" s="400"/>
      <c r="B22" s="390"/>
      <c r="C22" s="111" t="s">
        <v>34</v>
      </c>
      <c r="D22" s="390"/>
      <c r="E22" s="188"/>
      <c r="F22" s="33"/>
      <c r="G22" s="390"/>
      <c r="H22" s="188"/>
      <c r="I22" s="33"/>
      <c r="J22" s="390"/>
      <c r="K22" s="188"/>
      <c r="L22" s="33"/>
      <c r="M22" s="390"/>
      <c r="N22" s="188"/>
      <c r="O22" s="33"/>
      <c r="P22" s="390"/>
      <c r="Q22" s="188"/>
      <c r="R22" s="33"/>
      <c r="S22" s="390"/>
      <c r="T22" s="188"/>
      <c r="U22" s="33"/>
      <c r="V22" s="390"/>
      <c r="W22" s="188"/>
      <c r="X22" s="33"/>
      <c r="Y22" s="390"/>
      <c r="Z22" s="188"/>
      <c r="AA22" s="33"/>
      <c r="AB22" s="390"/>
      <c r="AC22" s="188"/>
      <c r="AD22" s="33"/>
      <c r="AE22" s="390"/>
      <c r="AF22" s="188"/>
      <c r="AG22" s="33"/>
      <c r="AH22" s="390"/>
      <c r="AI22" s="188"/>
      <c r="AJ22" s="33"/>
      <c r="AK22" s="390"/>
      <c r="AL22" s="188"/>
      <c r="AM22" s="33"/>
      <c r="AN22" s="390"/>
      <c r="AO22" s="188"/>
      <c r="AP22" s="33"/>
      <c r="AQ22" s="390"/>
      <c r="AR22" s="188"/>
      <c r="AS22" s="33"/>
      <c r="AT22" s="390"/>
      <c r="AU22" s="188"/>
      <c r="AV22" s="33"/>
      <c r="AW22" s="390"/>
      <c r="AX22" s="188"/>
      <c r="AY22" s="33"/>
      <c r="AZ22" s="390"/>
      <c r="BA22" s="412"/>
      <c r="BB22" s="33"/>
      <c r="BC22" s="390"/>
      <c r="BD22" s="188"/>
      <c r="BE22" s="33"/>
      <c r="BF22" s="390"/>
      <c r="BG22" s="188"/>
      <c r="BH22" s="33"/>
      <c r="BI22" s="390"/>
      <c r="BJ22" s="188"/>
      <c r="BK22" s="33"/>
      <c r="BL22" s="390"/>
      <c r="BM22" s="188"/>
      <c r="BN22" s="398"/>
      <c r="BO22" s="38"/>
      <c r="BP22" s="188"/>
      <c r="BQ22" s="398"/>
      <c r="BR22" s="38"/>
      <c r="BS22" s="188"/>
      <c r="BT22" s="398"/>
      <c r="BU22" s="38"/>
      <c r="BV22" s="188"/>
      <c r="BW22" s="398"/>
      <c r="BX22" s="38"/>
      <c r="BY22" s="188"/>
      <c r="BZ22" s="398"/>
      <c r="CA22" s="38"/>
      <c r="CB22" s="188"/>
      <c r="CC22" s="398"/>
      <c r="CD22" s="38"/>
      <c r="CE22" s="188"/>
      <c r="CF22" s="398"/>
      <c r="CG22" s="38"/>
      <c r="CH22" s="188"/>
      <c r="CI22" s="398"/>
      <c r="CJ22" s="38"/>
      <c r="CK22" s="188"/>
      <c r="CL22" s="398"/>
      <c r="CM22" s="38"/>
      <c r="CN22" s="398"/>
      <c r="CO22" s="398"/>
      <c r="CP22" s="38"/>
      <c r="CQ22" s="398"/>
      <c r="CR22" s="398"/>
      <c r="CS22" s="38"/>
      <c r="CT22" s="398"/>
      <c r="CU22" s="398"/>
      <c r="CV22" s="38"/>
      <c r="CW22" s="188"/>
      <c r="CX22" s="43"/>
      <c r="CY22" s="598">
        <f t="shared" si="3"/>
        <v>0</v>
      </c>
      <c r="CZ22" s="398">
        <f t="shared" si="4"/>
        <v>0</v>
      </c>
      <c r="DA22" s="533">
        <f>COUNT(BT22,BW22,BZ22,CI22,CL22,CO22,CR22,CU22,F22,I22,L22,O22,R22,U22,X22,AA22,AD22,AG22,AJ22,AM22,AP22,#REF!,AS22,AV22,AY22,BB22,BE22,BH22,BK22,BN22,BQ22,CC22,CF22,CX22,#REF!,#REF!,#REF!)</f>
        <v>0</v>
      </c>
      <c r="DB22" s="41"/>
      <c r="DD22" s="42"/>
    </row>
    <row r="23" spans="1:108" ht="16.5" thickBot="1" x14ac:dyDescent="0.3">
      <c r="A23" s="400"/>
      <c r="B23" s="57"/>
      <c r="C23" s="167" t="s">
        <v>1</v>
      </c>
      <c r="D23" s="57"/>
      <c r="E23" s="193"/>
      <c r="F23" s="148"/>
      <c r="G23" s="410"/>
      <c r="H23" s="193"/>
      <c r="I23" s="148"/>
      <c r="J23" s="410"/>
      <c r="K23" s="193"/>
      <c r="L23" s="148"/>
      <c r="M23" s="410"/>
      <c r="N23" s="193"/>
      <c r="O23" s="148"/>
      <c r="P23" s="410"/>
      <c r="Q23" s="193"/>
      <c r="R23" s="148"/>
      <c r="S23" s="410"/>
      <c r="T23" s="193"/>
      <c r="U23" s="148"/>
      <c r="V23" s="410"/>
      <c r="W23" s="193"/>
      <c r="X23" s="148"/>
      <c r="Y23" s="411">
        <v>5.8</v>
      </c>
      <c r="Z23" s="362">
        <v>1</v>
      </c>
      <c r="AA23" s="363">
        <v>13.7</v>
      </c>
      <c r="AB23" s="410"/>
      <c r="AC23" s="193"/>
      <c r="AD23" s="148"/>
      <c r="AE23" s="410"/>
      <c r="AF23" s="193"/>
      <c r="AG23" s="148"/>
      <c r="AH23" s="410"/>
      <c r="AI23" s="193"/>
      <c r="AJ23" s="148"/>
      <c r="AK23" s="410"/>
      <c r="AL23" s="193"/>
      <c r="AM23" s="148"/>
      <c r="AN23" s="410"/>
      <c r="AO23" s="193"/>
      <c r="AP23" s="148"/>
      <c r="AQ23" s="410"/>
      <c r="AR23" s="193"/>
      <c r="AS23" s="148"/>
      <c r="AT23" s="410"/>
      <c r="AU23" s="193"/>
      <c r="AV23" s="148"/>
      <c r="AW23" s="410"/>
      <c r="AX23" s="193"/>
      <c r="AY23" s="148"/>
      <c r="AZ23" s="410"/>
      <c r="BA23" s="413"/>
      <c r="BB23" s="148"/>
      <c r="BC23" s="410"/>
      <c r="BD23" s="193"/>
      <c r="BE23" s="148"/>
      <c r="BF23" s="410"/>
      <c r="BG23" s="193"/>
      <c r="BH23" s="148"/>
      <c r="BI23" s="410"/>
      <c r="BJ23" s="193"/>
      <c r="BK23" s="148"/>
      <c r="BL23" s="410"/>
      <c r="BM23" s="193"/>
      <c r="BN23" s="408"/>
      <c r="BO23" s="409"/>
      <c r="BP23" s="193"/>
      <c r="BQ23" s="408"/>
      <c r="BR23" s="409"/>
      <c r="BS23" s="193"/>
      <c r="BT23" s="408"/>
      <c r="BU23" s="409"/>
      <c r="BV23" s="193"/>
      <c r="BW23" s="408"/>
      <c r="BX23" s="409"/>
      <c r="BY23" s="193"/>
      <c r="BZ23" s="408"/>
      <c r="CA23" s="409"/>
      <c r="CB23" s="193"/>
      <c r="CC23" s="408"/>
      <c r="CD23" s="409"/>
      <c r="CE23" s="193"/>
      <c r="CF23" s="408"/>
      <c r="CG23" s="409"/>
      <c r="CH23" s="193"/>
      <c r="CI23" s="408"/>
      <c r="CJ23" s="409"/>
      <c r="CK23" s="193"/>
      <c r="CL23" s="408"/>
      <c r="CM23" s="409"/>
      <c r="CN23" s="408"/>
      <c r="CO23" s="408"/>
      <c r="CP23" s="409"/>
      <c r="CQ23" s="408"/>
      <c r="CR23" s="408"/>
      <c r="CS23" s="409"/>
      <c r="CT23" s="408"/>
      <c r="CU23" s="408"/>
      <c r="CV23" s="409"/>
      <c r="CW23" s="193"/>
      <c r="CX23" s="238"/>
      <c r="CY23" s="596">
        <f t="shared" si="3"/>
        <v>5.8</v>
      </c>
      <c r="CZ23" s="408">
        <f t="shared" si="4"/>
        <v>13.7</v>
      </c>
      <c r="DA23" s="171">
        <f>COUNT(BT23,BW23,BZ23,CI23,CL23,CO23,CR23,CU23,F23,I23,L23,O23,R23,U23,X23,AA23,AD23,AG23,AJ23,AM23,AP23,#REF!,AS23,AV23,AY23,BB23,BE23,BH23,BK23,BN23,BQ23,CC23,CF23,CX23,#REF!,#REF!,#REF!)</f>
        <v>1</v>
      </c>
      <c r="DB23" s="41">
        <f>SUM(CZ21:CZ23)</f>
        <v>13.7</v>
      </c>
      <c r="DD23" s="42"/>
    </row>
    <row r="24" spans="1:108" x14ac:dyDescent="0.25">
      <c r="A24" s="400"/>
      <c r="B24" s="401"/>
      <c r="C24" s="402"/>
      <c r="D24" s="402"/>
      <c r="E24" s="397"/>
      <c r="F24" s="403"/>
      <c r="G24" s="402"/>
      <c r="H24" s="397"/>
      <c r="I24" s="403"/>
      <c r="J24" s="402"/>
      <c r="K24" s="397"/>
      <c r="L24" s="403"/>
      <c r="M24" s="402"/>
      <c r="N24" s="397"/>
      <c r="O24" s="403"/>
      <c r="P24" s="402"/>
      <c r="Q24" s="397"/>
      <c r="R24" s="403"/>
      <c r="S24" s="402"/>
      <c r="T24" s="397"/>
      <c r="U24" s="403"/>
      <c r="V24" s="402"/>
      <c r="W24" s="397"/>
      <c r="X24" s="403"/>
      <c r="Y24" s="402"/>
      <c r="Z24" s="397"/>
      <c r="AA24" s="403"/>
      <c r="AB24" s="402"/>
      <c r="AC24" s="397"/>
      <c r="AD24" s="403"/>
      <c r="AE24" s="492"/>
      <c r="AF24" s="493"/>
      <c r="AG24" s="403"/>
      <c r="AH24" s="402"/>
      <c r="AI24" s="397"/>
      <c r="AJ24" s="403"/>
      <c r="AK24" s="402"/>
      <c r="AL24" s="397"/>
      <c r="AM24" s="403"/>
      <c r="AN24" s="402"/>
      <c r="AO24" s="397"/>
      <c r="AP24" s="403"/>
      <c r="AQ24" s="403"/>
      <c r="AR24" s="404"/>
      <c r="AS24" s="403"/>
      <c r="AT24" s="403"/>
      <c r="AU24" s="404"/>
      <c r="AV24" s="403"/>
      <c r="AW24" s="403"/>
      <c r="AX24" s="405"/>
      <c r="AY24" s="403"/>
      <c r="AZ24" s="403"/>
      <c r="BA24" s="133"/>
      <c r="BB24" s="403"/>
      <c r="BC24" s="403"/>
      <c r="BD24" s="406"/>
      <c r="BE24" s="403"/>
      <c r="BF24" s="403"/>
      <c r="BG24" s="406"/>
      <c r="BH24" s="403"/>
      <c r="BI24" s="403"/>
      <c r="BJ24" s="406"/>
      <c r="BK24" s="403"/>
      <c r="BL24" s="403"/>
      <c r="BM24" s="406"/>
      <c r="BN24" s="403"/>
      <c r="BO24" s="403"/>
      <c r="BP24" s="406"/>
      <c r="BQ24" s="403"/>
      <c r="BR24" s="403"/>
      <c r="BS24" s="406"/>
      <c r="BT24" s="403"/>
      <c r="BU24" s="403"/>
      <c r="BV24" s="406"/>
      <c r="BW24" s="403"/>
      <c r="BX24" s="403"/>
      <c r="BY24" s="406"/>
      <c r="BZ24" s="403"/>
      <c r="CA24" s="403"/>
      <c r="CB24" s="406"/>
      <c r="CC24" s="403"/>
      <c r="CD24" s="402"/>
      <c r="CE24" s="407"/>
      <c r="CF24" s="403"/>
      <c r="CG24" s="402"/>
      <c r="CH24" s="407"/>
      <c r="CI24" s="403"/>
      <c r="CJ24" s="402"/>
      <c r="CK24" s="407"/>
      <c r="CL24" s="403"/>
      <c r="CM24" s="402"/>
      <c r="CN24" s="403"/>
      <c r="CO24" s="403"/>
      <c r="CP24" s="402"/>
      <c r="CQ24" s="403"/>
      <c r="CR24" s="403"/>
      <c r="CS24" s="402"/>
      <c r="CT24" s="403"/>
      <c r="CU24" s="403"/>
      <c r="CV24" s="402"/>
      <c r="CW24" s="403"/>
      <c r="CX24" s="403"/>
      <c r="CY24" s="600"/>
      <c r="CZ24" s="403"/>
      <c r="DA24" s="36">
        <f>COUNT(BT24,BW24,BZ24,CI24,CL24,CO24,CR24,CU24,F24,I24,L24,O24,R24,U24,X24,AA24,AD24,AG24,AJ24,AM24,AP24,#REF!,AS24,AV24,AY24,BB24,BE24,BH24,BK24,BN24,BQ24,CC24,CF24,CX24,#REF!,#REF!,#REF!)</f>
        <v>0</v>
      </c>
      <c r="DB24" s="41"/>
      <c r="DD24" s="42"/>
    </row>
    <row r="25" spans="1:108" ht="16.5" thickBot="1" x14ac:dyDescent="0.3">
      <c r="A25" s="400"/>
      <c r="B25" s="425" t="s">
        <v>30</v>
      </c>
      <c r="C25" s="426"/>
      <c r="D25" s="395"/>
      <c r="E25" s="192"/>
      <c r="F25" s="427"/>
      <c r="G25" s="395"/>
      <c r="H25" s="192"/>
      <c r="I25" s="427"/>
      <c r="J25" s="395"/>
      <c r="K25" s="192"/>
      <c r="L25" s="427"/>
      <c r="M25" s="395"/>
      <c r="N25" s="192"/>
      <c r="O25" s="427"/>
      <c r="P25" s="395"/>
      <c r="Q25" s="192"/>
      <c r="R25" s="427"/>
      <c r="S25" s="395"/>
      <c r="T25" s="192"/>
      <c r="U25" s="427"/>
      <c r="V25" s="395"/>
      <c r="W25" s="192"/>
      <c r="X25" s="427"/>
      <c r="Y25" s="395"/>
      <c r="Z25" s="192"/>
      <c r="AA25" s="427"/>
      <c r="AB25" s="395"/>
      <c r="AC25" s="495"/>
      <c r="AD25" s="427"/>
      <c r="AE25" s="494"/>
      <c r="AF25" s="495"/>
      <c r="AG25" s="427"/>
      <c r="AH25" s="395"/>
      <c r="AI25" s="192"/>
      <c r="AJ25" s="427"/>
      <c r="AK25" s="395"/>
      <c r="AL25" s="192"/>
      <c r="AM25" s="427"/>
      <c r="AN25" s="395"/>
      <c r="AO25" s="192"/>
      <c r="AP25" s="427"/>
      <c r="AQ25" s="427"/>
      <c r="AR25" s="428"/>
      <c r="AS25" s="427"/>
      <c r="AT25" s="427"/>
      <c r="AU25" s="428"/>
      <c r="AV25" s="427"/>
      <c r="AW25" s="396"/>
      <c r="AX25" s="429"/>
      <c r="AY25" s="427"/>
      <c r="AZ25" s="427"/>
      <c r="BA25" s="430"/>
      <c r="BB25" s="427"/>
      <c r="BC25" s="427"/>
      <c r="BD25" s="431"/>
      <c r="BE25" s="427"/>
      <c r="BF25" s="427"/>
      <c r="BG25" s="431"/>
      <c r="BH25" s="427"/>
      <c r="BI25" s="427"/>
      <c r="BJ25" s="431"/>
      <c r="BK25" s="427"/>
      <c r="BL25" s="427"/>
      <c r="BM25" s="431"/>
      <c r="BN25" s="427"/>
      <c r="BO25" s="432"/>
      <c r="BP25" s="433"/>
      <c r="BQ25" s="427"/>
      <c r="BR25" s="432"/>
      <c r="BS25" s="433"/>
      <c r="BT25" s="427"/>
      <c r="BU25" s="432"/>
      <c r="BV25" s="433"/>
      <c r="BW25" s="427"/>
      <c r="BX25" s="432"/>
      <c r="BY25" s="433"/>
      <c r="BZ25" s="427"/>
      <c r="CA25" s="427"/>
      <c r="CB25" s="431"/>
      <c r="CC25" s="427"/>
      <c r="CD25" s="395"/>
      <c r="CE25" s="434"/>
      <c r="CF25" s="427"/>
      <c r="CG25" s="395"/>
      <c r="CH25" s="434"/>
      <c r="CI25" s="427"/>
      <c r="CJ25" s="395"/>
      <c r="CK25" s="434"/>
      <c r="CL25" s="427"/>
      <c r="CM25" s="395"/>
      <c r="CN25" s="427"/>
      <c r="CO25" s="427"/>
      <c r="CP25" s="395"/>
      <c r="CQ25" s="427"/>
      <c r="CR25" s="427"/>
      <c r="CS25" s="395"/>
      <c r="CT25" s="427"/>
      <c r="CU25" s="427"/>
      <c r="CV25" s="395"/>
      <c r="CW25" s="427"/>
      <c r="CX25" s="427"/>
      <c r="CY25" s="606"/>
      <c r="CZ25" s="427"/>
      <c r="DA25" s="36">
        <f>COUNT(BT25,BW25,BZ25,CI25,CL25,CO25,CR25,CU25,F25,I25,L25,O25,R25,U25,X25,AA25,AD25,AG25,AJ25,AM25,AP25,#REF!,AS25,AV25,AY25,BB25,BE25,BH25,BK25,BN25,BQ25,CC25,CF25,CX25,#REF!,#REF!,#REF!)</f>
        <v>0</v>
      </c>
      <c r="DB25" s="41"/>
      <c r="DD25" s="42"/>
    </row>
    <row r="26" spans="1:108" x14ac:dyDescent="0.25">
      <c r="A26" s="186">
        <v>843</v>
      </c>
      <c r="B26" s="186" t="s">
        <v>165</v>
      </c>
      <c r="C26" s="163" t="s">
        <v>0</v>
      </c>
      <c r="D26" s="137"/>
      <c r="E26" s="189"/>
      <c r="F26" s="164"/>
      <c r="G26" s="137"/>
      <c r="H26" s="189"/>
      <c r="I26" s="164"/>
      <c r="J26" s="137">
        <v>5.6</v>
      </c>
      <c r="K26" s="189"/>
      <c r="L26" s="164">
        <f>J26*5.43*1.2</f>
        <v>36.489599999999996</v>
      </c>
      <c r="M26" s="137"/>
      <c r="N26" s="189"/>
      <c r="O26" s="164"/>
      <c r="P26" s="137"/>
      <c r="Q26" s="189"/>
      <c r="R26" s="164"/>
      <c r="S26" s="137"/>
      <c r="T26" s="189"/>
      <c r="U26" s="164"/>
      <c r="V26" s="137"/>
      <c r="W26" s="189"/>
      <c r="X26" s="164"/>
      <c r="Y26" s="137">
        <v>2.8</v>
      </c>
      <c r="Z26" s="365">
        <v>1</v>
      </c>
      <c r="AA26" s="366">
        <v>18.239999999999998</v>
      </c>
      <c r="AB26" s="137">
        <v>3.2</v>
      </c>
      <c r="AC26" s="482">
        <v>2</v>
      </c>
      <c r="AD26" s="366">
        <v>20.2</v>
      </c>
      <c r="AE26" s="481">
        <v>2.2999999999999998</v>
      </c>
      <c r="AF26" s="482">
        <v>1</v>
      </c>
      <c r="AG26" s="366">
        <v>15</v>
      </c>
      <c r="AH26" s="137"/>
      <c r="AI26" s="189"/>
      <c r="AJ26" s="164"/>
      <c r="AK26" s="137"/>
      <c r="AL26" s="189"/>
      <c r="AM26" s="164"/>
      <c r="AN26" s="481"/>
      <c r="AO26" s="482"/>
      <c r="AP26" s="164"/>
      <c r="AQ26" s="137"/>
      <c r="AR26" s="189"/>
      <c r="AS26" s="164"/>
      <c r="AT26" s="233"/>
      <c r="AU26" s="234"/>
      <c r="AV26" s="168"/>
      <c r="AW26" s="521">
        <v>4.5999999999999996</v>
      </c>
      <c r="AX26" s="165"/>
      <c r="AY26" s="235"/>
      <c r="AZ26" s="249"/>
      <c r="BA26" s="250"/>
      <c r="BB26" s="249"/>
      <c r="BC26" s="240"/>
      <c r="BD26" s="144"/>
      <c r="BE26" s="251"/>
      <c r="BF26" s="240"/>
      <c r="BG26" s="144"/>
      <c r="BH26" s="235"/>
      <c r="BI26" s="240"/>
      <c r="BJ26" s="144"/>
      <c r="BK26" s="235"/>
      <c r="BL26" s="233"/>
      <c r="BM26" s="144"/>
      <c r="BN26" s="235"/>
      <c r="BO26" s="233"/>
      <c r="BP26" s="144"/>
      <c r="BQ26" s="235"/>
      <c r="BR26" s="233"/>
      <c r="BS26" s="144"/>
      <c r="BT26" s="235"/>
      <c r="BU26" s="233"/>
      <c r="BV26" s="144"/>
      <c r="BW26" s="235"/>
      <c r="BX26" s="233"/>
      <c r="BY26" s="144"/>
      <c r="BZ26" s="235"/>
      <c r="CA26" s="233"/>
      <c r="CB26" s="144"/>
      <c r="CC26" s="235"/>
      <c r="CD26" s="233"/>
      <c r="CE26" s="144"/>
      <c r="CF26" s="235"/>
      <c r="CG26" s="233"/>
      <c r="CH26" s="144"/>
      <c r="CI26" s="235"/>
      <c r="CJ26" s="233"/>
      <c r="CK26" s="144"/>
      <c r="CL26" s="235"/>
      <c r="CM26" s="233"/>
      <c r="CN26" s="168"/>
      <c r="CO26" s="168"/>
      <c r="CP26" s="233"/>
      <c r="CQ26" s="168"/>
      <c r="CR26" s="168"/>
      <c r="CS26" s="233"/>
      <c r="CT26" s="168"/>
      <c r="CU26" s="168"/>
      <c r="CV26" s="233"/>
      <c r="CW26" s="144"/>
      <c r="CX26" s="168"/>
      <c r="CY26" s="611">
        <f>D26+G26+J26+M26+P26+V26+Y26+AB26+AE26+AH26+AK26+AN26+AQ26+AT26+AW26+AZ26+BC26+BF26+BI26+BL26+BO26+BR26+BU26+BX26+CA26+CD26+CG26+CJ26+CM26+CP26+CS26+CV26+S26</f>
        <v>18.5</v>
      </c>
      <c r="CZ26" s="607">
        <f t="shared" ref="CZ26:CZ27" si="5">F26+I26+L26+O26+R26+U26+X26+AA26+AD26+AG26+AJ26+AM26+AP26+AS26+AV26+AY26+BB26+BE26+BH26+BK26+BN26+BQ26+BT26+BW26+BZ26+CC26+CF26+CI26+CL26+CO26+CR26+CU26+CX26</f>
        <v>89.929599999999994</v>
      </c>
      <c r="DA26" s="532">
        <f>COUNT(BT26,BW26,BZ26,CI26,CL26,CO26,CR26,CU26,F26,I26,L26,O26,R26,U26,X26,AA26,AD26,AG26,AJ26,AM26,AP26,#REF!,AS26,AV26,AY26,BB26,BE26,BH26,BK26,BN26,BQ26,CC26,CF26,CX26,#REF!,#REF!,#REF!)</f>
        <v>4</v>
      </c>
      <c r="DB26" s="41"/>
      <c r="DD26" s="42"/>
    </row>
    <row r="27" spans="1:108" x14ac:dyDescent="0.25">
      <c r="A27" s="187"/>
      <c r="B27" s="187"/>
      <c r="C27" s="111" t="s">
        <v>34</v>
      </c>
      <c r="D27" s="29"/>
      <c r="E27" s="188"/>
      <c r="F27" s="33"/>
      <c r="G27" s="29"/>
      <c r="H27" s="188"/>
      <c r="I27" s="33"/>
      <c r="J27" s="29"/>
      <c r="K27" s="188"/>
      <c r="L27" s="33"/>
      <c r="M27" s="29"/>
      <c r="N27" s="188"/>
      <c r="O27" s="33"/>
      <c r="P27" s="29"/>
      <c r="Q27" s="188"/>
      <c r="R27" s="33"/>
      <c r="S27" s="29"/>
      <c r="T27" s="188"/>
      <c r="U27" s="33"/>
      <c r="V27" s="29"/>
      <c r="W27" s="188"/>
      <c r="X27" s="33"/>
      <c r="Y27" s="29">
        <v>19</v>
      </c>
      <c r="Z27" s="370"/>
      <c r="AA27" s="371"/>
      <c r="AB27" s="29"/>
      <c r="AC27" s="370"/>
      <c r="AD27" s="33"/>
      <c r="AE27" s="483"/>
      <c r="AF27" s="370"/>
      <c r="AG27" s="33"/>
      <c r="AH27" s="29"/>
      <c r="AI27" s="188"/>
      <c r="AJ27" s="33"/>
      <c r="AK27" s="29"/>
      <c r="AL27" s="188"/>
      <c r="AM27" s="33"/>
      <c r="AN27" s="483"/>
      <c r="AO27" s="370"/>
      <c r="AP27" s="33"/>
      <c r="AQ27" s="29"/>
      <c r="AR27" s="188"/>
      <c r="AS27" s="33"/>
      <c r="AT27" s="46"/>
      <c r="AU27" s="51"/>
      <c r="AV27" s="34"/>
      <c r="AW27" s="522"/>
      <c r="AX27" s="58"/>
      <c r="AY27" s="47"/>
      <c r="AZ27" s="252"/>
      <c r="BA27" s="253"/>
      <c r="BB27" s="252"/>
      <c r="BC27" s="241"/>
      <c r="BD27" s="59"/>
      <c r="BE27" s="47"/>
      <c r="BF27" s="241"/>
      <c r="BG27" s="59"/>
      <c r="BH27" s="47"/>
      <c r="BI27" s="241"/>
      <c r="BJ27" s="59"/>
      <c r="BK27" s="47"/>
      <c r="BL27" s="46"/>
      <c r="BM27" s="59"/>
      <c r="BN27" s="47"/>
      <c r="BO27" s="46"/>
      <c r="BP27" s="59"/>
      <c r="BQ27" s="47"/>
      <c r="BR27" s="46"/>
      <c r="BS27" s="59"/>
      <c r="BT27" s="47"/>
      <c r="BU27" s="46"/>
      <c r="BV27" s="59"/>
      <c r="BW27" s="47"/>
      <c r="BX27" s="46"/>
      <c r="BY27" s="59"/>
      <c r="BZ27" s="47"/>
      <c r="CA27" s="241"/>
      <c r="CB27" s="59"/>
      <c r="CC27" s="47"/>
      <c r="CD27" s="46"/>
      <c r="CE27" s="59"/>
      <c r="CF27" s="47"/>
      <c r="CG27" s="46"/>
      <c r="CH27" s="59"/>
      <c r="CI27" s="47"/>
      <c r="CJ27" s="46"/>
      <c r="CK27" s="59"/>
      <c r="CL27" s="47"/>
      <c r="CM27" s="46"/>
      <c r="CN27" s="34"/>
      <c r="CO27" s="34"/>
      <c r="CP27" s="46"/>
      <c r="CQ27" s="34"/>
      <c r="CR27" s="34"/>
      <c r="CS27" s="46"/>
      <c r="CT27" s="34"/>
      <c r="CU27" s="34"/>
      <c r="CV27" s="46"/>
      <c r="CW27" s="59"/>
      <c r="CX27" s="34"/>
      <c r="CY27" s="612">
        <f t="shared" ref="CY27:CY90" si="6">D27+G27+J27+M27+P27+V27+Y27+AB27+AE27+AH27+AK27+AN27+AQ27+AT27+AW27+AZ27+BC27+BF27+BI27+BL27+BO27+BR27+BU27+BX27+CA27+CD27+CG27+CJ27+CM27+CP27+CS27+CV27+S27</f>
        <v>19</v>
      </c>
      <c r="CZ27" s="204">
        <f t="shared" si="5"/>
        <v>0</v>
      </c>
      <c r="DA27" s="533">
        <f>COUNT(BT27,BW27,BZ27,CI27,CL27,CO27,CR27,CU27,F27,I27,L27,O27,R27,U27,X27,AA27,AD27,AG27,AJ27,AM27,AP27,#REF!,AS27,AV27,AY27,BB27,BE27,BH27,BK27,BN27,BQ27,CC27,CF27,CX27,#REF!,#REF!,#REF!)</f>
        <v>0</v>
      </c>
      <c r="DB27" s="41"/>
      <c r="DD27" s="42"/>
    </row>
    <row r="28" spans="1:108" ht="16.5" thickBot="1" x14ac:dyDescent="0.3">
      <c r="A28" s="194"/>
      <c r="B28" s="194"/>
      <c r="C28" s="167" t="s">
        <v>1</v>
      </c>
      <c r="D28" s="57"/>
      <c r="E28" s="193"/>
      <c r="F28" s="148"/>
      <c r="G28" s="57"/>
      <c r="H28" s="193"/>
      <c r="I28" s="148"/>
      <c r="J28" s="57"/>
      <c r="K28" s="193"/>
      <c r="L28" s="148"/>
      <c r="M28" s="57"/>
      <c r="N28" s="193"/>
      <c r="O28" s="148"/>
      <c r="P28" s="57">
        <v>37.6</v>
      </c>
      <c r="Q28" s="362">
        <v>4</v>
      </c>
      <c r="R28" s="363">
        <v>34.15</v>
      </c>
      <c r="S28" s="364">
        <v>3</v>
      </c>
      <c r="T28" s="362">
        <v>2</v>
      </c>
      <c r="U28" s="363">
        <v>19.55</v>
      </c>
      <c r="V28" s="57"/>
      <c r="W28" s="193"/>
      <c r="X28" s="148"/>
      <c r="Y28" s="57">
        <v>52.4</v>
      </c>
      <c r="Z28" s="362">
        <v>4</v>
      </c>
      <c r="AA28" s="363">
        <v>56.06</v>
      </c>
      <c r="AB28" s="57"/>
      <c r="AC28" s="485"/>
      <c r="AD28" s="148"/>
      <c r="AE28" s="484">
        <v>13.3</v>
      </c>
      <c r="AF28" s="485">
        <v>1</v>
      </c>
      <c r="AG28" s="363">
        <v>14.4</v>
      </c>
      <c r="AH28" s="57">
        <v>115.94</v>
      </c>
      <c r="AI28" s="362">
        <v>9</v>
      </c>
      <c r="AJ28" s="363">
        <v>93.2</v>
      </c>
      <c r="AK28" s="57">
        <v>108.5</v>
      </c>
      <c r="AL28" s="362">
        <v>9</v>
      </c>
      <c r="AM28" s="363">
        <v>87.2</v>
      </c>
      <c r="AN28" s="484">
        <v>146.13999999999999</v>
      </c>
      <c r="AO28" s="485">
        <v>12</v>
      </c>
      <c r="AP28" s="363">
        <v>117.4</v>
      </c>
      <c r="AQ28" s="57"/>
      <c r="AR28" s="193"/>
      <c r="AS28" s="148"/>
      <c r="AT28" s="239">
        <v>94.98</v>
      </c>
      <c r="AU28" s="440">
        <v>7</v>
      </c>
      <c r="AV28" s="438">
        <v>124.23</v>
      </c>
      <c r="AW28" s="523">
        <v>50.48</v>
      </c>
      <c r="AX28" s="149"/>
      <c r="AY28" s="146">
        <v>48.5</v>
      </c>
      <c r="AZ28" s="246">
        <v>96.08</v>
      </c>
      <c r="BA28" s="247">
        <v>7</v>
      </c>
      <c r="BB28" s="146">
        <v>103.77</v>
      </c>
      <c r="BC28" s="239">
        <v>23.72</v>
      </c>
      <c r="BD28" s="476">
        <v>3</v>
      </c>
      <c r="BE28" s="453">
        <f>BC28*0.99*1.2</f>
        <v>28.179359999999996</v>
      </c>
      <c r="BF28" s="239">
        <v>74.7</v>
      </c>
      <c r="BG28" s="476">
        <v>6</v>
      </c>
      <c r="BH28" s="453">
        <f>BF28*0.99*1.2</f>
        <v>88.743600000000001</v>
      </c>
      <c r="BI28" s="239">
        <v>56.9</v>
      </c>
      <c r="BJ28" s="476">
        <v>5</v>
      </c>
      <c r="BK28" s="453">
        <f>BI28*1.2*1.2</f>
        <v>81.935999999999993</v>
      </c>
      <c r="BL28" s="236">
        <v>57.36</v>
      </c>
      <c r="BM28" s="150">
        <v>5</v>
      </c>
      <c r="BN28" s="238">
        <f>(47.46*1.2+9.9*0.99)*1.2</f>
        <v>80.1036</v>
      </c>
      <c r="BO28" s="236">
        <v>70.400000000000006</v>
      </c>
      <c r="BP28" s="150">
        <v>7</v>
      </c>
      <c r="BQ28" s="238">
        <f>(19.68*1.2+50.66*0.99)*1.2</f>
        <v>88.523279999999986</v>
      </c>
      <c r="BR28" s="236">
        <v>81.22</v>
      </c>
      <c r="BS28" s="150">
        <v>7</v>
      </c>
      <c r="BT28" s="238">
        <f>(67.52*0.99+13.2*0.99+0.5*1.65)*1.2</f>
        <v>96.885359999999991</v>
      </c>
      <c r="BU28" s="236">
        <v>30.88</v>
      </c>
      <c r="BV28" s="150">
        <v>3</v>
      </c>
      <c r="BW28" s="238">
        <f>BU28*1.41*1.2</f>
        <v>52.248959999999997</v>
      </c>
      <c r="BX28" s="236">
        <v>25.6</v>
      </c>
      <c r="BY28" s="150">
        <v>3</v>
      </c>
      <c r="BZ28" s="238">
        <f>BX28*1.2*1.2</f>
        <v>36.863999999999997</v>
      </c>
      <c r="CA28" s="478">
        <v>9.2799999999999994</v>
      </c>
      <c r="CB28" s="150">
        <v>1</v>
      </c>
      <c r="CC28" s="238">
        <f>CA28*0.99*1.2</f>
        <v>11.024639999999998</v>
      </c>
      <c r="CD28" s="478"/>
      <c r="CE28" s="150"/>
      <c r="CF28" s="238"/>
      <c r="CG28" s="236"/>
      <c r="CH28" s="150"/>
      <c r="CI28" s="238"/>
      <c r="CJ28" s="236"/>
      <c r="CK28" s="150"/>
      <c r="CL28" s="238"/>
      <c r="CM28" s="236"/>
      <c r="CN28" s="146"/>
      <c r="CO28" s="146"/>
      <c r="CP28" s="236"/>
      <c r="CQ28" s="146"/>
      <c r="CR28" s="146"/>
      <c r="CS28" s="236"/>
      <c r="CT28" s="146"/>
      <c r="CU28" s="146"/>
      <c r="CV28" s="236"/>
      <c r="CW28" s="150"/>
      <c r="CX28" s="238"/>
      <c r="CY28" s="613">
        <f t="shared" si="6"/>
        <v>1148.48</v>
      </c>
      <c r="CZ28" s="148">
        <f>F28+I28+L28+O28+R28+U28+X28+AA28+AD28+AG28+AJ28+AM28+AP28+AS28+AV28+AY28+BB28+BE28+BH28+BK28+BN28+BQ28+BT28+BW28+BZ28+CC28+CF28+CI28+CL28+CO28+CR28+CU28+CX28</f>
        <v>1262.9688000000001</v>
      </c>
      <c r="DA28" s="533">
        <f>COUNT(BT28,BW28,BZ28,CI28,CL28,CO28,CR28,CU28,F28,I28,L28,O28,R28,U28,X28,AA28,AD28,AG28,AJ28,AM28,AP28,#REF!,AS28,AV28,AY28,BB28,BE28,BH28,BK28,BN28,BQ28,CC28,CF28,CX28,#REF!,#REF!,#REF!)</f>
        <v>19</v>
      </c>
      <c r="DB28" s="41">
        <f>SUM(CZ26:CZ28)</f>
        <v>1352.8984</v>
      </c>
      <c r="DD28" s="42"/>
    </row>
    <row r="29" spans="1:108" ht="16.5" customHeight="1" x14ac:dyDescent="0.25">
      <c r="A29" s="186"/>
      <c r="B29" s="206" t="s">
        <v>185</v>
      </c>
      <c r="C29" s="163" t="s">
        <v>0</v>
      </c>
      <c r="D29" s="186"/>
      <c r="E29" s="189"/>
      <c r="F29" s="164"/>
      <c r="G29" s="186"/>
      <c r="H29" s="189"/>
      <c r="I29" s="164"/>
      <c r="J29" s="186"/>
      <c r="K29" s="189"/>
      <c r="L29" s="164"/>
      <c r="M29" s="186"/>
      <c r="N29" s="189"/>
      <c r="O29" s="164"/>
      <c r="P29" s="186"/>
      <c r="Q29" s="189"/>
      <c r="R29" s="164"/>
      <c r="S29" s="186"/>
      <c r="T29" s="189"/>
      <c r="U29" s="164"/>
      <c r="V29" s="186"/>
      <c r="W29" s="189"/>
      <c r="X29" s="164"/>
      <c r="Y29" s="186"/>
      <c r="Z29" s="189"/>
      <c r="AA29" s="164"/>
      <c r="AB29" s="186">
        <v>1.2</v>
      </c>
      <c r="AC29" s="482"/>
      <c r="AD29" s="164"/>
      <c r="AE29" s="486">
        <v>1.2</v>
      </c>
      <c r="AF29" s="482">
        <v>1</v>
      </c>
      <c r="AG29" s="366">
        <v>7.82</v>
      </c>
      <c r="AH29" s="186"/>
      <c r="AI29" s="189"/>
      <c r="AJ29" s="164"/>
      <c r="AK29" s="186"/>
      <c r="AL29" s="189"/>
      <c r="AM29" s="164"/>
      <c r="AN29" s="486"/>
      <c r="AO29" s="482"/>
      <c r="AP29" s="164"/>
      <c r="AQ29" s="186"/>
      <c r="AR29" s="189"/>
      <c r="AS29" s="164"/>
      <c r="AT29" s="282"/>
      <c r="AU29" s="283"/>
      <c r="AV29" s="284"/>
      <c r="AW29" s="461">
        <v>4.5999999999999996</v>
      </c>
      <c r="AX29" s="467">
        <v>1</v>
      </c>
      <c r="AY29" s="462">
        <v>25</v>
      </c>
      <c r="AZ29" s="282"/>
      <c r="BA29" s="287"/>
      <c r="BB29" s="288"/>
      <c r="BC29" s="282"/>
      <c r="BD29" s="289"/>
      <c r="BE29" s="286"/>
      <c r="BF29" s="282"/>
      <c r="BG29" s="289"/>
      <c r="BH29" s="286"/>
      <c r="BI29" s="285"/>
      <c r="BJ29" s="289"/>
      <c r="BK29" s="286"/>
      <c r="BL29" s="285"/>
      <c r="BM29" s="289"/>
      <c r="BN29" s="286"/>
      <c r="BO29" s="285"/>
      <c r="BP29" s="289"/>
      <c r="BQ29" s="286"/>
      <c r="BR29" s="285"/>
      <c r="BS29" s="289"/>
      <c r="BT29" s="286"/>
      <c r="BU29" s="285"/>
      <c r="BV29" s="289"/>
      <c r="BW29" s="286"/>
      <c r="BX29" s="285"/>
      <c r="BY29" s="289"/>
      <c r="BZ29" s="286"/>
      <c r="CA29" s="282"/>
      <c r="CB29" s="289"/>
      <c r="CC29" s="286"/>
      <c r="CD29" s="285"/>
      <c r="CE29" s="289"/>
      <c r="CF29" s="286"/>
      <c r="CG29" s="285"/>
      <c r="CH29" s="289"/>
      <c r="CI29" s="286"/>
      <c r="CJ29" s="285"/>
      <c r="CK29" s="289"/>
      <c r="CL29" s="286"/>
      <c r="CM29" s="285"/>
      <c r="CN29" s="286"/>
      <c r="CO29" s="286"/>
      <c r="CP29" s="285"/>
      <c r="CQ29" s="286"/>
      <c r="CR29" s="286"/>
      <c r="CS29" s="285"/>
      <c r="CT29" s="286"/>
      <c r="CU29" s="286"/>
      <c r="CV29" s="285"/>
      <c r="CW29" s="289"/>
      <c r="CX29" s="286"/>
      <c r="CY29" s="611">
        <f t="shared" si="6"/>
        <v>7</v>
      </c>
      <c r="CZ29" s="607">
        <f t="shared" ref="CZ29:CZ92" si="7">F29+I29+L29+O29+R29+U29+X29+AA29+AD29+AG29+AJ29+AM29+AP29+AS29+AV29+AY29+BB29+BE29+BH29+BK29+BN29+BQ29+BT29+BW29+BZ29+CC29+CF29+CI29+CL29+CO29+CR29+CU29+CX29</f>
        <v>32.82</v>
      </c>
      <c r="DA29" s="532">
        <f>COUNT(BT29,BW29,BZ29,CI29,CL29,CO29,CR29,CU29,F29,I29,L29,O29,R29,U29,X29,AA29,AD29,AG29,AJ29,AM29,AP29,#REF!,AS29,AV29,AY29,BB29,BE29,BH29,BK29,BN29,BQ29,CC29,CF29,CX29,#REF!,#REF!,#REF!)</f>
        <v>2</v>
      </c>
      <c r="DB29" s="41"/>
      <c r="DD29" s="42"/>
    </row>
    <row r="30" spans="1:108" x14ac:dyDescent="0.25">
      <c r="A30" s="187"/>
      <c r="B30" s="195"/>
      <c r="C30" s="111" t="s">
        <v>34</v>
      </c>
      <c r="D30" s="187"/>
      <c r="E30" s="188"/>
      <c r="F30" s="33"/>
      <c r="G30" s="187"/>
      <c r="H30" s="188"/>
      <c r="I30" s="33"/>
      <c r="J30" s="187"/>
      <c r="K30" s="188"/>
      <c r="L30" s="33"/>
      <c r="M30" s="187"/>
      <c r="N30" s="188"/>
      <c r="O30" s="33"/>
      <c r="P30" s="187"/>
      <c r="Q30" s="188"/>
      <c r="R30" s="33"/>
      <c r="S30" s="187"/>
      <c r="T30" s="188"/>
      <c r="U30" s="33"/>
      <c r="V30" s="187"/>
      <c r="W30" s="188"/>
      <c r="X30" s="33"/>
      <c r="Y30" s="187"/>
      <c r="Z30" s="188"/>
      <c r="AA30" s="33"/>
      <c r="AB30" s="187"/>
      <c r="AC30" s="370"/>
      <c r="AD30" s="33"/>
      <c r="AE30" s="487"/>
      <c r="AF30" s="370"/>
      <c r="AG30" s="33"/>
      <c r="AH30" s="187"/>
      <c r="AI30" s="188"/>
      <c r="AJ30" s="33"/>
      <c r="AK30" s="187"/>
      <c r="AL30" s="188"/>
      <c r="AM30" s="33"/>
      <c r="AN30" s="487"/>
      <c r="AO30" s="370"/>
      <c r="AP30" s="33"/>
      <c r="AQ30" s="187"/>
      <c r="AR30" s="188"/>
      <c r="AS30" s="33"/>
      <c r="AT30" s="187">
        <v>75.099999999999994</v>
      </c>
      <c r="AU30" s="368">
        <v>7</v>
      </c>
      <c r="AV30" s="369">
        <v>166.72</v>
      </c>
      <c r="AW30" s="187">
        <v>71.8</v>
      </c>
      <c r="AX30" s="457">
        <v>7</v>
      </c>
      <c r="AY30" s="458">
        <v>148.22999999999999</v>
      </c>
      <c r="AZ30" s="187">
        <v>82.1</v>
      </c>
      <c r="BA30" s="445">
        <v>8</v>
      </c>
      <c r="BB30" s="470">
        <v>150.74</v>
      </c>
      <c r="BC30" s="187"/>
      <c r="BD30" s="59"/>
      <c r="BE30" s="45"/>
      <c r="BF30" s="187"/>
      <c r="BG30" s="59"/>
      <c r="BH30" s="45"/>
      <c r="BI30" s="44"/>
      <c r="BJ30" s="59"/>
      <c r="BK30" s="45"/>
      <c r="BL30" s="44"/>
      <c r="BM30" s="59"/>
      <c r="BN30" s="45"/>
      <c r="BO30" s="44"/>
      <c r="BP30" s="59"/>
      <c r="BQ30" s="45"/>
      <c r="BR30" s="44"/>
      <c r="BS30" s="59"/>
      <c r="BT30" s="45"/>
      <c r="BU30" s="44"/>
      <c r="BV30" s="59"/>
      <c r="BW30" s="45"/>
      <c r="BX30" s="44"/>
      <c r="BY30" s="59"/>
      <c r="BZ30" s="45"/>
      <c r="CA30" s="187"/>
      <c r="CB30" s="59"/>
      <c r="CC30" s="45"/>
      <c r="CD30" s="44"/>
      <c r="CE30" s="59"/>
      <c r="CF30" s="45"/>
      <c r="CG30" s="44"/>
      <c r="CH30" s="59"/>
      <c r="CI30" s="45"/>
      <c r="CJ30" s="44"/>
      <c r="CK30" s="59"/>
      <c r="CL30" s="45"/>
      <c r="CM30" s="44"/>
      <c r="CN30" s="31"/>
      <c r="CO30" s="31"/>
      <c r="CP30" s="44"/>
      <c r="CQ30" s="31"/>
      <c r="CR30" s="31"/>
      <c r="CS30" s="44"/>
      <c r="CT30" s="31"/>
      <c r="CU30" s="31"/>
      <c r="CV30" s="44"/>
      <c r="CW30" s="59"/>
      <c r="CX30" s="31"/>
      <c r="CY30" s="612">
        <f t="shared" si="6"/>
        <v>228.99999999999997</v>
      </c>
      <c r="CZ30" s="204">
        <f t="shared" si="7"/>
        <v>465.69</v>
      </c>
      <c r="DA30" s="533">
        <f>COUNT(BT30,BW30,BZ30,CI30,CL30,CO30,CR30,CU30,F30,I30,L30,O30,R30,U30,X30,AA30,AD30,AG30,AJ30,AM30,AP30,#REF!,AS30,AV30,AY30,BB30,BE30,BH30,BK30,BN30,BQ30,CC30,CF30,CX30,#REF!,#REF!,#REF!)</f>
        <v>3</v>
      </c>
      <c r="DB30" s="41"/>
      <c r="DD30" s="42"/>
    </row>
    <row r="31" spans="1:108" ht="16.5" thickBot="1" x14ac:dyDescent="0.3">
      <c r="A31" s="169"/>
      <c r="B31" s="169"/>
      <c r="C31" s="167" t="s">
        <v>1</v>
      </c>
      <c r="D31" s="170"/>
      <c r="E31" s="190"/>
      <c r="F31" s="191"/>
      <c r="G31" s="170"/>
      <c r="H31" s="190"/>
      <c r="I31" s="207"/>
      <c r="J31" s="170"/>
      <c r="K31" s="190"/>
      <c r="L31" s="207"/>
      <c r="M31" s="170"/>
      <c r="N31" s="190"/>
      <c r="O31" s="191"/>
      <c r="P31" s="170"/>
      <c r="Q31" s="190"/>
      <c r="R31" s="191"/>
      <c r="S31" s="170"/>
      <c r="T31" s="190"/>
      <c r="U31" s="191"/>
      <c r="V31" s="231"/>
      <c r="W31" s="193"/>
      <c r="X31" s="56"/>
      <c r="Y31" s="169"/>
      <c r="Z31" s="193"/>
      <c r="AA31" s="33"/>
      <c r="AB31" s="169"/>
      <c r="AC31" s="485"/>
      <c r="AD31" s="114"/>
      <c r="AE31" s="496">
        <v>21.52</v>
      </c>
      <c r="AF31" s="485">
        <v>3</v>
      </c>
      <c r="AG31" s="367">
        <v>28.15</v>
      </c>
      <c r="AH31" s="169">
        <v>84.74</v>
      </c>
      <c r="AI31" s="362">
        <v>7</v>
      </c>
      <c r="AJ31" s="376">
        <v>68.099999999999994</v>
      </c>
      <c r="AK31" s="170">
        <v>74.98</v>
      </c>
      <c r="AL31" s="374">
        <v>5</v>
      </c>
      <c r="AM31" s="375">
        <v>112.3</v>
      </c>
      <c r="AN31" s="488">
        <v>130.12</v>
      </c>
      <c r="AO31" s="489">
        <v>10</v>
      </c>
      <c r="AP31" s="468">
        <v>104.6</v>
      </c>
      <c r="AQ31" s="170"/>
      <c r="AR31" s="190"/>
      <c r="AS31" s="148"/>
      <c r="AT31" s="242"/>
      <c r="AU31" s="190"/>
      <c r="AV31" s="232"/>
      <c r="AW31" s="459">
        <v>50.48</v>
      </c>
      <c r="AX31" s="460">
        <v>4</v>
      </c>
      <c r="AY31" s="469">
        <v>72</v>
      </c>
      <c r="AZ31" s="242"/>
      <c r="BA31" s="172"/>
      <c r="BB31" s="262"/>
      <c r="BC31" s="169">
        <v>35.6</v>
      </c>
      <c r="BD31" s="474">
        <v>3</v>
      </c>
      <c r="BE31" s="475">
        <f>BC31*1.2*1.2</f>
        <v>51.263999999999996</v>
      </c>
      <c r="BF31" s="169">
        <v>68</v>
      </c>
      <c r="BG31" s="474">
        <v>5</v>
      </c>
      <c r="BH31" s="475">
        <f>BF31*1.2*1.2</f>
        <v>97.919999999999987</v>
      </c>
      <c r="BI31" s="169">
        <v>55</v>
      </c>
      <c r="BJ31" s="474">
        <v>4</v>
      </c>
      <c r="BK31" s="475">
        <f>BI31*1.2*1.2</f>
        <v>79.2</v>
      </c>
      <c r="BL31" s="169">
        <v>98.64</v>
      </c>
      <c r="BM31" s="265">
        <v>8</v>
      </c>
      <c r="BN31" s="171">
        <f>(84.06*1.41+14.58*1.2)*1.2</f>
        <v>163.22471999999999</v>
      </c>
      <c r="BO31" s="169">
        <v>117.16</v>
      </c>
      <c r="BP31" s="265">
        <v>9</v>
      </c>
      <c r="BQ31" s="266">
        <f>(88.46*0.68+28.7*0.74)*1.2</f>
        <v>97.668959999999998</v>
      </c>
      <c r="BR31" s="169">
        <v>83.74</v>
      </c>
      <c r="BS31" s="265">
        <v>6</v>
      </c>
      <c r="BT31" s="266">
        <f>(4.04*0.68+65.7*1.2+14*0.99)*1.2</f>
        <v>114.53664000000001</v>
      </c>
      <c r="BU31" s="169">
        <v>45.12</v>
      </c>
      <c r="BV31" s="265">
        <v>3</v>
      </c>
      <c r="BW31" s="266">
        <f>BU31*1.41*1.2</f>
        <v>76.343039999999988</v>
      </c>
      <c r="BX31" s="169">
        <v>22.44</v>
      </c>
      <c r="BY31" s="265">
        <v>2</v>
      </c>
      <c r="BZ31" s="266">
        <f>BX31*1.41*1.2</f>
        <v>37.96848</v>
      </c>
      <c r="CA31" s="169">
        <v>50.9</v>
      </c>
      <c r="CB31" s="265">
        <v>4</v>
      </c>
      <c r="CC31" s="171">
        <f>CA31*1.41*1.2</f>
        <v>86.122799999999984</v>
      </c>
      <c r="CD31" s="169">
        <v>36.380000000000003</v>
      </c>
      <c r="CE31" s="265">
        <v>3</v>
      </c>
      <c r="CF31" s="171">
        <f>CD31*1.2*1.2</f>
        <v>52.3872</v>
      </c>
      <c r="CG31" s="169">
        <v>24.18</v>
      </c>
      <c r="CH31" s="265">
        <v>2</v>
      </c>
      <c r="CI31" s="171">
        <f>CG31*0.99*1.2</f>
        <v>28.725839999999998</v>
      </c>
      <c r="CJ31" s="169">
        <v>70.52</v>
      </c>
      <c r="CK31" s="265">
        <v>6</v>
      </c>
      <c r="CL31" s="171">
        <f>(20.3*0.74+9.68*0.74+40.54*0.99)*1.2</f>
        <v>74.783760000000001</v>
      </c>
      <c r="CM31" s="169"/>
      <c r="CN31" s="480"/>
      <c r="CO31" s="480"/>
      <c r="CP31" s="169"/>
      <c r="CQ31" s="480"/>
      <c r="CR31" s="480"/>
      <c r="CS31" s="169">
        <v>47.3</v>
      </c>
      <c r="CT31" s="480">
        <v>3</v>
      </c>
      <c r="CU31" s="480">
        <f>CS31*1.98*1.2</f>
        <v>112.3848</v>
      </c>
      <c r="CV31" s="169">
        <v>20.2</v>
      </c>
      <c r="CW31" s="265">
        <v>2</v>
      </c>
      <c r="CX31" s="534">
        <f>CV31*2.39*1.2</f>
        <v>57.933599999999998</v>
      </c>
      <c r="CY31" s="613">
        <f t="shared" si="6"/>
        <v>1137.02</v>
      </c>
      <c r="CZ31" s="148">
        <f t="shared" si="7"/>
        <v>1515.61384</v>
      </c>
      <c r="DA31" s="171">
        <f>COUNT(BT31,BW31,BZ31,CI31,CL31,CO31,CR31,CU31,F31,I31,L31,O31,R31,U31,X31,AA31,AD31,AG31,AJ31,AM31,AP31,#REF!,AS31,AV31,AY31,BB31,BE31,BH31,BK31,BN31,BQ31,CC31,CF31,CX31,#REF!,#REF!,#REF!)</f>
        <v>19</v>
      </c>
      <c r="DB31" s="41">
        <f>SUM(CZ29:CZ31)</f>
        <v>2014.12384</v>
      </c>
      <c r="DD31" s="42"/>
    </row>
    <row r="32" spans="1:108" x14ac:dyDescent="0.25">
      <c r="A32" s="187"/>
      <c r="B32" s="186" t="s">
        <v>64</v>
      </c>
      <c r="C32" s="163" t="s">
        <v>0</v>
      </c>
      <c r="D32" s="137"/>
      <c r="E32" s="189"/>
      <c r="F32" s="164"/>
      <c r="G32" s="137"/>
      <c r="H32" s="189"/>
      <c r="I32" s="164"/>
      <c r="J32" s="137"/>
      <c r="K32" s="189"/>
      <c r="L32" s="164"/>
      <c r="M32" s="137"/>
      <c r="N32" s="189"/>
      <c r="O32" s="164"/>
      <c r="P32" s="137"/>
      <c r="Q32" s="189"/>
      <c r="R32" s="164"/>
      <c r="S32" s="137"/>
      <c r="T32" s="189"/>
      <c r="U32" s="164"/>
      <c r="V32" s="137"/>
      <c r="W32" s="189"/>
      <c r="X32" s="164"/>
      <c r="Y32" s="137"/>
      <c r="Z32" s="189"/>
      <c r="AA32" s="164"/>
      <c r="AB32" s="137">
        <v>11</v>
      </c>
      <c r="AC32" s="482">
        <v>2</v>
      </c>
      <c r="AD32" s="366">
        <v>71.680000000000007</v>
      </c>
      <c r="AE32" s="481">
        <v>5.0999999999999996</v>
      </c>
      <c r="AF32" s="482">
        <v>1</v>
      </c>
      <c r="AG32" s="366">
        <v>33.229999999999997</v>
      </c>
      <c r="AH32" s="137"/>
      <c r="AI32" s="189"/>
      <c r="AJ32" s="164"/>
      <c r="AK32" s="137"/>
      <c r="AL32" s="189"/>
      <c r="AM32" s="164"/>
      <c r="AN32" s="481"/>
      <c r="AO32" s="482"/>
      <c r="AP32" s="164"/>
      <c r="AQ32" s="137"/>
      <c r="AR32" s="189"/>
      <c r="AS32" s="164"/>
      <c r="AT32" s="240"/>
      <c r="AU32" s="234"/>
      <c r="AV32" s="168"/>
      <c r="AW32" s="521">
        <v>3.9</v>
      </c>
      <c r="AX32" s="165"/>
      <c r="AY32" s="235"/>
      <c r="AZ32" s="249"/>
      <c r="BA32" s="250"/>
      <c r="BB32" s="168"/>
      <c r="BC32" s="240"/>
      <c r="BD32" s="144"/>
      <c r="BE32" s="235"/>
      <c r="BF32" s="240"/>
      <c r="BG32" s="144"/>
      <c r="BH32" s="235"/>
      <c r="BI32" s="233"/>
      <c r="BJ32" s="144"/>
      <c r="BK32" s="235"/>
      <c r="BL32" s="233"/>
      <c r="BM32" s="144"/>
      <c r="BN32" s="235"/>
      <c r="BO32" s="233"/>
      <c r="BP32" s="144"/>
      <c r="BQ32" s="235"/>
      <c r="BR32" s="233"/>
      <c r="BS32" s="144"/>
      <c r="BT32" s="235"/>
      <c r="BU32" s="233"/>
      <c r="BV32" s="144"/>
      <c r="BW32" s="235"/>
      <c r="BX32" s="233"/>
      <c r="BY32" s="144"/>
      <c r="BZ32" s="235"/>
      <c r="CA32" s="240"/>
      <c r="CB32" s="144"/>
      <c r="CC32" s="235"/>
      <c r="CD32" s="233"/>
      <c r="CE32" s="144"/>
      <c r="CF32" s="235"/>
      <c r="CG32" s="233"/>
      <c r="CH32" s="144"/>
      <c r="CI32" s="235"/>
      <c r="CJ32" s="233"/>
      <c r="CK32" s="144"/>
      <c r="CL32" s="235"/>
      <c r="CM32" s="233"/>
      <c r="CN32" s="168"/>
      <c r="CO32" s="168"/>
      <c r="CP32" s="233"/>
      <c r="CQ32" s="168"/>
      <c r="CR32" s="168"/>
      <c r="CS32" s="233"/>
      <c r="CT32" s="168"/>
      <c r="CU32" s="168"/>
      <c r="CV32" s="233"/>
      <c r="CW32" s="144"/>
      <c r="CX32" s="168"/>
      <c r="CY32" s="611">
        <f t="shared" si="6"/>
        <v>20</v>
      </c>
      <c r="CZ32" s="607">
        <f t="shared" si="7"/>
        <v>104.91</v>
      </c>
      <c r="DA32" s="532">
        <f>COUNT(BT32,BW32,BZ32,CI32,CL32,CO32,CR32,CU32,F32,I32,L32,O32,R32,U32,X32,AA32,AD32,AG32,AJ32,AM32,AP32,#REF!,AS32,AV32,AY32,BB32,BE32,BH32,BK32,BN32,BQ32,CC32,CF32,CX32,#REF!,#REF!,#REF!)</f>
        <v>2</v>
      </c>
      <c r="DB32" s="41"/>
      <c r="DD32" s="42"/>
    </row>
    <row r="33" spans="1:108" x14ac:dyDescent="0.25">
      <c r="A33" s="187"/>
      <c r="B33" s="187"/>
      <c r="C33" s="111" t="s">
        <v>34</v>
      </c>
      <c r="D33" s="29"/>
      <c r="E33" s="188"/>
      <c r="F33" s="33"/>
      <c r="G33" s="29"/>
      <c r="H33" s="188"/>
      <c r="I33" s="33"/>
      <c r="J33" s="29"/>
      <c r="K33" s="188"/>
      <c r="L33" s="33"/>
      <c r="M33" s="29"/>
      <c r="N33" s="188"/>
      <c r="O33" s="33"/>
      <c r="P33" s="29"/>
      <c r="Q33" s="188"/>
      <c r="R33" s="33"/>
      <c r="S33" s="29"/>
      <c r="T33" s="188"/>
      <c r="U33" s="33"/>
      <c r="V33" s="29"/>
      <c r="W33" s="188"/>
      <c r="X33" s="33"/>
      <c r="Y33" s="29"/>
      <c r="Z33" s="188"/>
      <c r="AA33" s="33"/>
      <c r="AB33" s="29"/>
      <c r="AC33" s="370"/>
      <c r="AD33" s="33"/>
      <c r="AE33" s="483"/>
      <c r="AF33" s="370"/>
      <c r="AG33" s="33"/>
      <c r="AH33" s="29"/>
      <c r="AI33" s="188"/>
      <c r="AJ33" s="33"/>
      <c r="AK33" s="29"/>
      <c r="AL33" s="188"/>
      <c r="AM33" s="33"/>
      <c r="AN33" s="483"/>
      <c r="AO33" s="370"/>
      <c r="AP33" s="33"/>
      <c r="AQ33" s="29"/>
      <c r="AR33" s="188"/>
      <c r="AS33" s="33"/>
      <c r="AT33" s="241"/>
      <c r="AU33" s="51"/>
      <c r="AV33" s="34"/>
      <c r="AW33" s="241"/>
      <c r="AX33" s="58"/>
      <c r="AY33" s="47"/>
      <c r="AZ33" s="252"/>
      <c r="BA33" s="253"/>
      <c r="BB33" s="34"/>
      <c r="BC33" s="241"/>
      <c r="BD33" s="59"/>
      <c r="BE33" s="47"/>
      <c r="BF33" s="241"/>
      <c r="BG33" s="59"/>
      <c r="BH33" s="47"/>
      <c r="BI33" s="46"/>
      <c r="BJ33" s="59"/>
      <c r="BK33" s="47"/>
      <c r="BL33" s="46"/>
      <c r="BM33" s="59"/>
      <c r="BN33" s="47"/>
      <c r="BO33" s="46"/>
      <c r="BP33" s="59"/>
      <c r="BQ33" s="47"/>
      <c r="BR33" s="46"/>
      <c r="BS33" s="59"/>
      <c r="BT33" s="47"/>
      <c r="BU33" s="46"/>
      <c r="BV33" s="59"/>
      <c r="BW33" s="47"/>
      <c r="BX33" s="46"/>
      <c r="BY33" s="59"/>
      <c r="BZ33" s="47"/>
      <c r="CA33" s="241"/>
      <c r="CB33" s="59"/>
      <c r="CC33" s="47"/>
      <c r="CD33" s="46"/>
      <c r="CE33" s="59"/>
      <c r="CF33" s="47"/>
      <c r="CG33" s="46"/>
      <c r="CH33" s="59"/>
      <c r="CI33" s="47"/>
      <c r="CJ33" s="46"/>
      <c r="CK33" s="59"/>
      <c r="CL33" s="47"/>
      <c r="CM33" s="46"/>
      <c r="CN33" s="34"/>
      <c r="CO33" s="34"/>
      <c r="CP33" s="46"/>
      <c r="CQ33" s="34"/>
      <c r="CR33" s="34"/>
      <c r="CS33" s="46"/>
      <c r="CT33" s="34"/>
      <c r="CU33" s="34"/>
      <c r="CV33" s="276"/>
      <c r="CW33" s="59"/>
      <c r="CX33" s="34"/>
      <c r="CY33" s="612">
        <f t="shared" si="6"/>
        <v>0</v>
      </c>
      <c r="CZ33" s="204">
        <f t="shared" si="7"/>
        <v>0</v>
      </c>
      <c r="DA33" s="533">
        <f>COUNT(BT33,BW33,BZ33,CI33,CL33,CO33,CR33,CU33,F33,I33,L33,O33,R33,U33,X33,AA33,AD33,AG33,AJ33,AM33,AP33,#REF!,AS33,AV33,AY33,BB33,BE33,BH33,BK33,BN33,BQ33,CC33,CF33,CX33,#REF!,#REF!,#REF!)</f>
        <v>0</v>
      </c>
      <c r="DB33" s="41"/>
      <c r="DD33" s="42"/>
    </row>
    <row r="34" spans="1:108" ht="16.5" thickBot="1" x14ac:dyDescent="0.3">
      <c r="A34" s="187"/>
      <c r="B34" s="194"/>
      <c r="C34" s="167" t="s">
        <v>1</v>
      </c>
      <c r="D34" s="57"/>
      <c r="E34" s="193"/>
      <c r="F34" s="148"/>
      <c r="G34" s="57"/>
      <c r="H34" s="193"/>
      <c r="I34" s="148"/>
      <c r="J34" s="57"/>
      <c r="K34" s="193"/>
      <c r="L34" s="148"/>
      <c r="M34" s="57"/>
      <c r="N34" s="193"/>
      <c r="O34" s="148"/>
      <c r="P34" s="57"/>
      <c r="Q34" s="193"/>
      <c r="R34" s="148"/>
      <c r="S34" s="57"/>
      <c r="T34" s="193"/>
      <c r="U34" s="148"/>
      <c r="V34" s="57"/>
      <c r="W34" s="193"/>
      <c r="X34" s="148"/>
      <c r="Y34" s="57"/>
      <c r="Z34" s="193"/>
      <c r="AA34" s="148"/>
      <c r="AB34" s="57"/>
      <c r="AC34" s="485"/>
      <c r="AD34" s="148"/>
      <c r="AE34" s="57"/>
      <c r="AF34" s="193"/>
      <c r="AG34" s="148"/>
      <c r="AH34" s="57">
        <v>66.260000000000005</v>
      </c>
      <c r="AI34" s="362">
        <v>5</v>
      </c>
      <c r="AJ34" s="363">
        <v>88.6</v>
      </c>
      <c r="AK34" s="57"/>
      <c r="AL34" s="193"/>
      <c r="AM34" s="148"/>
      <c r="AN34" s="484">
        <v>68.62</v>
      </c>
      <c r="AO34" s="485">
        <v>5</v>
      </c>
      <c r="AP34" s="363">
        <v>78.400000000000006</v>
      </c>
      <c r="AQ34" s="57"/>
      <c r="AR34" s="193"/>
      <c r="AS34" s="148"/>
      <c r="AT34" s="421">
        <v>119.18</v>
      </c>
      <c r="AU34" s="440">
        <v>8</v>
      </c>
      <c r="AV34" s="438">
        <v>88.7</v>
      </c>
      <c r="AW34" s="239">
        <v>67.14</v>
      </c>
      <c r="AX34" s="437">
        <v>5</v>
      </c>
      <c r="AY34" s="439">
        <v>120.91</v>
      </c>
      <c r="AZ34" s="246">
        <v>109.24</v>
      </c>
      <c r="BA34" s="455">
        <v>8</v>
      </c>
      <c r="BB34" s="438">
        <v>118</v>
      </c>
      <c r="BC34" s="239">
        <v>14.8</v>
      </c>
      <c r="BD34" s="476">
        <v>1</v>
      </c>
      <c r="BE34" s="363">
        <f>BC34*1.2*1.2</f>
        <v>21.312000000000001</v>
      </c>
      <c r="BF34" s="239"/>
      <c r="BG34" s="150"/>
      <c r="BH34" s="148"/>
      <c r="BI34" s="236"/>
      <c r="BJ34" s="150"/>
      <c r="BK34" s="148"/>
      <c r="BL34" s="239">
        <v>143.86000000000001</v>
      </c>
      <c r="BM34" s="150">
        <v>10</v>
      </c>
      <c r="BN34" s="148">
        <f>(115.46*0.68+28.6*0.99)*1.2</f>
        <v>128.19215999999997</v>
      </c>
      <c r="BO34" s="236">
        <v>111.64</v>
      </c>
      <c r="BP34" s="150">
        <v>8</v>
      </c>
      <c r="BQ34" s="148">
        <f>(81.54*0.68+30.1*0.74)*1.2</f>
        <v>93.265440000000012</v>
      </c>
      <c r="BR34" s="236">
        <v>70.28</v>
      </c>
      <c r="BS34" s="150">
        <v>6</v>
      </c>
      <c r="BT34" s="148">
        <f>(25.7*0.74+36.8*0.99+7.78*0.68)*1.2</f>
        <v>72.888479999999987</v>
      </c>
      <c r="BU34" s="236"/>
      <c r="BV34" s="150"/>
      <c r="BW34" s="148"/>
      <c r="BX34" s="236">
        <v>68.099999999999994</v>
      </c>
      <c r="BY34" s="150">
        <v>7</v>
      </c>
      <c r="BZ34" s="148">
        <f>BX34*0.74*1.2</f>
        <v>60.472799999999992</v>
      </c>
      <c r="CA34" s="239">
        <v>80.62</v>
      </c>
      <c r="CB34" s="150">
        <v>8</v>
      </c>
      <c r="CC34" s="148">
        <f>(38.1*0.74+42.52*0.99)*1.2</f>
        <v>84.346559999999997</v>
      </c>
      <c r="CD34" s="239">
        <v>23.96</v>
      </c>
      <c r="CE34" s="150">
        <v>2</v>
      </c>
      <c r="CF34" s="148">
        <f>(12.16*0.74+11.8*0.68)*1.2</f>
        <v>20.426880000000001</v>
      </c>
      <c r="CG34" s="239">
        <v>43.9</v>
      </c>
      <c r="CH34" s="150">
        <v>4</v>
      </c>
      <c r="CI34" s="148">
        <f>CG34*0.68*1.2</f>
        <v>35.822400000000002</v>
      </c>
      <c r="CJ34" s="239">
        <v>100.68</v>
      </c>
      <c r="CK34" s="150">
        <v>8</v>
      </c>
      <c r="CL34" s="148">
        <f>(74.88*0.74+25.88*0.68)*1.2</f>
        <v>87.611519999999985</v>
      </c>
      <c r="CM34" s="239">
        <v>1.8</v>
      </c>
      <c r="CN34" s="502">
        <v>1</v>
      </c>
      <c r="CO34" s="146">
        <v>5.16</v>
      </c>
      <c r="CP34" s="239">
        <v>75.3</v>
      </c>
      <c r="CQ34" s="503">
        <v>5</v>
      </c>
      <c r="CR34" s="146">
        <f>CP34*1.98*1.2</f>
        <v>178.91279999999998</v>
      </c>
      <c r="CS34" s="478">
        <v>27.7</v>
      </c>
      <c r="CT34" s="503">
        <v>2</v>
      </c>
      <c r="CU34" s="146">
        <f>CS34*1.98*1.2</f>
        <v>65.81519999999999</v>
      </c>
      <c r="CV34" s="520">
        <v>14.2</v>
      </c>
      <c r="CW34" s="150">
        <v>2</v>
      </c>
      <c r="CX34" s="238">
        <f>CV34*1.98*1.2</f>
        <v>33.739199999999997</v>
      </c>
      <c r="CY34" s="613">
        <f t="shared" si="6"/>
        <v>1207.28</v>
      </c>
      <c r="CZ34" s="148">
        <f t="shared" si="7"/>
        <v>1382.5754400000001</v>
      </c>
      <c r="DA34" s="171">
        <f>COUNT(BT34,BW34,BZ34,CI34,CL34,CO34,CR34,CU34,F34,I34,L34,O34,R34,U34,X34,AA34,AD34,AG34,AJ34,AM34,AP34,#REF!,AS34,AV34,AY34,BB34,BE34,BH34,BK34,BN34,BQ34,CC34,CF34,CX34,#REF!,#REF!,#REF!)</f>
        <v>18</v>
      </c>
      <c r="DB34" s="41">
        <f>SUM(CZ32:CZ34)</f>
        <v>1487.4854400000002</v>
      </c>
      <c r="DD34" s="42"/>
    </row>
    <row r="35" spans="1:108" x14ac:dyDescent="0.25">
      <c r="A35" s="187">
        <v>1916</v>
      </c>
      <c r="B35" s="186" t="s">
        <v>7</v>
      </c>
      <c r="C35" s="163" t="s">
        <v>0</v>
      </c>
      <c r="D35" s="137"/>
      <c r="E35" s="189"/>
      <c r="F35" s="164"/>
      <c r="G35" s="137"/>
      <c r="H35" s="189"/>
      <c r="I35" s="164"/>
      <c r="J35" s="137"/>
      <c r="K35" s="189"/>
      <c r="L35" s="164"/>
      <c r="M35" s="137"/>
      <c r="N35" s="189"/>
      <c r="O35" s="164"/>
      <c r="P35" s="137"/>
      <c r="Q35" s="189"/>
      <c r="R35" s="164"/>
      <c r="S35" s="137"/>
      <c r="T35" s="189"/>
      <c r="U35" s="164"/>
      <c r="V35" s="137"/>
      <c r="W35" s="189"/>
      <c r="X35" s="164"/>
      <c r="Y35" s="137"/>
      <c r="Z35" s="189"/>
      <c r="AA35" s="164"/>
      <c r="AB35" s="137"/>
      <c r="AC35" s="482"/>
      <c r="AD35" s="164"/>
      <c r="AE35" s="137"/>
      <c r="AF35" s="189"/>
      <c r="AG35" s="164"/>
      <c r="AH35" s="137"/>
      <c r="AI35" s="189"/>
      <c r="AJ35" s="164"/>
      <c r="AK35" s="137"/>
      <c r="AL35" s="189"/>
      <c r="AM35" s="164"/>
      <c r="AN35" s="481"/>
      <c r="AO35" s="482"/>
      <c r="AP35" s="164"/>
      <c r="AQ35" s="137"/>
      <c r="AR35" s="189"/>
      <c r="AS35" s="164"/>
      <c r="AT35" s="240"/>
      <c r="AU35" s="234"/>
      <c r="AV35" s="168"/>
      <c r="AW35" s="240"/>
      <c r="AX35" s="165"/>
      <c r="AY35" s="235"/>
      <c r="AZ35" s="249"/>
      <c r="BA35" s="250"/>
      <c r="BB35" s="168"/>
      <c r="BC35" s="240"/>
      <c r="BD35" s="144"/>
      <c r="BE35" s="235"/>
      <c r="BF35" s="240"/>
      <c r="BG35" s="144"/>
      <c r="BH35" s="235"/>
      <c r="BI35" s="233"/>
      <c r="BJ35" s="144"/>
      <c r="BK35" s="235"/>
      <c r="BL35" s="233"/>
      <c r="BM35" s="144"/>
      <c r="BN35" s="235"/>
      <c r="BO35" s="233"/>
      <c r="BP35" s="144"/>
      <c r="BQ35" s="235"/>
      <c r="BR35" s="233"/>
      <c r="BS35" s="144"/>
      <c r="BT35" s="235"/>
      <c r="BU35" s="233"/>
      <c r="BV35" s="144"/>
      <c r="BW35" s="235"/>
      <c r="BX35" s="233"/>
      <c r="BY35" s="144"/>
      <c r="BZ35" s="235"/>
      <c r="CA35" s="240"/>
      <c r="CB35" s="144"/>
      <c r="CC35" s="235"/>
      <c r="CD35" s="233"/>
      <c r="CE35" s="144"/>
      <c r="CF35" s="235"/>
      <c r="CG35" s="233"/>
      <c r="CH35" s="144"/>
      <c r="CI35" s="235"/>
      <c r="CJ35" s="233"/>
      <c r="CK35" s="144"/>
      <c r="CL35" s="235"/>
      <c r="CM35" s="233"/>
      <c r="CN35" s="168"/>
      <c r="CO35" s="168"/>
      <c r="CP35" s="233"/>
      <c r="CQ35" s="168"/>
      <c r="CR35" s="168"/>
      <c r="CS35" s="233"/>
      <c r="CT35" s="168"/>
      <c r="CU35" s="168"/>
      <c r="CV35" s="233"/>
      <c r="CW35" s="144"/>
      <c r="CX35" s="168"/>
      <c r="CY35" s="616">
        <f t="shared" si="6"/>
        <v>0</v>
      </c>
      <c r="CZ35" s="609">
        <f t="shared" si="7"/>
        <v>0</v>
      </c>
      <c r="DA35" s="532">
        <f>COUNT(BT35,BW35,BZ35,CI35,CL35,CO35,CR35,CU35,F35,I35,L35,O35,R35,U35,X35,AA35,AD35,AG35,AJ35,AM35,AP35,#REF!,AS35,AV35,AY35,BB35,BE35,BH35,BK35,BN35,BQ35,CC35,CF35,CX35,#REF!,#REF!,#REF!)</f>
        <v>0</v>
      </c>
      <c r="DB35" s="41"/>
      <c r="DD35" s="42"/>
    </row>
    <row r="36" spans="1:108" ht="16.5" thickBot="1" x14ac:dyDescent="0.3">
      <c r="A36" s="187"/>
      <c r="B36" s="187"/>
      <c r="C36" s="111" t="s">
        <v>34</v>
      </c>
      <c r="D36" s="29"/>
      <c r="E36" s="188"/>
      <c r="F36" s="33"/>
      <c r="G36" s="29"/>
      <c r="H36" s="188"/>
      <c r="I36" s="33"/>
      <c r="J36" s="29"/>
      <c r="K36" s="188"/>
      <c r="L36" s="33"/>
      <c r="M36" s="29"/>
      <c r="N36" s="188"/>
      <c r="O36" s="33"/>
      <c r="P36" s="29"/>
      <c r="Q36" s="188"/>
      <c r="R36" s="33"/>
      <c r="S36" s="29"/>
      <c r="T36" s="188"/>
      <c r="U36" s="33"/>
      <c r="V36" s="29"/>
      <c r="W36" s="188"/>
      <c r="X36" s="33"/>
      <c r="Y36" s="29"/>
      <c r="Z36" s="188"/>
      <c r="AA36" s="33"/>
      <c r="AB36" s="29"/>
      <c r="AC36" s="370"/>
      <c r="AD36" s="33"/>
      <c r="AE36" s="29"/>
      <c r="AF36" s="188"/>
      <c r="AG36" s="33"/>
      <c r="AH36" s="29"/>
      <c r="AI36" s="188"/>
      <c r="AJ36" s="33"/>
      <c r="AK36" s="29"/>
      <c r="AL36" s="188"/>
      <c r="AM36" s="33"/>
      <c r="AN36" s="483"/>
      <c r="AO36" s="370"/>
      <c r="AP36" s="33"/>
      <c r="AQ36" s="29"/>
      <c r="AR36" s="188"/>
      <c r="AS36" s="33"/>
      <c r="AT36" s="241"/>
      <c r="AU36" s="51"/>
      <c r="AV36" s="34"/>
      <c r="AW36" s="241"/>
      <c r="AX36" s="58"/>
      <c r="AY36" s="47"/>
      <c r="AZ36" s="252"/>
      <c r="BA36" s="253"/>
      <c r="BB36" s="34"/>
      <c r="BC36" s="241"/>
      <c r="BD36" s="59"/>
      <c r="BE36" s="47"/>
      <c r="BF36" s="241"/>
      <c r="BG36" s="59"/>
      <c r="BH36" s="47"/>
      <c r="BI36" s="46"/>
      <c r="BJ36" s="59"/>
      <c r="BK36" s="47"/>
      <c r="BL36" s="46"/>
      <c r="BM36" s="59"/>
      <c r="BN36" s="47"/>
      <c r="BO36" s="46"/>
      <c r="BP36" s="59"/>
      <c r="BQ36" s="47"/>
      <c r="BR36" s="46"/>
      <c r="BS36" s="59"/>
      <c r="BT36" s="47"/>
      <c r="BU36" s="46"/>
      <c r="BV36" s="59"/>
      <c r="BW36" s="47"/>
      <c r="BX36" s="46"/>
      <c r="BY36" s="59"/>
      <c r="BZ36" s="47"/>
      <c r="CA36" s="241"/>
      <c r="CB36" s="59"/>
      <c r="CC36" s="47"/>
      <c r="CD36" s="46"/>
      <c r="CE36" s="59"/>
      <c r="CF36" s="47"/>
      <c r="CG36" s="46"/>
      <c r="CH36" s="59"/>
      <c r="CI36" s="47"/>
      <c r="CJ36" s="46"/>
      <c r="CK36" s="59"/>
      <c r="CL36" s="47"/>
      <c r="CM36" s="46"/>
      <c r="CN36" s="34"/>
      <c r="CO36" s="34"/>
      <c r="CP36" s="46"/>
      <c r="CQ36" s="34"/>
      <c r="CR36" s="34"/>
      <c r="CS36" s="46"/>
      <c r="CT36" s="34"/>
      <c r="CU36" s="34"/>
      <c r="CV36" s="276"/>
      <c r="CW36" s="59"/>
      <c r="CX36" s="34"/>
      <c r="CY36" s="617">
        <f t="shared" si="6"/>
        <v>0</v>
      </c>
      <c r="CZ36" s="610">
        <f t="shared" si="7"/>
        <v>0</v>
      </c>
      <c r="DA36" s="533">
        <f>COUNT(BT36,BW36,BZ36,CI36,CL36,CO36,CR36,CU36,F36,I36,L36,O36,R36,U36,X36,AA36,AD36,AG36,AJ36,AM36,AP36,#REF!,AS36,AV36,AY36,BB36,BE36,BH36,BK36,BN36,BQ36,CC36,CF36,CX36,#REF!,#REF!,#REF!)</f>
        <v>0</v>
      </c>
      <c r="DB36" s="41"/>
      <c r="DD36" s="42"/>
    </row>
    <row r="37" spans="1:108" ht="16.5" thickBot="1" x14ac:dyDescent="0.3">
      <c r="A37" s="187"/>
      <c r="B37" s="194"/>
      <c r="C37" s="167" t="s">
        <v>1</v>
      </c>
      <c r="D37" s="57"/>
      <c r="E37" s="193"/>
      <c r="F37" s="148"/>
      <c r="G37" s="57"/>
      <c r="H37" s="193"/>
      <c r="I37" s="148"/>
      <c r="J37" s="57"/>
      <c r="K37" s="193"/>
      <c r="L37" s="148"/>
      <c r="M37" s="57">
        <v>53.78</v>
      </c>
      <c r="N37" s="193">
        <v>5</v>
      </c>
      <c r="O37" s="148">
        <f>M37*0.67*1.2</f>
        <v>43.23912</v>
      </c>
      <c r="P37" s="57"/>
      <c r="Q37" s="193"/>
      <c r="R37" s="148"/>
      <c r="S37" s="57"/>
      <c r="T37" s="193"/>
      <c r="U37" s="148"/>
      <c r="V37" s="57"/>
      <c r="W37" s="193"/>
      <c r="X37" s="148"/>
      <c r="Y37" s="57"/>
      <c r="Z37" s="193"/>
      <c r="AA37" s="148"/>
      <c r="AB37" s="57"/>
      <c r="AC37" s="485"/>
      <c r="AD37" s="148"/>
      <c r="AE37" s="57"/>
      <c r="AF37" s="193"/>
      <c r="AG37" s="148"/>
      <c r="AH37" s="57"/>
      <c r="AI37" s="193"/>
      <c r="AJ37" s="148"/>
      <c r="AK37" s="57"/>
      <c r="AL37" s="193"/>
      <c r="AM37" s="148"/>
      <c r="AN37" s="484"/>
      <c r="AO37" s="485"/>
      <c r="AP37" s="148"/>
      <c r="AQ37" s="57"/>
      <c r="AR37" s="193"/>
      <c r="AS37" s="148"/>
      <c r="AT37" s="239"/>
      <c r="AU37" s="237"/>
      <c r="AV37" s="146"/>
      <c r="AW37" s="239"/>
      <c r="AX37" s="149"/>
      <c r="AY37" s="173"/>
      <c r="AZ37" s="246"/>
      <c r="BA37" s="247"/>
      <c r="BB37" s="146"/>
      <c r="BC37" s="239"/>
      <c r="BD37" s="150"/>
      <c r="BE37" s="148"/>
      <c r="BF37" s="239"/>
      <c r="BG37" s="150"/>
      <c r="BH37" s="148"/>
      <c r="BI37" s="236"/>
      <c r="BJ37" s="150"/>
      <c r="BK37" s="148"/>
      <c r="BL37" s="239"/>
      <c r="BM37" s="150"/>
      <c r="BN37" s="148"/>
      <c r="BO37" s="236"/>
      <c r="BP37" s="150"/>
      <c r="BQ37" s="148"/>
      <c r="BR37" s="236"/>
      <c r="BS37" s="150"/>
      <c r="BT37" s="148"/>
      <c r="BU37" s="236"/>
      <c r="BV37" s="150"/>
      <c r="BW37" s="148"/>
      <c r="BX37" s="236"/>
      <c r="BY37" s="150"/>
      <c r="BZ37" s="148"/>
      <c r="CA37" s="239"/>
      <c r="CB37" s="150"/>
      <c r="CC37" s="148"/>
      <c r="CD37" s="236"/>
      <c r="CE37" s="150"/>
      <c r="CF37" s="148"/>
      <c r="CG37" s="236"/>
      <c r="CH37" s="150"/>
      <c r="CI37" s="148"/>
      <c r="CJ37" s="236"/>
      <c r="CK37" s="150"/>
      <c r="CL37" s="148"/>
      <c r="CM37" s="236"/>
      <c r="CN37" s="146"/>
      <c r="CO37" s="146"/>
      <c r="CP37" s="236"/>
      <c r="CQ37" s="146"/>
      <c r="CR37" s="146"/>
      <c r="CS37" s="236"/>
      <c r="CT37" s="146"/>
      <c r="CU37" s="146"/>
      <c r="CV37" s="277"/>
      <c r="CW37" s="150"/>
      <c r="CX37" s="238"/>
      <c r="CY37" s="608">
        <f t="shared" si="6"/>
        <v>53.78</v>
      </c>
      <c r="CZ37" s="427">
        <f t="shared" si="7"/>
        <v>43.23912</v>
      </c>
      <c r="DA37" s="171">
        <f>COUNT(BT37,BW37,BZ37,CI37,CL37,CO37,CR37,CU37,F37,I37,L37,O37,R37,U37,X37,AA37,AD37,AG37,AJ37,AM37,AP37,#REF!,AS37,AV37,AY37,BB37,BE37,BH37,BK37,BN37,BQ37,CC37,CF37,CX37,#REF!,#REF!,#REF!)</f>
        <v>1</v>
      </c>
      <c r="DB37" s="41">
        <f>SUM(CZ35:CZ37)</f>
        <v>43.23912</v>
      </c>
      <c r="DD37" s="42"/>
    </row>
    <row r="38" spans="1:108" x14ac:dyDescent="0.25">
      <c r="A38" s="187">
        <v>691</v>
      </c>
      <c r="B38" s="137" t="s">
        <v>65</v>
      </c>
      <c r="C38" s="163" t="s">
        <v>0</v>
      </c>
      <c r="D38" s="137"/>
      <c r="E38" s="189"/>
      <c r="F38" s="164"/>
      <c r="G38" s="137"/>
      <c r="H38" s="189"/>
      <c r="I38" s="164"/>
      <c r="J38" s="137">
        <v>4.4000000000000004</v>
      </c>
      <c r="K38" s="189">
        <v>3</v>
      </c>
      <c r="L38" s="164">
        <f>J38*5.43*1.2</f>
        <v>28.670399999999997</v>
      </c>
      <c r="M38" s="137"/>
      <c r="N38" s="189"/>
      <c r="O38" s="164"/>
      <c r="P38" s="137"/>
      <c r="Q38" s="189"/>
      <c r="R38" s="164"/>
      <c r="S38" s="137"/>
      <c r="T38" s="189"/>
      <c r="U38" s="164"/>
      <c r="V38" s="137"/>
      <c r="W38" s="189"/>
      <c r="X38" s="164"/>
      <c r="Y38" s="137"/>
      <c r="Z38" s="189"/>
      <c r="AA38" s="164"/>
      <c r="AB38" s="137"/>
      <c r="AC38" s="482"/>
      <c r="AD38" s="164"/>
      <c r="AE38" s="137"/>
      <c r="AF38" s="189"/>
      <c r="AG38" s="164"/>
      <c r="AH38" s="137"/>
      <c r="AI38" s="189"/>
      <c r="AJ38" s="164"/>
      <c r="AK38" s="137"/>
      <c r="AL38" s="189"/>
      <c r="AM38" s="164"/>
      <c r="AN38" s="481"/>
      <c r="AO38" s="482"/>
      <c r="AP38" s="164"/>
      <c r="AQ38" s="137"/>
      <c r="AR38" s="189"/>
      <c r="AS38" s="164"/>
      <c r="AT38" s="240"/>
      <c r="AU38" s="234"/>
      <c r="AV38" s="168"/>
      <c r="AW38" s="240"/>
      <c r="AX38" s="165"/>
      <c r="AY38" s="235"/>
      <c r="AZ38" s="249"/>
      <c r="BA38" s="250"/>
      <c r="BB38" s="168"/>
      <c r="BC38" s="240"/>
      <c r="BD38" s="144"/>
      <c r="BE38" s="235"/>
      <c r="BF38" s="240"/>
      <c r="BG38" s="144"/>
      <c r="BH38" s="235"/>
      <c r="BI38" s="233"/>
      <c r="BJ38" s="144"/>
      <c r="BK38" s="235"/>
      <c r="BL38" s="233"/>
      <c r="BM38" s="144"/>
      <c r="BN38" s="235"/>
      <c r="BO38" s="233"/>
      <c r="BP38" s="144"/>
      <c r="BQ38" s="235"/>
      <c r="BR38" s="233"/>
      <c r="BS38" s="144"/>
      <c r="BT38" s="235"/>
      <c r="BU38" s="233"/>
      <c r="BV38" s="144"/>
      <c r="BW38" s="235"/>
      <c r="BX38" s="233"/>
      <c r="BY38" s="144"/>
      <c r="BZ38" s="235"/>
      <c r="CA38" s="240"/>
      <c r="CB38" s="144"/>
      <c r="CC38" s="235"/>
      <c r="CD38" s="240"/>
      <c r="CE38" s="144"/>
      <c r="CF38" s="235"/>
      <c r="CG38" s="240"/>
      <c r="CH38" s="144"/>
      <c r="CI38" s="235"/>
      <c r="CJ38" s="240"/>
      <c r="CK38" s="144"/>
      <c r="CL38" s="235"/>
      <c r="CM38" s="240"/>
      <c r="CN38" s="168"/>
      <c r="CO38" s="168"/>
      <c r="CP38" s="240"/>
      <c r="CQ38" s="168"/>
      <c r="CR38" s="168"/>
      <c r="CS38" s="240"/>
      <c r="CT38" s="168"/>
      <c r="CU38" s="168"/>
      <c r="CV38" s="278"/>
      <c r="CW38" s="144"/>
      <c r="CX38" s="168"/>
      <c r="CY38" s="611">
        <f t="shared" si="6"/>
        <v>4.4000000000000004</v>
      </c>
      <c r="CZ38" s="607">
        <f t="shared" si="7"/>
        <v>28.670399999999997</v>
      </c>
      <c r="DA38" s="532">
        <f>COUNT(BT38,BW38,BZ38,CI38,CL38,CO38,CR38,CU38,F38,I38,L38,O38,R38,U38,X38,AA38,AD38,AG38,AJ38,AM38,AP38,#REF!,AS38,AV38,AY38,BB38,BE38,BH38,BK38,BN38,BQ38,CC38,CF38,CX38,#REF!,#REF!,#REF!)</f>
        <v>1</v>
      </c>
      <c r="DB38" s="618"/>
      <c r="DD38" s="42"/>
    </row>
    <row r="39" spans="1:108" x14ac:dyDescent="0.25">
      <c r="A39" s="187">
        <v>247</v>
      </c>
      <c r="B39" s="187"/>
      <c r="C39" s="111" t="s">
        <v>34</v>
      </c>
      <c r="D39" s="29"/>
      <c r="E39" s="188"/>
      <c r="F39" s="33"/>
      <c r="G39" s="29"/>
      <c r="H39" s="188"/>
      <c r="I39" s="33"/>
      <c r="J39" s="29"/>
      <c r="K39" s="188"/>
      <c r="L39" s="33"/>
      <c r="M39" s="29"/>
      <c r="N39" s="188"/>
      <c r="O39" s="33"/>
      <c r="P39" s="29"/>
      <c r="Q39" s="188"/>
      <c r="R39" s="33"/>
      <c r="S39" s="29"/>
      <c r="T39" s="188"/>
      <c r="U39" s="33"/>
      <c r="V39" s="29"/>
      <c r="W39" s="188"/>
      <c r="X39" s="33"/>
      <c r="Y39" s="29"/>
      <c r="Z39" s="188"/>
      <c r="AA39" s="33"/>
      <c r="AB39" s="29"/>
      <c r="AC39" s="370"/>
      <c r="AD39" s="33"/>
      <c r="AE39" s="29"/>
      <c r="AF39" s="188"/>
      <c r="AG39" s="33"/>
      <c r="AH39" s="29"/>
      <c r="AI39" s="188"/>
      <c r="AJ39" s="33"/>
      <c r="AK39" s="29"/>
      <c r="AL39" s="188"/>
      <c r="AM39" s="33"/>
      <c r="AN39" s="483"/>
      <c r="AO39" s="370"/>
      <c r="AP39" s="33"/>
      <c r="AQ39" s="29"/>
      <c r="AR39" s="188"/>
      <c r="AS39" s="33"/>
      <c r="AT39" s="241"/>
      <c r="AU39" s="51"/>
      <c r="AV39" s="34"/>
      <c r="AW39" s="241"/>
      <c r="AX39" s="58"/>
      <c r="AY39" s="47"/>
      <c r="AZ39" s="252"/>
      <c r="BA39" s="253"/>
      <c r="BB39" s="34"/>
      <c r="BC39" s="241"/>
      <c r="BD39" s="59"/>
      <c r="BE39" s="47"/>
      <c r="BF39" s="241"/>
      <c r="BG39" s="59"/>
      <c r="BH39" s="47"/>
      <c r="BI39" s="46"/>
      <c r="BJ39" s="59"/>
      <c r="BK39" s="47"/>
      <c r="BL39" s="46"/>
      <c r="BM39" s="59"/>
      <c r="BN39" s="47"/>
      <c r="BO39" s="46"/>
      <c r="BP39" s="267"/>
      <c r="BQ39" s="47"/>
      <c r="BR39" s="46"/>
      <c r="BS39" s="267"/>
      <c r="BT39" s="47"/>
      <c r="BU39" s="46"/>
      <c r="BV39" s="267"/>
      <c r="BW39" s="47"/>
      <c r="BX39" s="46"/>
      <c r="BY39" s="267"/>
      <c r="BZ39" s="47"/>
      <c r="CA39" s="241"/>
      <c r="CB39" s="59"/>
      <c r="CC39" s="47"/>
      <c r="CD39" s="241"/>
      <c r="CE39" s="59"/>
      <c r="CF39" s="47"/>
      <c r="CG39" s="241"/>
      <c r="CH39" s="59"/>
      <c r="CI39" s="47"/>
      <c r="CJ39" s="241"/>
      <c r="CK39" s="59"/>
      <c r="CL39" s="47"/>
      <c r="CM39" s="241"/>
      <c r="CN39" s="34"/>
      <c r="CO39" s="34"/>
      <c r="CP39" s="241"/>
      <c r="CQ39" s="34"/>
      <c r="CR39" s="34"/>
      <c r="CS39" s="241"/>
      <c r="CT39" s="34"/>
      <c r="CU39" s="34"/>
      <c r="CV39" s="279"/>
      <c r="CW39" s="59"/>
      <c r="CX39" s="34"/>
      <c r="CY39" s="612">
        <f t="shared" si="6"/>
        <v>0</v>
      </c>
      <c r="CZ39" s="204">
        <f t="shared" si="7"/>
        <v>0</v>
      </c>
      <c r="DA39" s="533">
        <f>COUNT(BT39,BW39,BZ39,CI39,CL39,CO39,CR39,CU39,F39,I39,L39,O39,R39,U39,X39,AA39,AD39,AG39,AJ39,AM39,AP39,#REF!,AS39,AV39,AY39,BB39,BE39,BH39,BK39,BN39,BQ39,CC39,CF39,CX39,#REF!,#REF!,#REF!)</f>
        <v>0</v>
      </c>
      <c r="DB39" s="618"/>
      <c r="DD39" s="42"/>
    </row>
    <row r="40" spans="1:108" ht="16.5" thickBot="1" x14ac:dyDescent="0.3">
      <c r="A40" s="392"/>
      <c r="B40" s="389"/>
      <c r="C40" s="203" t="s">
        <v>1</v>
      </c>
      <c r="D40" s="57">
        <v>60.86</v>
      </c>
      <c r="E40" s="193">
        <v>12</v>
      </c>
      <c r="F40" s="148">
        <f>(D40*0.67)*1.2</f>
        <v>48.931440000000002</v>
      </c>
      <c r="G40" s="57"/>
      <c r="H40" s="193"/>
      <c r="I40" s="148"/>
      <c r="J40" s="57">
        <v>21.46</v>
      </c>
      <c r="K40" s="193">
        <v>2</v>
      </c>
      <c r="L40" s="148">
        <f>J40*0.9*1.2</f>
        <v>23.1768</v>
      </c>
      <c r="M40" s="57">
        <v>63.96</v>
      </c>
      <c r="N40" s="193">
        <v>6</v>
      </c>
      <c r="O40" s="148">
        <f>M40*0.67*1.2</f>
        <v>51.423839999999998</v>
      </c>
      <c r="P40" s="57">
        <v>56.12</v>
      </c>
      <c r="Q40" s="193">
        <v>4</v>
      </c>
      <c r="R40" s="148">
        <f>(25.72*0.67+30.4*0.9)*1.2</f>
        <v>53.510879999999993</v>
      </c>
      <c r="S40" s="57">
        <v>48.2</v>
      </c>
      <c r="T40" s="193">
        <v>3</v>
      </c>
      <c r="U40" s="148">
        <f>S40*1.28*1.2</f>
        <v>74.035200000000003</v>
      </c>
      <c r="V40" s="57">
        <v>9.5</v>
      </c>
      <c r="W40" s="362">
        <v>1</v>
      </c>
      <c r="X40" s="363">
        <v>17.100000000000001</v>
      </c>
      <c r="Y40" s="57">
        <v>66.459999999999994</v>
      </c>
      <c r="Z40" s="362">
        <v>4</v>
      </c>
      <c r="AA40" s="363">
        <v>114.24</v>
      </c>
      <c r="AB40" s="57">
        <v>43.18</v>
      </c>
      <c r="AC40" s="485">
        <v>3</v>
      </c>
      <c r="AD40" s="363">
        <v>51.58</v>
      </c>
      <c r="AE40" s="57">
        <v>71.599999999999994</v>
      </c>
      <c r="AF40" s="362">
        <v>5</v>
      </c>
      <c r="AG40" s="363">
        <v>77.33</v>
      </c>
      <c r="AH40" s="57">
        <v>163.52000000000001</v>
      </c>
      <c r="AI40" s="362">
        <v>9</v>
      </c>
      <c r="AJ40" s="363">
        <v>176.6</v>
      </c>
      <c r="AK40" s="57">
        <v>148.22</v>
      </c>
      <c r="AL40" s="362">
        <v>8</v>
      </c>
      <c r="AM40" s="363">
        <v>160.1</v>
      </c>
      <c r="AN40" s="484">
        <v>115.56</v>
      </c>
      <c r="AO40" s="485">
        <v>7</v>
      </c>
      <c r="AP40" s="363">
        <v>124.8</v>
      </c>
      <c r="AQ40" s="57"/>
      <c r="AR40" s="193"/>
      <c r="AS40" s="148"/>
      <c r="AT40" s="239">
        <v>71.78</v>
      </c>
      <c r="AU40" s="440">
        <v>4</v>
      </c>
      <c r="AV40" s="438">
        <v>94</v>
      </c>
      <c r="AW40" s="471">
        <v>109.68</v>
      </c>
      <c r="AX40" s="455">
        <v>7</v>
      </c>
      <c r="AY40" s="439">
        <v>121.74</v>
      </c>
      <c r="AZ40" s="246">
        <v>92.08</v>
      </c>
      <c r="BA40" s="247">
        <v>6</v>
      </c>
      <c r="BB40" s="146">
        <v>99.45</v>
      </c>
      <c r="BC40" s="239">
        <v>44.8</v>
      </c>
      <c r="BD40" s="150">
        <v>3</v>
      </c>
      <c r="BE40" s="148">
        <f>BC40*1.2*1.2</f>
        <v>64.512</v>
      </c>
      <c r="BF40" s="239">
        <v>91.4</v>
      </c>
      <c r="BG40" s="150">
        <v>5</v>
      </c>
      <c r="BH40" s="148">
        <f>BF40*1.2*1.2</f>
        <v>131.61600000000001</v>
      </c>
      <c r="BI40" s="239">
        <v>71.48</v>
      </c>
      <c r="BJ40" s="150">
        <v>5</v>
      </c>
      <c r="BK40" s="148">
        <f>BI40*1.2*1.2</f>
        <v>102.93119999999999</v>
      </c>
      <c r="BL40" s="239">
        <v>73.680000000000007</v>
      </c>
      <c r="BM40" s="150">
        <v>5</v>
      </c>
      <c r="BN40" s="148">
        <f>(8.94*0.99+17.52*0.99+47.22*1.2)*1.2</f>
        <v>99.431279999999987</v>
      </c>
      <c r="BO40" s="239">
        <v>137.94</v>
      </c>
      <c r="BP40" s="150">
        <v>8</v>
      </c>
      <c r="BQ40" s="148">
        <f>(56.26*0.99+81.68*0.74)*1.2</f>
        <v>139.36872</v>
      </c>
      <c r="BR40" s="239">
        <v>79.319999999999993</v>
      </c>
      <c r="BS40" s="150">
        <v>5</v>
      </c>
      <c r="BT40" s="148">
        <f>(38.3*0.74+37.3*0.99+3.72*1.41)*1.2</f>
        <v>84.617040000000003</v>
      </c>
      <c r="BU40" s="239">
        <v>35.619999999999997</v>
      </c>
      <c r="BV40" s="150">
        <v>2</v>
      </c>
      <c r="BW40" s="266">
        <f>BU40*1.41*1.2</f>
        <v>60.26903999999999</v>
      </c>
      <c r="BX40" s="239">
        <v>69.62</v>
      </c>
      <c r="BY40" s="150">
        <v>5</v>
      </c>
      <c r="BZ40" s="173">
        <f>BX40*1.41*1.2</f>
        <v>117.79703999999998</v>
      </c>
      <c r="CA40" s="239">
        <v>57.64</v>
      </c>
      <c r="CB40" s="150">
        <v>4</v>
      </c>
      <c r="CC40" s="148">
        <f>CA40*1.41*1.2</f>
        <v>97.526879999999991</v>
      </c>
      <c r="CD40" s="239">
        <v>50.76</v>
      </c>
      <c r="CE40" s="150">
        <v>4</v>
      </c>
      <c r="CF40" s="148">
        <f>CD40*1.2*1.2</f>
        <v>73.094399999999993</v>
      </c>
      <c r="CG40" s="239">
        <v>39.44</v>
      </c>
      <c r="CH40" s="150">
        <v>3</v>
      </c>
      <c r="CI40" s="148">
        <f>(31.14*1.2+8.3*0.74)*1.2</f>
        <v>52.212000000000003</v>
      </c>
      <c r="CJ40" s="239">
        <v>108.44</v>
      </c>
      <c r="CK40" s="150">
        <v>7</v>
      </c>
      <c r="CL40" s="148">
        <f>(31.9*0.68+16.82*0.99+59.72*0.99)*1.2</f>
        <v>116.95992</v>
      </c>
      <c r="CM40" s="239"/>
      <c r="CN40" s="146"/>
      <c r="CO40" s="146"/>
      <c r="CP40" s="239"/>
      <c r="CQ40" s="146"/>
      <c r="CR40" s="146"/>
      <c r="CS40" s="239"/>
      <c r="CT40" s="146"/>
      <c r="CU40" s="146"/>
      <c r="CV40" s="277"/>
      <c r="CW40" s="150"/>
      <c r="CX40" s="238"/>
      <c r="CY40" s="613">
        <f t="shared" si="6"/>
        <v>2002.3200000000004</v>
      </c>
      <c r="CZ40" s="148">
        <f t="shared" si="7"/>
        <v>2428.3536799999997</v>
      </c>
      <c r="DA40" s="171">
        <f>COUNT(BT40,BW40,BZ40,CI40,CL40,CO40,CR40,CU40,F40,I40,L40,O40,R40,U40,X40,AA40,AD40,AG40,AJ40,AM40,AP40,#REF!,AS40,AV40,AY40,BB40,BE40,BH40,BK40,BN40,BQ40,CC40,CF40,CX40,#REF!,#REF!,#REF!)</f>
        <v>27</v>
      </c>
      <c r="DB40" s="41">
        <f>SUM(CZ38:CZ40)</f>
        <v>2457.0240799999997</v>
      </c>
      <c r="DD40" s="42"/>
    </row>
    <row r="41" spans="1:108" x14ac:dyDescent="0.25">
      <c r="A41" s="394">
        <v>245</v>
      </c>
      <c r="B41" s="393" t="s">
        <v>186</v>
      </c>
      <c r="C41" s="163" t="s">
        <v>0</v>
      </c>
      <c r="D41" s="198"/>
      <c r="E41" s="205"/>
      <c r="F41" s="200"/>
      <c r="G41" s="199"/>
      <c r="H41" s="205"/>
      <c r="I41" s="200"/>
      <c r="J41" s="199"/>
      <c r="K41" s="205"/>
      <c r="L41" s="200"/>
      <c r="M41" s="199"/>
      <c r="N41" s="205"/>
      <c r="O41" s="200"/>
      <c r="P41" s="199"/>
      <c r="Q41" s="205"/>
      <c r="R41" s="200"/>
      <c r="S41" s="199"/>
      <c r="T41" s="205"/>
      <c r="U41" s="200"/>
      <c r="V41" s="199"/>
      <c r="W41" s="205"/>
      <c r="X41" s="200"/>
      <c r="Y41" s="199"/>
      <c r="Z41" s="205"/>
      <c r="AA41" s="200"/>
      <c r="AB41" s="199"/>
      <c r="AC41" s="491"/>
      <c r="AD41" s="200"/>
      <c r="AE41" s="199"/>
      <c r="AF41" s="205"/>
      <c r="AG41" s="200"/>
      <c r="AH41" s="199"/>
      <c r="AI41" s="205"/>
      <c r="AJ41" s="200"/>
      <c r="AK41" s="199"/>
      <c r="AL41" s="205"/>
      <c r="AM41" s="200"/>
      <c r="AN41" s="490"/>
      <c r="AO41" s="491"/>
      <c r="AP41" s="200"/>
      <c r="AQ41" s="199"/>
      <c r="AR41" s="205"/>
      <c r="AS41" s="200"/>
      <c r="AT41" s="383"/>
      <c r="AU41" s="384"/>
      <c r="AV41" s="177"/>
      <c r="AW41" s="383"/>
      <c r="AX41" s="386"/>
      <c r="AY41" s="385"/>
      <c r="AZ41" s="179"/>
      <c r="BA41" s="386"/>
      <c r="BB41" s="177"/>
      <c r="BC41" s="383"/>
      <c r="BD41" s="387"/>
      <c r="BE41" s="385"/>
      <c r="BF41" s="383"/>
      <c r="BG41" s="387"/>
      <c r="BH41" s="385"/>
      <c r="BI41" s="383"/>
      <c r="BJ41" s="387"/>
      <c r="BK41" s="385"/>
      <c r="BL41" s="383"/>
      <c r="BM41" s="387"/>
      <c r="BN41" s="385"/>
      <c r="BO41" s="383"/>
      <c r="BP41" s="387"/>
      <c r="BQ41" s="385"/>
      <c r="BR41" s="383"/>
      <c r="BS41" s="387"/>
      <c r="BT41" s="385"/>
      <c r="BU41" s="383"/>
      <c r="BV41" s="387"/>
      <c r="BW41" s="385"/>
      <c r="BX41" s="383"/>
      <c r="BY41" s="387"/>
      <c r="BZ41" s="385"/>
      <c r="CA41" s="383"/>
      <c r="CB41" s="387"/>
      <c r="CC41" s="385"/>
      <c r="CD41" s="383"/>
      <c r="CE41" s="387"/>
      <c r="CF41" s="385"/>
      <c r="CG41" s="383"/>
      <c r="CH41" s="387"/>
      <c r="CI41" s="385"/>
      <c r="CJ41" s="383"/>
      <c r="CK41" s="387"/>
      <c r="CL41" s="385"/>
      <c r="CM41" s="383"/>
      <c r="CN41" s="177"/>
      <c r="CO41" s="177"/>
      <c r="CP41" s="383"/>
      <c r="CQ41" s="177"/>
      <c r="CR41" s="177"/>
      <c r="CS41" s="383"/>
      <c r="CT41" s="177"/>
      <c r="CU41" s="177"/>
      <c r="CV41" s="388"/>
      <c r="CW41" s="387"/>
      <c r="CX41" s="177"/>
      <c r="CY41" s="611">
        <f t="shared" si="6"/>
        <v>0</v>
      </c>
      <c r="CZ41" s="607">
        <f t="shared" si="7"/>
        <v>0</v>
      </c>
      <c r="DA41" s="532">
        <f>COUNT(BT41,BW41,BZ41,CI41,CL41,CO41,CR41,CU41,F41,I41,L41,O41,R41,U41,X41,AA41,AD41,AG41,AJ41,AM41,AP41,#REF!,AS41,AV41,AY41,BB41,BE41,BH41,BK41,BN41,BQ41,CC41,CF41,CX41,#REF!,#REF!,#REF!)</f>
        <v>0</v>
      </c>
      <c r="DB41" s="41"/>
      <c r="DD41" s="42"/>
    </row>
    <row r="42" spans="1:108" x14ac:dyDescent="0.25">
      <c r="A42" s="391"/>
      <c r="B42" s="390"/>
      <c r="C42" s="111" t="s">
        <v>34</v>
      </c>
      <c r="D42" s="198"/>
      <c r="E42" s="205"/>
      <c r="F42" s="200"/>
      <c r="G42" s="199"/>
      <c r="H42" s="205"/>
      <c r="I42" s="200"/>
      <c r="J42" s="199"/>
      <c r="K42" s="205"/>
      <c r="L42" s="200"/>
      <c r="M42" s="199"/>
      <c r="N42" s="205"/>
      <c r="O42" s="200"/>
      <c r="P42" s="199"/>
      <c r="Q42" s="205"/>
      <c r="R42" s="200"/>
      <c r="S42" s="199"/>
      <c r="T42" s="205"/>
      <c r="U42" s="200"/>
      <c r="V42" s="199"/>
      <c r="W42" s="205"/>
      <c r="X42" s="200"/>
      <c r="Y42" s="199"/>
      <c r="Z42" s="205"/>
      <c r="AA42" s="200"/>
      <c r="AB42" s="199"/>
      <c r="AC42" s="491"/>
      <c r="AD42" s="200"/>
      <c r="AE42" s="199"/>
      <c r="AF42" s="205"/>
      <c r="AG42" s="200"/>
      <c r="AH42" s="199"/>
      <c r="AI42" s="205"/>
      <c r="AJ42" s="200"/>
      <c r="AK42" s="199"/>
      <c r="AL42" s="205"/>
      <c r="AM42" s="200"/>
      <c r="AN42" s="490"/>
      <c r="AO42" s="491"/>
      <c r="AP42" s="200"/>
      <c r="AQ42" s="199"/>
      <c r="AR42" s="205"/>
      <c r="AS42" s="200"/>
      <c r="AT42" s="383">
        <v>74.900000000000006</v>
      </c>
      <c r="AU42" s="441">
        <v>7</v>
      </c>
      <c r="AV42" s="442">
        <v>166.3</v>
      </c>
      <c r="AW42" s="383">
        <v>62.6</v>
      </c>
      <c r="AX42" s="466">
        <v>6</v>
      </c>
      <c r="AY42" s="465">
        <v>130.6</v>
      </c>
      <c r="AZ42" s="179">
        <v>88.5</v>
      </c>
      <c r="BA42" s="466">
        <v>8</v>
      </c>
      <c r="BB42" s="442">
        <v>162.5</v>
      </c>
      <c r="BC42" s="383"/>
      <c r="BD42" s="387"/>
      <c r="BE42" s="385"/>
      <c r="BF42" s="383"/>
      <c r="BG42" s="387"/>
      <c r="BH42" s="385"/>
      <c r="BI42" s="383"/>
      <c r="BJ42" s="387"/>
      <c r="BK42" s="385"/>
      <c r="BL42" s="383"/>
      <c r="BM42" s="387"/>
      <c r="BN42" s="385"/>
      <c r="BO42" s="383"/>
      <c r="BP42" s="387"/>
      <c r="BQ42" s="385"/>
      <c r="BR42" s="383"/>
      <c r="BS42" s="387"/>
      <c r="BT42" s="385"/>
      <c r="BU42" s="383"/>
      <c r="BV42" s="387"/>
      <c r="BW42" s="385"/>
      <c r="BX42" s="383"/>
      <c r="BY42" s="387"/>
      <c r="BZ42" s="385"/>
      <c r="CA42" s="383"/>
      <c r="CB42" s="387"/>
      <c r="CC42" s="385"/>
      <c r="CD42" s="383"/>
      <c r="CE42" s="387"/>
      <c r="CF42" s="385"/>
      <c r="CG42" s="383"/>
      <c r="CH42" s="387"/>
      <c r="CI42" s="385"/>
      <c r="CJ42" s="383"/>
      <c r="CK42" s="387"/>
      <c r="CL42" s="385"/>
      <c r="CM42" s="383"/>
      <c r="CN42" s="177"/>
      <c r="CO42" s="177"/>
      <c r="CP42" s="383"/>
      <c r="CQ42" s="177"/>
      <c r="CR42" s="177"/>
      <c r="CS42" s="383"/>
      <c r="CT42" s="177"/>
      <c r="CU42" s="177"/>
      <c r="CV42" s="388"/>
      <c r="CW42" s="387"/>
      <c r="CX42" s="177"/>
      <c r="CY42" s="612">
        <f t="shared" si="6"/>
        <v>226</v>
      </c>
      <c r="CZ42" s="204">
        <f t="shared" si="7"/>
        <v>459.4</v>
      </c>
      <c r="DA42" s="533">
        <f>COUNT(BT42,BW42,BZ42,CI42,CL42,CO42,CR42,CU42,F42,I42,L42,O42,R42,U42,X42,AA42,AD42,AG42,AJ42,AM42,AP42,#REF!,AS42,AV42,AY42,BB42,BE42,BH42,BK42,BN42,BQ42,CC42,CF42,CX42,#REF!,#REF!,#REF!)</f>
        <v>3</v>
      </c>
      <c r="DB42" s="41"/>
      <c r="DD42" s="42"/>
    </row>
    <row r="43" spans="1:108" ht="16.5" thickBot="1" x14ac:dyDescent="0.3">
      <c r="A43" s="391"/>
      <c r="B43" s="57"/>
      <c r="C43" s="167" t="s">
        <v>1</v>
      </c>
      <c r="D43" s="198"/>
      <c r="E43" s="205"/>
      <c r="F43" s="200"/>
      <c r="G43" s="199"/>
      <c r="H43" s="205"/>
      <c r="I43" s="200"/>
      <c r="J43" s="199"/>
      <c r="K43" s="205"/>
      <c r="L43" s="200"/>
      <c r="M43" s="199"/>
      <c r="N43" s="205"/>
      <c r="O43" s="200"/>
      <c r="P43" s="199"/>
      <c r="Q43" s="205"/>
      <c r="R43" s="200"/>
      <c r="S43" s="199"/>
      <c r="T43" s="205"/>
      <c r="U43" s="200"/>
      <c r="V43" s="199"/>
      <c r="W43" s="205"/>
      <c r="X43" s="200"/>
      <c r="Y43" s="199"/>
      <c r="Z43" s="205"/>
      <c r="AA43" s="200"/>
      <c r="AB43" s="199"/>
      <c r="AC43" s="491"/>
      <c r="AD43" s="200"/>
      <c r="AE43" s="199"/>
      <c r="AF43" s="205"/>
      <c r="AG43" s="200"/>
      <c r="AH43" s="199"/>
      <c r="AI43" s="205"/>
      <c r="AJ43" s="200"/>
      <c r="AK43" s="199"/>
      <c r="AL43" s="205"/>
      <c r="AM43" s="200"/>
      <c r="AN43" s="490">
        <v>124.54</v>
      </c>
      <c r="AO43" s="491">
        <v>10</v>
      </c>
      <c r="AP43" s="382">
        <v>100.1</v>
      </c>
      <c r="AQ43" s="199"/>
      <c r="AR43" s="205"/>
      <c r="AS43" s="200"/>
      <c r="AT43" s="383"/>
      <c r="AU43" s="384"/>
      <c r="AV43" s="177"/>
      <c r="AW43" s="383"/>
      <c r="AX43" s="386"/>
      <c r="AY43" s="385"/>
      <c r="AZ43" s="179"/>
      <c r="BA43" s="386"/>
      <c r="BB43" s="177"/>
      <c r="BC43" s="383">
        <v>33.200000000000003</v>
      </c>
      <c r="BD43" s="477">
        <v>2</v>
      </c>
      <c r="BE43" s="465">
        <f>BC43*1.2*1.2</f>
        <v>47.808</v>
      </c>
      <c r="BF43" s="383">
        <v>63.4</v>
      </c>
      <c r="BG43" s="477">
        <v>4</v>
      </c>
      <c r="BH43" s="465">
        <f>BF43*1.2*1.2</f>
        <v>91.295999999999992</v>
      </c>
      <c r="BI43" s="383">
        <v>139.26</v>
      </c>
      <c r="BJ43" s="477">
        <v>10</v>
      </c>
      <c r="BK43" s="465">
        <f>(9.26*0.74+130*0.99)*1.2</f>
        <v>162.66287999999997</v>
      </c>
      <c r="BL43" s="383">
        <v>128.56</v>
      </c>
      <c r="BM43" s="387">
        <v>9</v>
      </c>
      <c r="BN43" s="385">
        <f>(103.16*0.68+25.4*0.99)*1.2</f>
        <v>114.35376000000001</v>
      </c>
      <c r="BO43" s="383">
        <v>115.66</v>
      </c>
      <c r="BP43" s="387">
        <v>9</v>
      </c>
      <c r="BQ43" s="385">
        <f>(88.66*0.68+27*0.74)*1.2</f>
        <v>96.322559999999996</v>
      </c>
      <c r="BR43" s="383">
        <v>90.74</v>
      </c>
      <c r="BS43" s="387">
        <v>8</v>
      </c>
      <c r="BT43" s="385">
        <f>(4.14*0.68+24.5*0.68+62.1*0.99)*1.2</f>
        <v>97.145039999999995</v>
      </c>
      <c r="BU43" s="383">
        <v>16.54</v>
      </c>
      <c r="BV43" s="387">
        <v>1</v>
      </c>
      <c r="BW43" s="385">
        <f>BU43*1.65*1.2</f>
        <v>32.749199999999995</v>
      </c>
      <c r="BX43" s="383">
        <v>40.200000000000003</v>
      </c>
      <c r="BY43" s="387">
        <v>5</v>
      </c>
      <c r="BZ43" s="385">
        <f>(1.7*0.99+38.5*0.74)*1.2</f>
        <v>36.207599999999999</v>
      </c>
      <c r="CA43" s="383">
        <v>65.06</v>
      </c>
      <c r="CB43" s="387">
        <v>6</v>
      </c>
      <c r="CC43" s="385">
        <f>(38*0.74+27.06*0.99)*1.2</f>
        <v>65.891279999999995</v>
      </c>
      <c r="CD43" s="383">
        <v>43.14</v>
      </c>
      <c r="CE43" s="387">
        <v>4</v>
      </c>
      <c r="CF43" s="385">
        <f>(18.54*0.74+24.6*0.68)*1.2</f>
        <v>36.537120000000002</v>
      </c>
      <c r="CG43" s="383">
        <v>36.700000000000003</v>
      </c>
      <c r="CH43" s="387">
        <v>3</v>
      </c>
      <c r="CI43" s="385">
        <f>CG43*0.68*1.2</f>
        <v>29.947200000000002</v>
      </c>
      <c r="CJ43" s="383">
        <v>103.8</v>
      </c>
      <c r="CK43" s="387">
        <v>9</v>
      </c>
      <c r="CL43" s="385">
        <f>(36.6*0.68+67.2*0.74)*1.2</f>
        <v>89.539199999999994</v>
      </c>
      <c r="CM43" s="383"/>
      <c r="CN43" s="177"/>
      <c r="CO43" s="177"/>
      <c r="CP43" s="383"/>
      <c r="CQ43" s="177"/>
      <c r="CR43" s="177"/>
      <c r="CS43" s="383"/>
      <c r="CT43" s="177"/>
      <c r="CU43" s="177"/>
      <c r="CV43" s="388"/>
      <c r="CW43" s="387"/>
      <c r="CX43" s="177"/>
      <c r="CY43" s="613">
        <f t="shared" si="6"/>
        <v>1000.8000000000001</v>
      </c>
      <c r="CZ43" s="148">
        <f t="shared" si="7"/>
        <v>1000.5598399999997</v>
      </c>
      <c r="DA43" s="171">
        <f>COUNT(BT43,BW43,BZ43,CI43,CL43,CO43,CR43,CU43,F43,I43,L43,O43,R43,U43,X43,AA43,AD43,AG43,AJ43,AM43,AP43,#REF!,AS43,AV43,AY43,BB43,BE43,BH43,BK43,BN43,BQ43,CC43,CF43,CX43,#REF!,#REF!,#REF!)</f>
        <v>13</v>
      </c>
      <c r="DB43" s="41">
        <f>SUM(CZ41:CZ43)</f>
        <v>1459.9598399999995</v>
      </c>
      <c r="DD43" s="42"/>
    </row>
    <row r="44" spans="1:108" x14ac:dyDescent="0.25">
      <c r="A44" s="187"/>
      <c r="B44" s="124" t="s">
        <v>70</v>
      </c>
      <c r="C44" s="201" t="s">
        <v>0</v>
      </c>
      <c r="D44" s="137"/>
      <c r="E44" s="189"/>
      <c r="F44" s="164"/>
      <c r="G44" s="137"/>
      <c r="H44" s="189"/>
      <c r="I44" s="164"/>
      <c r="J44" s="137"/>
      <c r="K44" s="189"/>
      <c r="L44" s="164"/>
      <c r="M44" s="137"/>
      <c r="N44" s="189"/>
      <c r="O44" s="164"/>
      <c r="P44" s="137"/>
      <c r="Q44" s="189"/>
      <c r="R44" s="164"/>
      <c r="S44" s="137"/>
      <c r="T44" s="189"/>
      <c r="U44" s="164"/>
      <c r="V44" s="137"/>
      <c r="W44" s="189"/>
      <c r="X44" s="164"/>
      <c r="Y44" s="137"/>
      <c r="Z44" s="189"/>
      <c r="AA44" s="164"/>
      <c r="AB44" s="137"/>
      <c r="AC44" s="482"/>
      <c r="AD44" s="164"/>
      <c r="AE44" s="137"/>
      <c r="AF44" s="189"/>
      <c r="AG44" s="164"/>
      <c r="AH44" s="137"/>
      <c r="AI44" s="189"/>
      <c r="AJ44" s="164"/>
      <c r="AK44" s="137"/>
      <c r="AL44" s="189"/>
      <c r="AM44" s="164"/>
      <c r="AN44" s="481"/>
      <c r="AO44" s="482"/>
      <c r="AP44" s="164"/>
      <c r="AQ44" s="137"/>
      <c r="AR44" s="189"/>
      <c r="AS44" s="164"/>
      <c r="AT44" s="240"/>
      <c r="AU44" s="234"/>
      <c r="AV44" s="168"/>
      <c r="AW44" s="240"/>
      <c r="AX44" s="250"/>
      <c r="AY44" s="235"/>
      <c r="AZ44" s="249"/>
      <c r="BA44" s="250"/>
      <c r="BB44" s="168"/>
      <c r="BC44" s="240"/>
      <c r="BD44" s="144"/>
      <c r="BE44" s="235"/>
      <c r="BF44" s="240"/>
      <c r="BG44" s="144"/>
      <c r="BH44" s="235"/>
      <c r="BI44" s="240"/>
      <c r="BJ44" s="144"/>
      <c r="BK44" s="235"/>
      <c r="BL44" s="240"/>
      <c r="BM44" s="144"/>
      <c r="BN44" s="235"/>
      <c r="BO44" s="233"/>
      <c r="BP44" s="144"/>
      <c r="BQ44" s="235"/>
      <c r="BR44" s="233"/>
      <c r="BS44" s="144"/>
      <c r="BT44" s="235"/>
      <c r="BU44" s="233"/>
      <c r="BV44" s="144"/>
      <c r="BW44" s="235"/>
      <c r="BX44" s="233"/>
      <c r="BY44" s="144"/>
      <c r="BZ44" s="235"/>
      <c r="CA44" s="240"/>
      <c r="CB44" s="144"/>
      <c r="CC44" s="235"/>
      <c r="CD44" s="240"/>
      <c r="CE44" s="144"/>
      <c r="CF44" s="235"/>
      <c r="CG44" s="240"/>
      <c r="CH44" s="144"/>
      <c r="CI44" s="235"/>
      <c r="CJ44" s="240"/>
      <c r="CK44" s="144"/>
      <c r="CL44" s="235"/>
      <c r="CM44" s="240"/>
      <c r="CN44" s="168"/>
      <c r="CO44" s="168"/>
      <c r="CP44" s="240"/>
      <c r="CQ44" s="168"/>
      <c r="CR44" s="168"/>
      <c r="CS44" s="240"/>
      <c r="CT44" s="168"/>
      <c r="CU44" s="168"/>
      <c r="CV44" s="280"/>
      <c r="CW44" s="144"/>
      <c r="CX44" s="168"/>
      <c r="CY44" s="611">
        <f t="shared" si="6"/>
        <v>0</v>
      </c>
      <c r="CZ44" s="607">
        <f t="shared" si="7"/>
        <v>0</v>
      </c>
      <c r="DA44" s="36">
        <f>COUNT(BT44,BW44,BZ44,CI44,CL44,CO44,CR44,CU44,F44,I44,L44,O44,R44,U44,X44,AA44,AD44,AG44,AJ44,AM44,AP44,#REF!,AS44,AV44,AY44,BB44,BE44,BH44,BK44,BN44,BQ44,CC44,CF44,CX44,#REF!,#REF!,#REF!)</f>
        <v>0</v>
      </c>
      <c r="DB44" s="41"/>
      <c r="DD44" s="42"/>
    </row>
    <row r="45" spans="1:108" x14ac:dyDescent="0.25">
      <c r="A45" s="187"/>
      <c r="B45" s="29"/>
      <c r="C45" s="111" t="s">
        <v>34</v>
      </c>
      <c r="D45" s="29"/>
      <c r="E45" s="188"/>
      <c r="F45" s="33"/>
      <c r="G45" s="29"/>
      <c r="H45" s="188"/>
      <c r="I45" s="33"/>
      <c r="J45" s="29"/>
      <c r="K45" s="188"/>
      <c r="L45" s="33"/>
      <c r="M45" s="29"/>
      <c r="N45" s="188"/>
      <c r="O45" s="33"/>
      <c r="P45" s="29"/>
      <c r="Q45" s="188"/>
      <c r="R45" s="33"/>
      <c r="S45" s="29"/>
      <c r="T45" s="188"/>
      <c r="U45" s="33"/>
      <c r="V45" s="29"/>
      <c r="W45" s="188"/>
      <c r="X45" s="33"/>
      <c r="Y45" s="40"/>
      <c r="Z45" s="188"/>
      <c r="AA45" s="33"/>
      <c r="AB45" s="29"/>
      <c r="AC45" s="370"/>
      <c r="AD45" s="33"/>
      <c r="AE45" s="29"/>
      <c r="AF45" s="188"/>
      <c r="AG45" s="33"/>
      <c r="AH45" s="29"/>
      <c r="AI45" s="188"/>
      <c r="AJ45" s="33"/>
      <c r="AK45" s="29"/>
      <c r="AL45" s="188"/>
      <c r="AM45" s="33"/>
      <c r="AN45" s="483">
        <v>72.7</v>
      </c>
      <c r="AO45" s="370">
        <v>6</v>
      </c>
      <c r="AP45" s="369">
        <v>138.19999999999999</v>
      </c>
      <c r="AQ45" s="29">
        <v>40.799999999999997</v>
      </c>
      <c r="AR45" s="368">
        <v>4</v>
      </c>
      <c r="AS45" s="369">
        <v>75</v>
      </c>
      <c r="AT45" s="241">
        <v>81.900000000000006</v>
      </c>
      <c r="AU45" s="443">
        <v>7</v>
      </c>
      <c r="AV45" s="444">
        <v>181.82</v>
      </c>
      <c r="AW45" s="241">
        <v>79.5</v>
      </c>
      <c r="AX45" s="445">
        <v>8</v>
      </c>
      <c r="AY45" s="463">
        <v>163.74</v>
      </c>
      <c r="AZ45" s="252">
        <v>71.2</v>
      </c>
      <c r="BA45" s="445">
        <v>7</v>
      </c>
      <c r="BB45" s="446">
        <v>130.72</v>
      </c>
      <c r="BC45" s="241"/>
      <c r="BD45" s="59"/>
      <c r="BE45" s="47"/>
      <c r="BF45" s="241"/>
      <c r="BG45" s="59"/>
      <c r="BH45" s="47"/>
      <c r="BI45" s="241"/>
      <c r="BJ45" s="59"/>
      <c r="BK45" s="47"/>
      <c r="BL45" s="241"/>
      <c r="BM45" s="59"/>
      <c r="BN45" s="47"/>
      <c r="BO45" s="241"/>
      <c r="BP45" s="59"/>
      <c r="BQ45" s="47"/>
      <c r="BR45" s="241"/>
      <c r="BS45" s="59"/>
      <c r="BT45" s="47"/>
      <c r="BU45" s="241"/>
      <c r="BV45" s="59"/>
      <c r="BW45" s="47"/>
      <c r="BX45" s="241"/>
      <c r="BY45" s="59"/>
      <c r="BZ45" s="47"/>
      <c r="CA45" s="241"/>
      <c r="CB45" s="59"/>
      <c r="CC45" s="47"/>
      <c r="CD45" s="241"/>
      <c r="CE45" s="59"/>
      <c r="CF45" s="47"/>
      <c r="CG45" s="241"/>
      <c r="CH45" s="59"/>
      <c r="CI45" s="47"/>
      <c r="CJ45" s="241"/>
      <c r="CK45" s="59"/>
      <c r="CL45" s="47"/>
      <c r="CM45" s="241"/>
      <c r="CN45" s="34"/>
      <c r="CO45" s="34"/>
      <c r="CP45" s="241"/>
      <c r="CQ45" s="34"/>
      <c r="CR45" s="34"/>
      <c r="CS45" s="241"/>
      <c r="CT45" s="34"/>
      <c r="CU45" s="34"/>
      <c r="CV45" s="279"/>
      <c r="CW45" s="59"/>
      <c r="CX45" s="34"/>
      <c r="CY45" s="612">
        <f t="shared" si="6"/>
        <v>346.09999999999997</v>
      </c>
      <c r="CZ45" s="204">
        <f t="shared" si="7"/>
        <v>689.48</v>
      </c>
      <c r="DA45" s="36">
        <f>COUNT(BT45,BW45,BZ45,CI45,CL45,CO45,CR45,CU45,F45,I45,L45,O45,R45,U45,X45,AA45,AD45,AG45,AJ45,AM45,AP45,#REF!,AS45,AV45,AY45,BB45,BE45,BH45,BK45,BN45,BQ45,CC45,CF45,CX45,#REF!,#REF!,#REF!)</f>
        <v>5</v>
      </c>
      <c r="DB45" s="41"/>
      <c r="DD45" s="42"/>
    </row>
    <row r="46" spans="1:108" ht="16.5" thickBot="1" x14ac:dyDescent="0.3">
      <c r="A46" s="187"/>
      <c r="B46" s="57"/>
      <c r="C46" s="167" t="s">
        <v>1</v>
      </c>
      <c r="D46" s="57">
        <v>23.4</v>
      </c>
      <c r="E46" s="193"/>
      <c r="F46" s="148">
        <f>(D46*0.67)*1.2</f>
        <v>18.813600000000001</v>
      </c>
      <c r="G46" s="57"/>
      <c r="H46" s="193"/>
      <c r="I46" s="148"/>
      <c r="J46" s="57"/>
      <c r="K46" s="193"/>
      <c r="L46" s="148"/>
      <c r="M46" s="57"/>
      <c r="N46" s="193"/>
      <c r="O46" s="148"/>
      <c r="P46" s="524"/>
      <c r="Q46" s="193"/>
      <c r="R46" s="148"/>
      <c r="S46" s="57">
        <v>34.979999999999997</v>
      </c>
      <c r="T46" s="193">
        <v>3</v>
      </c>
      <c r="U46" s="148">
        <f>S46*1.5*1.2</f>
        <v>62.963999999999999</v>
      </c>
      <c r="V46" s="57">
        <v>13.6</v>
      </c>
      <c r="W46" s="193">
        <v>1</v>
      </c>
      <c r="X46" s="148">
        <f>V46*1.5*1.2</f>
        <v>24.479999999999997</v>
      </c>
      <c r="Y46" s="364">
        <v>27.94</v>
      </c>
      <c r="Z46" s="362">
        <v>3</v>
      </c>
      <c r="AA46" s="363">
        <v>66.430000000000007</v>
      </c>
      <c r="AB46" s="57">
        <v>15.18</v>
      </c>
      <c r="AC46" s="485">
        <v>1</v>
      </c>
      <c r="AD46" s="363">
        <v>11.29</v>
      </c>
      <c r="AE46" s="57">
        <v>56.84</v>
      </c>
      <c r="AF46" s="362">
        <v>4</v>
      </c>
      <c r="AG46" s="363">
        <v>45.7</v>
      </c>
      <c r="AH46" s="57">
        <v>52.2</v>
      </c>
      <c r="AI46" s="362">
        <v>4</v>
      </c>
      <c r="AJ46" s="363">
        <v>68.3</v>
      </c>
      <c r="AK46" s="57">
        <v>62.7</v>
      </c>
      <c r="AL46" s="362">
        <v>4</v>
      </c>
      <c r="AM46" s="363">
        <v>82.01</v>
      </c>
      <c r="AN46" s="484"/>
      <c r="AO46" s="485"/>
      <c r="AP46" s="148"/>
      <c r="AQ46" s="57"/>
      <c r="AR46" s="193"/>
      <c r="AS46" s="148"/>
      <c r="AT46" s="239"/>
      <c r="AU46" s="237"/>
      <c r="AV46" s="146"/>
      <c r="AW46" s="236"/>
      <c r="AX46" s="247"/>
      <c r="AY46" s="173"/>
      <c r="AZ46" s="246"/>
      <c r="BA46" s="247"/>
      <c r="BB46" s="146"/>
      <c r="BC46" s="239"/>
      <c r="BD46" s="150"/>
      <c r="BE46" s="173"/>
      <c r="BF46" s="239"/>
      <c r="BG46" s="150"/>
      <c r="BH46" s="173"/>
      <c r="BI46" s="239">
        <v>134.5</v>
      </c>
      <c r="BJ46" s="150">
        <v>9</v>
      </c>
      <c r="BK46" s="173">
        <f>BI46*0.99*1.2</f>
        <v>159.786</v>
      </c>
      <c r="BL46" s="239">
        <v>132.86000000000001</v>
      </c>
      <c r="BM46" s="150">
        <v>9</v>
      </c>
      <c r="BN46" s="173">
        <f>(103.06*0.74+29.8*0.99)*1.2</f>
        <v>126.91967999999999</v>
      </c>
      <c r="BO46" s="239">
        <v>115.62</v>
      </c>
      <c r="BP46" s="150">
        <v>8</v>
      </c>
      <c r="BQ46" s="173">
        <f>(69.3*0.74+46.32*0.99)*1.2</f>
        <v>116.56656</v>
      </c>
      <c r="BR46" s="239">
        <v>68.42</v>
      </c>
      <c r="BS46" s="150">
        <v>5</v>
      </c>
      <c r="BT46" s="173">
        <f>(65.34*0.99+3.08*1.65)*1.2</f>
        <v>83.722319999999982</v>
      </c>
      <c r="BU46" s="239">
        <v>38.1</v>
      </c>
      <c r="BV46" s="150">
        <v>3</v>
      </c>
      <c r="BW46" s="173">
        <f>(10.44*0.99+27.66*1.41)*1.2</f>
        <v>59.203439999999993</v>
      </c>
      <c r="BX46" s="239">
        <v>52.7</v>
      </c>
      <c r="BY46" s="150">
        <v>5</v>
      </c>
      <c r="BZ46" s="173">
        <f>BX46*1.41*1.2</f>
        <v>89.168400000000005</v>
      </c>
      <c r="CA46" s="239">
        <v>45.98</v>
      </c>
      <c r="CB46" s="150">
        <v>3</v>
      </c>
      <c r="CC46" s="173">
        <f>CA46*1.41*1.2</f>
        <v>77.798159999999982</v>
      </c>
      <c r="CD46" s="239">
        <v>46.5</v>
      </c>
      <c r="CE46" s="150">
        <v>3</v>
      </c>
      <c r="CF46" s="173">
        <f>CD46*1.2*1.2</f>
        <v>66.959999999999994</v>
      </c>
      <c r="CG46" s="239">
        <v>33.64</v>
      </c>
      <c r="CH46" s="150">
        <v>3</v>
      </c>
      <c r="CI46" s="173">
        <f>(26.04*0.99+7.6*0.74)*1.2</f>
        <v>37.684319999999992</v>
      </c>
      <c r="CJ46" s="239">
        <v>71.88</v>
      </c>
      <c r="CK46" s="150">
        <v>6</v>
      </c>
      <c r="CL46" s="173">
        <f>(23.8*0.74+12.02*0.74+36.06*0.99)*1.2</f>
        <v>74.647440000000003</v>
      </c>
      <c r="CM46" s="239"/>
      <c r="CN46" s="146"/>
      <c r="CO46" s="146"/>
      <c r="CP46" s="239"/>
      <c r="CQ46" s="146"/>
      <c r="CR46" s="146"/>
      <c r="CS46" s="239"/>
      <c r="CT46" s="146"/>
      <c r="CU46" s="146"/>
      <c r="CV46" s="277" t="s">
        <v>197</v>
      </c>
      <c r="CW46" s="150"/>
      <c r="CX46" s="146"/>
      <c r="CY46" s="613">
        <v>999.1</v>
      </c>
      <c r="CZ46" s="148">
        <f t="shared" si="7"/>
        <v>1272.4439199999999</v>
      </c>
      <c r="DA46" s="36">
        <f>COUNT(BT46,BW46,BZ46,CI46,CL46,CO46,CR46,CU46,F46,I46,L46,O46,R46,U46,X46,AA46,AD46,AG46,AJ46,AM46,AP46,#REF!,AS46,AV46,AY46,BB46,BE46,BH46,BK46,BN46,BQ46,CC46,CF46,CX46,#REF!,#REF!,#REF!)</f>
        <v>18</v>
      </c>
      <c r="DB46" s="41">
        <f>SUM(CZ44:CZ46)</f>
        <v>1961.92392</v>
      </c>
      <c r="DD46" s="42"/>
    </row>
    <row r="47" spans="1:108" x14ac:dyDescent="0.25">
      <c r="A47" s="187">
        <v>313</v>
      </c>
      <c r="B47" s="137" t="s">
        <v>98</v>
      </c>
      <c r="C47" s="163" t="s">
        <v>0</v>
      </c>
      <c r="D47" s="137"/>
      <c r="E47" s="189"/>
      <c r="F47" s="164"/>
      <c r="G47" s="137"/>
      <c r="H47" s="189"/>
      <c r="I47" s="164"/>
      <c r="J47" s="137">
        <v>4.7</v>
      </c>
      <c r="K47" s="189"/>
      <c r="L47" s="164">
        <f>J47*5.43*1.2</f>
        <v>30.6252</v>
      </c>
      <c r="M47" s="137"/>
      <c r="N47" s="189"/>
      <c r="O47" s="164"/>
      <c r="P47" s="137"/>
      <c r="Q47" s="189"/>
      <c r="R47" s="164"/>
      <c r="S47" s="137"/>
      <c r="T47" s="189"/>
      <c r="U47" s="164"/>
      <c r="V47" s="137"/>
      <c r="W47" s="189"/>
      <c r="X47" s="164"/>
      <c r="Y47" s="137"/>
      <c r="Z47" s="189"/>
      <c r="AA47" s="164"/>
      <c r="AB47" s="137"/>
      <c r="AC47" s="482"/>
      <c r="AD47" s="164"/>
      <c r="AE47" s="137"/>
      <c r="AF47" s="189"/>
      <c r="AG47" s="164"/>
      <c r="AH47" s="137"/>
      <c r="AI47" s="189"/>
      <c r="AJ47" s="164"/>
      <c r="AK47" s="137"/>
      <c r="AL47" s="189"/>
      <c r="AM47" s="164"/>
      <c r="AN47" s="481"/>
      <c r="AO47" s="482"/>
      <c r="AP47" s="164"/>
      <c r="AQ47" s="137"/>
      <c r="AR47" s="189"/>
      <c r="AS47" s="164"/>
      <c r="AT47" s="240"/>
      <c r="AU47" s="234"/>
      <c r="AV47" s="168"/>
      <c r="AW47" s="240"/>
      <c r="AX47" s="250"/>
      <c r="AY47" s="235"/>
      <c r="AZ47" s="249"/>
      <c r="BA47" s="250"/>
      <c r="BB47" s="168"/>
      <c r="BC47" s="240"/>
      <c r="BD47" s="144"/>
      <c r="BE47" s="235"/>
      <c r="BF47" s="240"/>
      <c r="BG47" s="144"/>
      <c r="BH47" s="235"/>
      <c r="BI47" s="240"/>
      <c r="BJ47" s="144"/>
      <c r="BK47" s="235"/>
      <c r="BL47" s="240"/>
      <c r="BM47" s="144"/>
      <c r="BN47" s="235"/>
      <c r="BO47" s="233"/>
      <c r="BP47" s="144"/>
      <c r="BQ47" s="235"/>
      <c r="BR47" s="233"/>
      <c r="BS47" s="144"/>
      <c r="BT47" s="235"/>
      <c r="BU47" s="233"/>
      <c r="BV47" s="144"/>
      <c r="BW47" s="235"/>
      <c r="BX47" s="233"/>
      <c r="BY47" s="144"/>
      <c r="BZ47" s="235"/>
      <c r="CA47" s="240"/>
      <c r="CB47" s="144"/>
      <c r="CC47" s="235"/>
      <c r="CD47" s="240"/>
      <c r="CE47" s="144"/>
      <c r="CF47" s="235"/>
      <c r="CG47" s="240"/>
      <c r="CH47" s="144"/>
      <c r="CI47" s="235"/>
      <c r="CJ47" s="240"/>
      <c r="CK47" s="144"/>
      <c r="CL47" s="235"/>
      <c r="CM47" s="240"/>
      <c r="CN47" s="168"/>
      <c r="CO47" s="168"/>
      <c r="CP47" s="240"/>
      <c r="CQ47" s="168"/>
      <c r="CR47" s="168"/>
      <c r="CS47" s="240"/>
      <c r="CT47" s="168"/>
      <c r="CU47" s="168"/>
      <c r="CV47" s="280"/>
      <c r="CW47" s="144"/>
      <c r="CX47" s="168"/>
      <c r="CY47" s="611">
        <f t="shared" si="6"/>
        <v>4.7</v>
      </c>
      <c r="CZ47" s="607">
        <f t="shared" si="7"/>
        <v>30.6252</v>
      </c>
      <c r="DA47" s="36">
        <f>COUNT(BT47,BW47,BZ47,CI47,CL47,CO47,CR47,CU47,F47,I47,L47,O47,R47,U47,X47,AA47,AD47,AG47,AJ47,AM47,AP47,#REF!,AS47,AV47,AY47,BB47,BE47,BH47,BK47,BN47,BQ47,CC47,CF47,CX47,#REF!,#REF!,#REF!)</f>
        <v>1</v>
      </c>
      <c r="DB47" s="41"/>
      <c r="DD47" s="42"/>
    </row>
    <row r="48" spans="1:108" x14ac:dyDescent="0.25">
      <c r="A48" s="187"/>
      <c r="B48" s="29"/>
      <c r="C48" s="111" t="s">
        <v>34</v>
      </c>
      <c r="D48" s="29"/>
      <c r="E48" s="188"/>
      <c r="F48" s="33"/>
      <c r="G48" s="29"/>
      <c r="H48" s="188"/>
      <c r="I48" s="33"/>
      <c r="J48" s="29"/>
      <c r="K48" s="188"/>
      <c r="L48" s="33"/>
      <c r="M48" s="29"/>
      <c r="N48" s="188"/>
      <c r="O48" s="33"/>
      <c r="P48" s="29"/>
      <c r="Q48" s="188"/>
      <c r="R48" s="33"/>
      <c r="S48" s="29"/>
      <c r="T48" s="188"/>
      <c r="U48" s="33"/>
      <c r="V48" s="29"/>
      <c r="W48" s="188"/>
      <c r="X48" s="33"/>
      <c r="Y48" s="40"/>
      <c r="Z48" s="188"/>
      <c r="AA48" s="33"/>
      <c r="AB48" s="29"/>
      <c r="AC48" s="188"/>
      <c r="AD48" s="33"/>
      <c r="AE48" s="29"/>
      <c r="AF48" s="188"/>
      <c r="AG48" s="33"/>
      <c r="AH48" s="29"/>
      <c r="AI48" s="188"/>
      <c r="AJ48" s="33"/>
      <c r="AK48" s="29"/>
      <c r="AL48" s="188"/>
      <c r="AM48" s="33"/>
      <c r="AN48" s="29"/>
      <c r="AO48" s="188"/>
      <c r="AP48" s="33"/>
      <c r="AQ48" s="29"/>
      <c r="AR48" s="188"/>
      <c r="AS48" s="33"/>
      <c r="AT48" s="241"/>
      <c r="AU48" s="51"/>
      <c r="AV48" s="34"/>
      <c r="AW48" s="279"/>
      <c r="AX48" s="473"/>
      <c r="AY48" s="464"/>
      <c r="AZ48" s="252"/>
      <c r="BA48" s="253"/>
      <c r="BB48" s="252"/>
      <c r="BC48" s="241"/>
      <c r="BD48" s="59"/>
      <c r="BE48" s="47"/>
      <c r="BF48" s="241"/>
      <c r="BG48" s="59"/>
      <c r="BH48" s="47"/>
      <c r="BI48" s="241"/>
      <c r="BJ48" s="59"/>
      <c r="BK48" s="47"/>
      <c r="BL48" s="241"/>
      <c r="BM48" s="59"/>
      <c r="BN48" s="47"/>
      <c r="BO48" s="241"/>
      <c r="BP48" s="59"/>
      <c r="BQ48" s="47"/>
      <c r="BR48" s="241"/>
      <c r="BS48" s="59"/>
      <c r="BT48" s="47"/>
      <c r="BU48" s="241"/>
      <c r="BV48" s="59"/>
      <c r="BW48" s="47"/>
      <c r="BX48" s="241"/>
      <c r="BY48" s="59"/>
      <c r="BZ48" s="47"/>
      <c r="CA48" s="241"/>
      <c r="CB48" s="59"/>
      <c r="CC48" s="47"/>
      <c r="CD48" s="241"/>
      <c r="CE48" s="59"/>
      <c r="CF48" s="47"/>
      <c r="CG48" s="241"/>
      <c r="CH48" s="59"/>
      <c r="CI48" s="47"/>
      <c r="CJ48" s="241"/>
      <c r="CK48" s="59"/>
      <c r="CL48" s="47"/>
      <c r="CM48" s="241"/>
      <c r="CN48" s="34"/>
      <c r="CO48" s="34"/>
      <c r="CP48" s="241"/>
      <c r="CQ48" s="34"/>
      <c r="CR48" s="34"/>
      <c r="CS48" s="241"/>
      <c r="CT48" s="34"/>
      <c r="CU48" s="34"/>
      <c r="CV48" s="279"/>
      <c r="CW48" s="59"/>
      <c r="CX48" s="34"/>
      <c r="CY48" s="612">
        <f t="shared" si="6"/>
        <v>0</v>
      </c>
      <c r="CZ48" s="204">
        <f t="shared" si="7"/>
        <v>0</v>
      </c>
      <c r="DA48" s="36">
        <f>COUNT(BT48,BW48,BZ48,CI48,CL48,CO48,CR48,CU48,F48,I48,L48,O48,R48,U48,X48,AA48,AD48,AG48,AJ48,AM48,AP48,#REF!,AS48,AV48,AY48,BB48,BE48,BH48,BK48,BN48,BQ48,CC48,CF48,CX48,#REF!,#REF!,#REF!)</f>
        <v>0</v>
      </c>
      <c r="DB48" s="41"/>
      <c r="DD48" s="42"/>
    </row>
    <row r="49" spans="1:108" ht="16.5" thickBot="1" x14ac:dyDescent="0.3">
      <c r="A49" s="187"/>
      <c r="B49" s="57"/>
      <c r="C49" s="167" t="s">
        <v>1</v>
      </c>
      <c r="D49" s="57"/>
      <c r="E49" s="193"/>
      <c r="F49" s="148"/>
      <c r="G49" s="57"/>
      <c r="H49" s="193"/>
      <c r="I49" s="148"/>
      <c r="J49" s="57"/>
      <c r="K49" s="193"/>
      <c r="L49" s="148"/>
      <c r="M49" s="57">
        <v>52.98</v>
      </c>
      <c r="N49" s="193">
        <v>6</v>
      </c>
      <c r="O49" s="148">
        <f>M49*0.67*1.2</f>
        <v>42.59592</v>
      </c>
      <c r="P49" s="57">
        <v>44.32</v>
      </c>
      <c r="Q49" s="193">
        <v>2</v>
      </c>
      <c r="R49" s="148">
        <f>(12.6*0.67+21.02*0.67+23.3*0.62)*1.2</f>
        <v>44.365680000000005</v>
      </c>
      <c r="S49" s="57"/>
      <c r="T49" s="193"/>
      <c r="U49" s="148"/>
      <c r="V49" s="57"/>
      <c r="W49" s="193"/>
      <c r="X49" s="148"/>
      <c r="Y49" s="57">
        <v>41.04</v>
      </c>
      <c r="Z49" s="193"/>
      <c r="AA49" s="148"/>
      <c r="AB49" s="57"/>
      <c r="AC49" s="193"/>
      <c r="AD49" s="148"/>
      <c r="AE49" s="57"/>
      <c r="AF49" s="193"/>
      <c r="AG49" s="148"/>
      <c r="AH49" s="57"/>
      <c r="AI49" s="193"/>
      <c r="AJ49" s="148"/>
      <c r="AK49" s="57"/>
      <c r="AL49" s="193"/>
      <c r="AM49" s="148"/>
      <c r="AN49" s="57"/>
      <c r="AO49" s="193"/>
      <c r="AP49" s="148"/>
      <c r="AQ49" s="57"/>
      <c r="AR49" s="193"/>
      <c r="AS49" s="148"/>
      <c r="AT49" s="239"/>
      <c r="AU49" s="237"/>
      <c r="AV49" s="146"/>
      <c r="AW49" s="239"/>
      <c r="AX49" s="247"/>
      <c r="AY49" s="173"/>
      <c r="AZ49" s="246"/>
      <c r="BA49" s="247"/>
      <c r="BB49" s="146"/>
      <c r="BC49" s="239"/>
      <c r="BD49" s="150"/>
      <c r="BE49" s="173"/>
      <c r="BF49" s="239"/>
      <c r="BG49" s="150"/>
      <c r="BH49" s="173"/>
      <c r="BI49" s="239"/>
      <c r="BJ49" s="150"/>
      <c r="BK49" s="173"/>
      <c r="BL49" s="239"/>
      <c r="BM49" s="150"/>
      <c r="BN49" s="173"/>
      <c r="BO49" s="239"/>
      <c r="BP49" s="150"/>
      <c r="BQ49" s="173"/>
      <c r="BR49" s="239"/>
      <c r="BS49" s="150"/>
      <c r="BT49" s="173"/>
      <c r="BU49" s="239"/>
      <c r="BV49" s="150"/>
      <c r="BW49" s="173"/>
      <c r="BX49" s="239"/>
      <c r="BY49" s="150"/>
      <c r="BZ49" s="173"/>
      <c r="CA49" s="239"/>
      <c r="CB49" s="150"/>
      <c r="CC49" s="173"/>
      <c r="CD49" s="239"/>
      <c r="CE49" s="150"/>
      <c r="CF49" s="173"/>
      <c r="CG49" s="239"/>
      <c r="CH49" s="150"/>
      <c r="CI49" s="173"/>
      <c r="CJ49" s="239"/>
      <c r="CK49" s="150"/>
      <c r="CL49" s="173"/>
      <c r="CM49" s="239"/>
      <c r="CN49" s="146"/>
      <c r="CO49" s="146"/>
      <c r="CP49" s="239"/>
      <c r="CQ49" s="146"/>
      <c r="CR49" s="146"/>
      <c r="CS49" s="239"/>
      <c r="CT49" s="146"/>
      <c r="CU49" s="146"/>
      <c r="CV49" s="277"/>
      <c r="CW49" s="150"/>
      <c r="CX49" s="146"/>
      <c r="CY49" s="613">
        <f t="shared" si="6"/>
        <v>138.34</v>
      </c>
      <c r="CZ49" s="148">
        <f t="shared" si="7"/>
        <v>86.961600000000004</v>
      </c>
      <c r="DA49" s="36">
        <f>COUNT(BT49,BW49,BZ49,CI49,CL49,CO49,CR49,CU49,F49,I49,L49,O49,R49,U49,X49,AA49,AD49,AG49,AJ49,AM49,AP49,#REF!,AS49,AV49,AY49,BB49,BE49,BH49,BK49,BN49,BQ49,CC49,CF49,CX49,#REF!,#REF!,#REF!)</f>
        <v>2</v>
      </c>
      <c r="DB49" s="41">
        <f>SUM(CZ47:CZ49)</f>
        <v>117.58680000000001</v>
      </c>
      <c r="DD49" s="42"/>
    </row>
    <row r="50" spans="1:108" x14ac:dyDescent="0.25">
      <c r="A50" s="187"/>
      <c r="B50" s="124" t="s">
        <v>66</v>
      </c>
      <c r="C50" s="201" t="s">
        <v>0</v>
      </c>
      <c r="D50" s="137"/>
      <c r="E50" s="189"/>
      <c r="F50" s="164"/>
      <c r="G50" s="137">
        <v>0.3</v>
      </c>
      <c r="H50" s="189">
        <v>3</v>
      </c>
      <c r="I50" s="164">
        <v>1.62</v>
      </c>
      <c r="J50" s="137"/>
      <c r="K50" s="189"/>
      <c r="L50" s="164"/>
      <c r="M50" s="137"/>
      <c r="N50" s="189"/>
      <c r="O50" s="164"/>
      <c r="P50" s="137"/>
      <c r="Q50" s="189"/>
      <c r="R50" s="164"/>
      <c r="S50" s="137">
        <v>6</v>
      </c>
      <c r="T50" s="189">
        <v>3</v>
      </c>
      <c r="U50" s="164">
        <f>S50*3.36*1.2</f>
        <v>24.192</v>
      </c>
      <c r="V50" s="377">
        <v>0.7</v>
      </c>
      <c r="W50" s="365">
        <v>1</v>
      </c>
      <c r="X50" s="366">
        <v>2.82</v>
      </c>
      <c r="Y50" s="137"/>
      <c r="Z50" s="189"/>
      <c r="AA50" s="164"/>
      <c r="AB50" s="137">
        <v>9.3000000000000007</v>
      </c>
      <c r="AC50" s="365">
        <v>2</v>
      </c>
      <c r="AD50" s="366">
        <v>60.6</v>
      </c>
      <c r="AE50" s="137">
        <v>10</v>
      </c>
      <c r="AF50" s="365">
        <v>2</v>
      </c>
      <c r="AG50" s="366">
        <v>65.2</v>
      </c>
      <c r="AH50" s="137"/>
      <c r="AI50" s="189"/>
      <c r="AJ50" s="164"/>
      <c r="AK50" s="137"/>
      <c r="AL50" s="189"/>
      <c r="AM50" s="164"/>
      <c r="AN50" s="137"/>
      <c r="AO50" s="189"/>
      <c r="AP50" s="164"/>
      <c r="AQ50" s="137"/>
      <c r="AR50" s="189"/>
      <c r="AS50" s="164"/>
      <c r="AT50" s="240"/>
      <c r="AU50" s="234"/>
      <c r="AV50" s="168"/>
      <c r="AW50" s="240">
        <v>6.8</v>
      </c>
      <c r="AX50" s="250">
        <v>2</v>
      </c>
      <c r="AY50" s="235">
        <f>AW50*4.5*1.2</f>
        <v>36.72</v>
      </c>
      <c r="AZ50" s="249"/>
      <c r="BA50" s="250"/>
      <c r="BB50" s="168"/>
      <c r="BC50" s="240"/>
      <c r="BD50" s="144"/>
      <c r="BE50" s="235"/>
      <c r="BF50" s="240"/>
      <c r="BG50" s="144"/>
      <c r="BH50" s="235"/>
      <c r="BI50" s="240"/>
      <c r="BJ50" s="144"/>
      <c r="BK50" s="235"/>
      <c r="BL50" s="240"/>
      <c r="BM50" s="144"/>
      <c r="BN50" s="235"/>
      <c r="BO50" s="249"/>
      <c r="BP50" s="144"/>
      <c r="BQ50" s="235"/>
      <c r="BR50" s="249"/>
      <c r="BS50" s="144"/>
      <c r="BT50" s="235"/>
      <c r="BU50" s="249"/>
      <c r="BV50" s="144"/>
      <c r="BW50" s="235"/>
      <c r="BX50" s="249"/>
      <c r="BY50" s="144"/>
      <c r="BZ50" s="235"/>
      <c r="CA50" s="240"/>
      <c r="CB50" s="144"/>
      <c r="CC50" s="235"/>
      <c r="CD50" s="240"/>
      <c r="CE50" s="144"/>
      <c r="CF50" s="235"/>
      <c r="CG50" s="240"/>
      <c r="CH50" s="144"/>
      <c r="CI50" s="235"/>
      <c r="CJ50" s="240"/>
      <c r="CK50" s="144"/>
      <c r="CL50" s="235"/>
      <c r="CM50" s="240"/>
      <c r="CN50" s="168"/>
      <c r="CO50" s="168"/>
      <c r="CP50" s="240"/>
      <c r="CQ50" s="168"/>
      <c r="CR50" s="168"/>
      <c r="CS50" s="240"/>
      <c r="CT50" s="168"/>
      <c r="CU50" s="168"/>
      <c r="CV50" s="280"/>
      <c r="CW50" s="144"/>
      <c r="CX50" s="168"/>
      <c r="CY50" s="611">
        <f t="shared" si="6"/>
        <v>33.1</v>
      </c>
      <c r="CZ50" s="607">
        <f t="shared" si="7"/>
        <v>191.15200000000002</v>
      </c>
      <c r="DA50" s="36">
        <f>COUNT(BT50,BW50,BZ50,CI50,CL50,CO50,CR50,CU50,F50,I50,L50,O50,R50,U50,X50,AA50,AD50,AG50,AJ50,AM50,AP50,#REF!,AS50,AV50,AY50,BB50,BE50,BH50,BK50,BN50,BQ50,CC50,CF50,CX50,#REF!,#REF!,#REF!)</f>
        <v>6</v>
      </c>
      <c r="DB50" s="41"/>
      <c r="DD50" s="42"/>
    </row>
    <row r="51" spans="1:108" x14ac:dyDescent="0.25">
      <c r="A51" s="187"/>
      <c r="B51" s="29"/>
      <c r="C51" s="111" t="s">
        <v>34</v>
      </c>
      <c r="D51" s="29"/>
      <c r="E51" s="188"/>
      <c r="F51" s="33"/>
      <c r="G51" s="29"/>
      <c r="H51" s="188"/>
      <c r="I51" s="33"/>
      <c r="J51" s="29"/>
      <c r="K51" s="188"/>
      <c r="L51" s="33"/>
      <c r="M51" s="29"/>
      <c r="N51" s="188"/>
      <c r="O51" s="33"/>
      <c r="P51" s="29"/>
      <c r="Q51" s="188"/>
      <c r="R51" s="33"/>
      <c r="S51" s="29"/>
      <c r="T51" s="188"/>
      <c r="U51" s="33"/>
      <c r="V51" s="29"/>
      <c r="W51" s="188"/>
      <c r="X51" s="33"/>
      <c r="Y51" s="40"/>
      <c r="Z51" s="188"/>
      <c r="AA51" s="33"/>
      <c r="AB51" s="29"/>
      <c r="AC51" s="188"/>
      <c r="AD51" s="33"/>
      <c r="AE51" s="29"/>
      <c r="AF51" s="188"/>
      <c r="AG51" s="33"/>
      <c r="AH51" s="29"/>
      <c r="AI51" s="188"/>
      <c r="AJ51" s="33"/>
      <c r="AK51" s="29"/>
      <c r="AL51" s="188"/>
      <c r="AM51" s="33"/>
      <c r="AN51" s="29"/>
      <c r="AO51" s="188"/>
      <c r="AP51" s="33"/>
      <c r="AQ51" s="29"/>
      <c r="AR51" s="188"/>
      <c r="AS51" s="33"/>
      <c r="AT51" s="241"/>
      <c r="AU51" s="51"/>
      <c r="AV51" s="34"/>
      <c r="AW51" s="241"/>
      <c r="AX51" s="253"/>
      <c r="AY51" s="47"/>
      <c r="AZ51" s="252"/>
      <c r="BA51" s="253"/>
      <c r="BB51" s="34"/>
      <c r="BC51" s="241"/>
      <c r="BD51" s="59"/>
      <c r="BE51" s="47"/>
      <c r="BF51" s="241"/>
      <c r="BG51" s="59"/>
      <c r="BH51" s="47"/>
      <c r="BI51" s="241"/>
      <c r="BJ51" s="59"/>
      <c r="BK51" s="47"/>
      <c r="BL51" s="46"/>
      <c r="BM51" s="59"/>
      <c r="BN51" s="270"/>
      <c r="BO51" s="252"/>
      <c r="BP51" s="59"/>
      <c r="BQ51" s="47"/>
      <c r="BR51" s="252"/>
      <c r="BS51" s="59"/>
      <c r="BT51" s="47"/>
      <c r="BU51" s="252"/>
      <c r="BV51" s="59"/>
      <c r="BW51" s="47"/>
      <c r="BX51" s="252"/>
      <c r="BY51" s="59"/>
      <c r="BZ51" s="47"/>
      <c r="CA51" s="241"/>
      <c r="CB51" s="59"/>
      <c r="CC51" s="47"/>
      <c r="CD51" s="241"/>
      <c r="CE51" s="59"/>
      <c r="CF51" s="47"/>
      <c r="CG51" s="241"/>
      <c r="CH51" s="59"/>
      <c r="CI51" s="47"/>
      <c r="CJ51" s="241"/>
      <c r="CK51" s="59"/>
      <c r="CL51" s="47"/>
      <c r="CM51" s="241"/>
      <c r="CN51" s="34"/>
      <c r="CO51" s="34"/>
      <c r="CP51" s="241"/>
      <c r="CQ51" s="34"/>
      <c r="CR51" s="34"/>
      <c r="CS51" s="241"/>
      <c r="CT51" s="34"/>
      <c r="CU51" s="34"/>
      <c r="CV51" s="279"/>
      <c r="CW51" s="59"/>
      <c r="CX51" s="34"/>
      <c r="CY51" s="612">
        <f t="shared" si="6"/>
        <v>0</v>
      </c>
      <c r="CZ51" s="204">
        <f t="shared" si="7"/>
        <v>0</v>
      </c>
      <c r="DA51" s="36">
        <f>COUNT(BT51,BW51,BZ51,CI51,CL51,CO51,CR51,CU51,F51,I51,L51,O51,R51,U51,X51,AA51,AD51,AG51,AJ51,AM51,AP51,#REF!,AS51,AV51,AY51,BB51,BE51,BH51,BK51,BN51,BQ51,CC51,CF51,CX51,#REF!,#REF!,#REF!)</f>
        <v>0</v>
      </c>
      <c r="DB51" s="41"/>
      <c r="DD51" s="42"/>
    </row>
    <row r="52" spans="1:108" ht="15.75" customHeight="1" thickBot="1" x14ac:dyDescent="0.3">
      <c r="A52" s="187"/>
      <c r="B52" s="174"/>
      <c r="C52" s="203" t="s">
        <v>1</v>
      </c>
      <c r="D52" s="57">
        <v>19.22</v>
      </c>
      <c r="E52" s="193"/>
      <c r="F52" s="148">
        <f>(D52*0.67)*1.2</f>
        <v>15.452879999999999</v>
      </c>
      <c r="G52" s="57">
        <v>13.2</v>
      </c>
      <c r="H52" s="193"/>
      <c r="I52" s="148">
        <v>28.51</v>
      </c>
      <c r="J52" s="57">
        <v>29.34</v>
      </c>
      <c r="K52" s="193"/>
      <c r="L52" s="148">
        <f>J52*0.67*1.2</f>
        <v>23.589360000000003</v>
      </c>
      <c r="M52" s="57">
        <v>56.64</v>
      </c>
      <c r="N52" s="193">
        <v>5</v>
      </c>
      <c r="O52" s="148">
        <f>(44.76*0.67+11.88*0.67)*1.2</f>
        <v>45.538559999999997</v>
      </c>
      <c r="P52" s="57">
        <v>51.22</v>
      </c>
      <c r="Q52" s="193">
        <v>4</v>
      </c>
      <c r="R52" s="148">
        <f>(24.62*0.67+26.6*0.62)*1.2</f>
        <v>39.584879999999998</v>
      </c>
      <c r="S52" s="57"/>
      <c r="T52" s="193"/>
      <c r="U52" s="148"/>
      <c r="V52" s="57"/>
      <c r="W52" s="193"/>
      <c r="X52" s="148"/>
      <c r="Y52" s="57">
        <v>72.88</v>
      </c>
      <c r="Z52" s="362">
        <v>6</v>
      </c>
      <c r="AA52" s="363">
        <v>11.9</v>
      </c>
      <c r="AB52" s="57"/>
      <c r="AC52" s="193"/>
      <c r="AD52" s="148"/>
      <c r="AE52" s="57"/>
      <c r="AF52" s="193"/>
      <c r="AG52" s="148"/>
      <c r="AH52" s="57">
        <v>44.9</v>
      </c>
      <c r="AI52" s="362">
        <v>4</v>
      </c>
      <c r="AJ52" s="363">
        <v>58.8</v>
      </c>
      <c r="AK52" s="57">
        <v>104.22</v>
      </c>
      <c r="AL52" s="362">
        <v>7</v>
      </c>
      <c r="AM52" s="363">
        <v>136.30000000000001</v>
      </c>
      <c r="AN52" s="57">
        <v>88.22</v>
      </c>
      <c r="AO52" s="193">
        <v>7</v>
      </c>
      <c r="AP52" s="148">
        <v>97.01</v>
      </c>
      <c r="AQ52" s="57"/>
      <c r="AR52" s="193"/>
      <c r="AS52" s="148"/>
      <c r="AT52" s="239">
        <v>120.58</v>
      </c>
      <c r="AU52" s="237">
        <v>8</v>
      </c>
      <c r="AV52" s="146">
        <v>89.71</v>
      </c>
      <c r="AW52" s="239">
        <v>50.1</v>
      </c>
      <c r="AX52" s="247">
        <v>4</v>
      </c>
      <c r="AY52" s="173">
        <v>63.82</v>
      </c>
      <c r="AZ52" s="246">
        <v>93.34</v>
      </c>
      <c r="BA52" s="247">
        <v>7</v>
      </c>
      <c r="BB52" s="146">
        <v>100.81</v>
      </c>
      <c r="BC52" s="239">
        <v>37.5</v>
      </c>
      <c r="BD52" s="476">
        <v>3</v>
      </c>
      <c r="BE52" s="439">
        <f>BC52*1.2*1.2</f>
        <v>54</v>
      </c>
      <c r="BF52" s="239"/>
      <c r="BG52" s="150"/>
      <c r="BH52" s="173"/>
      <c r="BI52" s="239">
        <v>129.69999999999999</v>
      </c>
      <c r="BJ52" s="150">
        <v>9</v>
      </c>
      <c r="BK52" s="173">
        <f>BI52*0.99*1.2</f>
        <v>154.08359999999999</v>
      </c>
      <c r="BL52" s="239">
        <v>104.8</v>
      </c>
      <c r="BM52" s="150">
        <v>8</v>
      </c>
      <c r="BN52" s="290">
        <f>(75.2*0.68+29.6*0.99)*1.2</f>
        <v>96.527999999999992</v>
      </c>
      <c r="BO52" s="246">
        <v>92.82</v>
      </c>
      <c r="BP52" s="150">
        <v>7</v>
      </c>
      <c r="BQ52" s="173">
        <f>(54.92*0.68+37.9*0.74)*1.2</f>
        <v>78.469920000000016</v>
      </c>
      <c r="BR52" s="246">
        <v>80.540000000000006</v>
      </c>
      <c r="BS52" s="150">
        <v>7</v>
      </c>
      <c r="BT52" s="173">
        <f>(8.34*0.68+24.2*0.74+48*0.99)*1.2</f>
        <v>85.319039999999987</v>
      </c>
      <c r="BU52" s="246"/>
      <c r="BV52" s="150"/>
      <c r="BW52" s="173"/>
      <c r="BX52" s="246">
        <v>40.9</v>
      </c>
      <c r="BY52" s="150">
        <v>4</v>
      </c>
      <c r="BZ52" s="173">
        <f>BX52*0.74*1.2</f>
        <v>36.319199999999995</v>
      </c>
      <c r="CA52" s="239">
        <v>62.28</v>
      </c>
      <c r="CB52" s="150">
        <v>7</v>
      </c>
      <c r="CC52" s="173">
        <f>(29.6*0.74+32.68*0.99)*1.2</f>
        <v>65.108639999999994</v>
      </c>
      <c r="CD52" s="239">
        <v>22.4</v>
      </c>
      <c r="CE52" s="150">
        <v>2</v>
      </c>
      <c r="CF52" s="173">
        <f>CD52*0.68*1.2</f>
        <v>18.278399999999998</v>
      </c>
      <c r="CG52" s="239">
        <v>46</v>
      </c>
      <c r="CH52" s="150">
        <v>4</v>
      </c>
      <c r="CI52" s="173">
        <f>CG52*0.68*1.2</f>
        <v>37.536000000000001</v>
      </c>
      <c r="CJ52" s="239">
        <v>14.2</v>
      </c>
      <c r="CK52" s="150">
        <v>2</v>
      </c>
      <c r="CL52" s="173">
        <f>CJ52*1.2*0.68</f>
        <v>11.587200000000001</v>
      </c>
      <c r="CM52" s="239"/>
      <c r="CN52" s="146"/>
      <c r="CO52" s="146"/>
      <c r="CP52" s="239"/>
      <c r="CQ52" s="146"/>
      <c r="CR52" s="146"/>
      <c r="CS52" s="239"/>
      <c r="CT52" s="146"/>
      <c r="CU52" s="146"/>
      <c r="CV52" s="277"/>
      <c r="CW52" s="150"/>
      <c r="CX52" s="146"/>
      <c r="CY52" s="613">
        <f t="shared" si="6"/>
        <v>1375.0000000000002</v>
      </c>
      <c r="CZ52" s="148">
        <f t="shared" si="7"/>
        <v>1348.2556799999998</v>
      </c>
      <c r="DA52" s="36">
        <f>COUNT(BT52,BW52,BZ52,CI52,CL52,CO52,CR52,CU52,F52,I52,L52,O52,R52,U52,X52,AA52,AD52,AG52,AJ52,AM52,AP52,#REF!,AS52,AV52,AY52,BB52,BE52,BH52,BK52,BN52,BQ52,CC52,CF52,CX52,#REF!,#REF!,#REF!)</f>
        <v>22</v>
      </c>
      <c r="DB52" s="41">
        <f>SUM(CZ50:CZ52)</f>
        <v>1539.4076799999998</v>
      </c>
      <c r="DD52" s="42"/>
    </row>
    <row r="53" spans="1:108" x14ac:dyDescent="0.25">
      <c r="A53" s="187"/>
      <c r="B53" s="186" t="s">
        <v>10</v>
      </c>
      <c r="C53" s="163" t="s">
        <v>0</v>
      </c>
      <c r="D53" s="137"/>
      <c r="E53" s="189"/>
      <c r="F53" s="164"/>
      <c r="G53" s="137"/>
      <c r="H53" s="189"/>
      <c r="I53" s="164"/>
      <c r="J53" s="137"/>
      <c r="K53" s="189"/>
      <c r="L53" s="164"/>
      <c r="M53" s="137"/>
      <c r="N53" s="189"/>
      <c r="O53" s="164"/>
      <c r="P53" s="137"/>
      <c r="Q53" s="189"/>
      <c r="R53" s="164"/>
      <c r="S53" s="137"/>
      <c r="T53" s="189"/>
      <c r="U53" s="164"/>
      <c r="V53" s="137"/>
      <c r="W53" s="189"/>
      <c r="X53" s="164"/>
      <c r="Y53" s="137"/>
      <c r="Z53" s="189"/>
      <c r="AA53" s="164"/>
      <c r="AB53" s="137"/>
      <c r="AC53" s="189"/>
      <c r="AD53" s="164"/>
      <c r="AE53" s="137"/>
      <c r="AF53" s="189"/>
      <c r="AG53" s="164"/>
      <c r="AH53" s="137"/>
      <c r="AI53" s="189"/>
      <c r="AJ53" s="164"/>
      <c r="AK53" s="137"/>
      <c r="AL53" s="189"/>
      <c r="AM53" s="164"/>
      <c r="AN53" s="137"/>
      <c r="AO53" s="189"/>
      <c r="AP53" s="164"/>
      <c r="AQ53" s="137"/>
      <c r="AR53" s="189"/>
      <c r="AS53" s="164"/>
      <c r="AT53" s="240"/>
      <c r="AU53" s="234"/>
      <c r="AV53" s="168"/>
      <c r="AW53" s="240"/>
      <c r="AX53" s="250"/>
      <c r="AY53" s="235"/>
      <c r="AZ53" s="249"/>
      <c r="BA53" s="250"/>
      <c r="BB53" s="168"/>
      <c r="BC53" s="240"/>
      <c r="BD53" s="144"/>
      <c r="BE53" s="235"/>
      <c r="BF53" s="240"/>
      <c r="BG53" s="144"/>
      <c r="BH53" s="235"/>
      <c r="BI53" s="240"/>
      <c r="BJ53" s="144"/>
      <c r="BK53" s="235"/>
      <c r="BL53" s="233"/>
      <c r="BM53" s="144"/>
      <c r="BN53" s="235"/>
      <c r="BO53" s="240"/>
      <c r="BP53" s="144"/>
      <c r="BQ53" s="235"/>
      <c r="BR53" s="240"/>
      <c r="BS53" s="144"/>
      <c r="BT53" s="235"/>
      <c r="BU53" s="240"/>
      <c r="BV53" s="144"/>
      <c r="BW53" s="235"/>
      <c r="BX53" s="240"/>
      <c r="BY53" s="144"/>
      <c r="BZ53" s="235"/>
      <c r="CA53" s="240"/>
      <c r="CB53" s="144"/>
      <c r="CC53" s="235"/>
      <c r="CD53" s="240"/>
      <c r="CE53" s="144"/>
      <c r="CF53" s="235"/>
      <c r="CG53" s="240"/>
      <c r="CH53" s="144"/>
      <c r="CI53" s="235"/>
      <c r="CJ53" s="240"/>
      <c r="CK53" s="144"/>
      <c r="CL53" s="235"/>
      <c r="CM53" s="240"/>
      <c r="CN53" s="168"/>
      <c r="CO53" s="168"/>
      <c r="CP53" s="240"/>
      <c r="CQ53" s="168"/>
      <c r="CR53" s="168"/>
      <c r="CS53" s="240"/>
      <c r="CT53" s="168"/>
      <c r="CU53" s="168"/>
      <c r="CV53" s="280"/>
      <c r="CW53" s="144"/>
      <c r="CX53" s="168"/>
      <c r="CY53" s="611">
        <f t="shared" si="6"/>
        <v>0</v>
      </c>
      <c r="CZ53" s="607">
        <f t="shared" si="7"/>
        <v>0</v>
      </c>
      <c r="DA53" s="36">
        <f>COUNT(BT53,BW53,BZ53,CI53,CL53,CO53,CR53,CU53,F53,I53,L53,O53,R53,U53,X53,AA53,AD53,AG53,AJ53,AM53,AP53,#REF!,AS53,AV53,AY53,BB53,BE53,BH53,BK53,BN53,BQ53,CC53,CF53,CX53,#REF!,#REF!,#REF!)</f>
        <v>0</v>
      </c>
      <c r="DB53" s="41"/>
      <c r="DD53" s="42"/>
    </row>
    <row r="54" spans="1:108" x14ac:dyDescent="0.25">
      <c r="A54" s="187"/>
      <c r="B54" s="187"/>
      <c r="C54" s="111" t="s">
        <v>34</v>
      </c>
      <c r="D54" s="29"/>
      <c r="E54" s="188"/>
      <c r="F54" s="33"/>
      <c r="G54" s="29"/>
      <c r="H54" s="188"/>
      <c r="I54" s="33"/>
      <c r="J54" s="29"/>
      <c r="K54" s="188"/>
      <c r="L54" s="33"/>
      <c r="M54" s="29"/>
      <c r="N54" s="188"/>
      <c r="O54" s="33"/>
      <c r="P54" s="29"/>
      <c r="Q54" s="188"/>
      <c r="R54" s="33"/>
      <c r="S54" s="29"/>
      <c r="T54" s="188"/>
      <c r="U54" s="33"/>
      <c r="V54" s="29"/>
      <c r="W54" s="188"/>
      <c r="X54" s="33"/>
      <c r="Y54" s="29"/>
      <c r="Z54" s="188"/>
      <c r="AA54" s="33"/>
      <c r="AB54" s="29"/>
      <c r="AC54" s="188"/>
      <c r="AD54" s="33"/>
      <c r="AE54" s="29"/>
      <c r="AF54" s="188"/>
      <c r="AG54" s="33"/>
      <c r="AH54" s="29"/>
      <c r="AI54" s="188"/>
      <c r="AJ54" s="33"/>
      <c r="AK54" s="29"/>
      <c r="AL54" s="188"/>
      <c r="AM54" s="33"/>
      <c r="AN54" s="29"/>
      <c r="AO54" s="188"/>
      <c r="AP54" s="33"/>
      <c r="AQ54" s="29"/>
      <c r="AR54" s="188"/>
      <c r="AS54" s="33"/>
      <c r="AT54" s="241"/>
      <c r="AU54" s="51"/>
      <c r="AV54" s="34"/>
      <c r="AW54" s="241"/>
      <c r="AX54" s="253"/>
      <c r="AY54" s="47"/>
      <c r="AZ54" s="252"/>
      <c r="BA54" s="253"/>
      <c r="BB54" s="34"/>
      <c r="BC54" s="241"/>
      <c r="BD54" s="59"/>
      <c r="BE54" s="47"/>
      <c r="BF54" s="241"/>
      <c r="BG54" s="59"/>
      <c r="BH54" s="47"/>
      <c r="BI54" s="241"/>
      <c r="BJ54" s="59"/>
      <c r="BK54" s="47"/>
      <c r="BL54" s="46"/>
      <c r="BM54" s="59"/>
      <c r="BN54" s="47"/>
      <c r="BO54" s="241"/>
      <c r="BP54" s="59"/>
      <c r="BQ54" s="47"/>
      <c r="BR54" s="241"/>
      <c r="BS54" s="59"/>
      <c r="BT54" s="47"/>
      <c r="BU54" s="241"/>
      <c r="BV54" s="59"/>
      <c r="BW54" s="47"/>
      <c r="BX54" s="241"/>
      <c r="BY54" s="59"/>
      <c r="BZ54" s="47"/>
      <c r="CA54" s="46"/>
      <c r="CB54" s="59"/>
      <c r="CC54" s="47"/>
      <c r="CD54" s="46"/>
      <c r="CE54" s="59"/>
      <c r="CF54" s="47"/>
      <c r="CG54" s="46"/>
      <c r="CH54" s="59"/>
      <c r="CI54" s="47"/>
      <c r="CJ54" s="46"/>
      <c r="CK54" s="59"/>
      <c r="CL54" s="47"/>
      <c r="CM54" s="46"/>
      <c r="CN54" s="34"/>
      <c r="CO54" s="34"/>
      <c r="CP54" s="46"/>
      <c r="CQ54" s="34"/>
      <c r="CR54" s="34"/>
      <c r="CS54" s="46"/>
      <c r="CT54" s="34"/>
      <c r="CU54" s="34"/>
      <c r="CV54" s="279"/>
      <c r="CW54" s="59"/>
      <c r="CX54" s="34"/>
      <c r="CY54" s="612">
        <f t="shared" si="6"/>
        <v>0</v>
      </c>
      <c r="CZ54" s="204">
        <f t="shared" si="7"/>
        <v>0</v>
      </c>
      <c r="DA54" s="36">
        <f>COUNT(BT54,BW54,BZ54,CI54,CL54,CO54,CR54,CU54,F54,I54,L54,O54,R54,U54,X54,AA54,AD54,AG54,AJ54,AM54,AP54,#REF!,AS54,AV54,AY54,BB54,BE54,BH54,BK54,BN54,BQ54,CC54,CF54,CX54,#REF!,#REF!,#REF!)</f>
        <v>0</v>
      </c>
      <c r="DB54" s="41"/>
      <c r="DD54" s="42"/>
    </row>
    <row r="55" spans="1:108" ht="17.25" customHeight="1" thickBot="1" x14ac:dyDescent="0.3">
      <c r="A55" s="187"/>
      <c r="B55" s="194"/>
      <c r="C55" s="167" t="s">
        <v>1</v>
      </c>
      <c r="D55" s="57"/>
      <c r="E55" s="193"/>
      <c r="F55" s="148"/>
      <c r="G55" s="57"/>
      <c r="H55" s="193"/>
      <c r="I55" s="148"/>
      <c r="J55" s="57"/>
      <c r="K55" s="193"/>
      <c r="L55" s="148"/>
      <c r="M55" s="57"/>
      <c r="N55" s="193"/>
      <c r="O55" s="148"/>
      <c r="P55" s="57"/>
      <c r="Q55" s="193"/>
      <c r="R55" s="148"/>
      <c r="S55" s="57"/>
      <c r="T55" s="193"/>
      <c r="U55" s="148"/>
      <c r="V55" s="57"/>
      <c r="W55" s="193"/>
      <c r="X55" s="148"/>
      <c r="Y55" s="57"/>
      <c r="Z55" s="193"/>
      <c r="AA55" s="148"/>
      <c r="AB55" s="57"/>
      <c r="AC55" s="193"/>
      <c r="AD55" s="148"/>
      <c r="AE55" s="57"/>
      <c r="AF55" s="193"/>
      <c r="AG55" s="148"/>
      <c r="AH55" s="57"/>
      <c r="AI55" s="193"/>
      <c r="AJ55" s="148"/>
      <c r="AK55" s="57"/>
      <c r="AL55" s="193"/>
      <c r="AM55" s="148"/>
      <c r="AN55" s="57"/>
      <c r="AO55" s="193"/>
      <c r="AP55" s="148"/>
      <c r="AQ55" s="57"/>
      <c r="AR55" s="193"/>
      <c r="AS55" s="148"/>
      <c r="AT55" s="239"/>
      <c r="AU55" s="237"/>
      <c r="AV55" s="146"/>
      <c r="AW55" s="239"/>
      <c r="AX55" s="247"/>
      <c r="AY55" s="173"/>
      <c r="AZ55" s="246"/>
      <c r="BA55" s="247"/>
      <c r="BB55" s="146"/>
      <c r="BC55" s="239"/>
      <c r="BD55" s="150"/>
      <c r="BE55" s="173"/>
      <c r="BF55" s="239"/>
      <c r="BG55" s="150"/>
      <c r="BH55" s="173"/>
      <c r="BI55" s="239"/>
      <c r="BJ55" s="150"/>
      <c r="BK55" s="173"/>
      <c r="BL55" s="236"/>
      <c r="BM55" s="150"/>
      <c r="BN55" s="173"/>
      <c r="BO55" s="239"/>
      <c r="BP55" s="150"/>
      <c r="BQ55" s="173"/>
      <c r="BR55" s="239">
        <v>25.8</v>
      </c>
      <c r="BS55" s="150">
        <v>3</v>
      </c>
      <c r="BT55" s="173">
        <f>BR55*0.99*1.2</f>
        <v>30.650400000000001</v>
      </c>
      <c r="BU55" s="239"/>
      <c r="BV55" s="150"/>
      <c r="BW55" s="173"/>
      <c r="BX55" s="239">
        <v>55.58</v>
      </c>
      <c r="BY55" s="150">
        <v>3</v>
      </c>
      <c r="BZ55" s="173">
        <f>BX55*1.41*1.2</f>
        <v>94.041359999999983</v>
      </c>
      <c r="CA55" s="236">
        <v>49.28</v>
      </c>
      <c r="CB55" s="150">
        <v>3</v>
      </c>
      <c r="CC55" s="173">
        <f>CA55*1.2*1.2</f>
        <v>70.963199999999986</v>
      </c>
      <c r="CD55" s="236">
        <v>51.08</v>
      </c>
      <c r="CE55" s="150">
        <v>4</v>
      </c>
      <c r="CF55" s="173">
        <f>CD55*0.74*1.2</f>
        <v>45.35904</v>
      </c>
      <c r="CG55" s="236">
        <v>49</v>
      </c>
      <c r="CH55" s="150">
        <v>3</v>
      </c>
      <c r="CI55" s="173">
        <f>CG55*0.74*1.2</f>
        <v>43.511999999999993</v>
      </c>
      <c r="CJ55" s="236">
        <v>113.08</v>
      </c>
      <c r="CK55" s="150">
        <v>7</v>
      </c>
      <c r="CL55" s="173">
        <f>(32.88*0.99+80.2*0.74)*1.2</f>
        <v>110.27904000000001</v>
      </c>
      <c r="CM55" s="236"/>
      <c r="CN55" s="146"/>
      <c r="CO55" s="146"/>
      <c r="CP55" s="236"/>
      <c r="CQ55" s="146"/>
      <c r="CR55" s="146"/>
      <c r="CS55" s="236"/>
      <c r="CT55" s="146"/>
      <c r="CU55" s="146"/>
      <c r="CV55" s="239"/>
      <c r="CW55" s="150"/>
      <c r="CX55" s="146"/>
      <c r="CY55" s="613">
        <f t="shared" si="6"/>
        <v>343.82</v>
      </c>
      <c r="CZ55" s="148">
        <f t="shared" si="7"/>
        <v>394.80503999999996</v>
      </c>
      <c r="DA55" s="36">
        <f>COUNT(BT55,BW55,BZ55,CI55,CL55,CO55,CR55,CU55,F55,I55,L55,O55,R55,U55,X55,AA55,AD55,AG55,AJ55,AM55,AP55,#REF!,AS55,AV55,AY55,BB55,BE55,BH55,BK55,BN55,BQ55,CC55,CF55,CX55,#REF!,#REF!,#REF!)</f>
        <v>6</v>
      </c>
      <c r="DB55" s="41">
        <f>SUM(CZ53:CZ55)</f>
        <v>394.80503999999996</v>
      </c>
      <c r="DD55" s="42"/>
    </row>
    <row r="56" spans="1:108" ht="16.5" thickBot="1" x14ac:dyDescent="0.3">
      <c r="A56" s="187"/>
      <c r="B56" s="186" t="s">
        <v>184</v>
      </c>
      <c r="C56" s="163" t="s">
        <v>0</v>
      </c>
      <c r="D56" s="137"/>
      <c r="E56" s="189"/>
      <c r="F56" s="164"/>
      <c r="G56" s="137"/>
      <c r="H56" s="189"/>
      <c r="I56" s="164"/>
      <c r="J56" s="137"/>
      <c r="K56" s="189"/>
      <c r="L56" s="164"/>
      <c r="M56" s="137"/>
      <c r="N56" s="189"/>
      <c r="O56" s="164"/>
      <c r="P56" s="137"/>
      <c r="Q56" s="189"/>
      <c r="R56" s="164"/>
      <c r="S56" s="137"/>
      <c r="T56" s="189"/>
      <c r="U56" s="164"/>
      <c r="V56" s="137"/>
      <c r="W56" s="189"/>
      <c r="X56" s="164"/>
      <c r="Y56" s="137"/>
      <c r="Z56" s="189"/>
      <c r="AA56" s="164"/>
      <c r="AB56" s="137">
        <v>2</v>
      </c>
      <c r="AC56" s="365">
        <v>1</v>
      </c>
      <c r="AD56" s="366">
        <v>13.03</v>
      </c>
      <c r="AE56" s="137"/>
      <c r="AF56" s="189"/>
      <c r="AG56" s="164"/>
      <c r="AH56" s="137"/>
      <c r="AI56" s="189"/>
      <c r="AJ56" s="164"/>
      <c r="AK56" s="137"/>
      <c r="AL56" s="189"/>
      <c r="AM56" s="164"/>
      <c r="AN56" s="137"/>
      <c r="AO56" s="189"/>
      <c r="AP56" s="164"/>
      <c r="AQ56" s="137"/>
      <c r="AR56" s="189"/>
      <c r="AS56" s="164"/>
      <c r="AT56" s="240"/>
      <c r="AU56" s="234"/>
      <c r="AV56" s="168"/>
      <c r="AW56" s="240"/>
      <c r="AX56" s="250"/>
      <c r="AY56" s="235"/>
      <c r="AZ56" s="249"/>
      <c r="BA56" s="250"/>
      <c r="BB56" s="168"/>
      <c r="BC56" s="240"/>
      <c r="BD56" s="144"/>
      <c r="BE56" s="235"/>
      <c r="BF56" s="240"/>
      <c r="BG56" s="144"/>
      <c r="BH56" s="235"/>
      <c r="BI56" s="240"/>
      <c r="BJ56" s="144"/>
      <c r="BK56" s="235"/>
      <c r="BL56" s="233"/>
      <c r="BM56" s="144"/>
      <c r="BN56" s="235"/>
      <c r="BO56" s="240"/>
      <c r="BP56" s="144"/>
      <c r="BQ56" s="235"/>
      <c r="BR56" s="240"/>
      <c r="BS56" s="144"/>
      <c r="BT56" s="235"/>
      <c r="BU56" s="240"/>
      <c r="BV56" s="144"/>
      <c r="BW56" s="235"/>
      <c r="BX56" s="240"/>
      <c r="BY56" s="144"/>
      <c r="BZ56" s="235"/>
      <c r="CA56" s="233"/>
      <c r="CB56" s="144"/>
      <c r="CC56" s="235"/>
      <c r="CD56" s="233"/>
      <c r="CE56" s="144"/>
      <c r="CF56" s="235"/>
      <c r="CG56" s="233"/>
      <c r="CH56" s="144"/>
      <c r="CI56" s="235"/>
      <c r="CJ56" s="233"/>
      <c r="CK56" s="144"/>
      <c r="CL56" s="235"/>
      <c r="CM56" s="233"/>
      <c r="CN56" s="168"/>
      <c r="CO56" s="168"/>
      <c r="CP56" s="233"/>
      <c r="CQ56" s="168"/>
      <c r="CR56" s="168"/>
      <c r="CS56" s="233"/>
      <c r="CT56" s="168"/>
      <c r="CU56" s="168"/>
      <c r="CV56" s="240"/>
      <c r="CW56" s="144"/>
      <c r="CX56" s="168"/>
      <c r="CY56" s="611">
        <f t="shared" si="6"/>
        <v>2</v>
      </c>
      <c r="CZ56" s="607">
        <f t="shared" si="7"/>
        <v>13.03</v>
      </c>
      <c r="DA56" s="36">
        <f>COUNT(BT56,BW56,BZ56,CI56,CL56,CO56,CR56,CU56,F56,I56,L56,O56,R56,U56,X56,AA56,AD56,AG56,AJ56,AM56,AP56,#REF!,AS56,AV56,AY56,BB56,BE56,BH56,BK56,BN56,BQ56,CC56,CF56,CX56,#REF!,#REF!,#REF!)</f>
        <v>1</v>
      </c>
      <c r="DB56" s="41"/>
      <c r="DD56" s="42"/>
    </row>
    <row r="57" spans="1:108" x14ac:dyDescent="0.25">
      <c r="A57" s="187"/>
      <c r="B57" s="187"/>
      <c r="C57" s="111" t="s">
        <v>34</v>
      </c>
      <c r="D57" s="29"/>
      <c r="E57" s="188"/>
      <c r="F57" s="33"/>
      <c r="G57" s="29"/>
      <c r="H57" s="188"/>
      <c r="I57" s="33"/>
      <c r="J57" s="29"/>
      <c r="K57" s="188"/>
      <c r="L57" s="33"/>
      <c r="M57" s="29"/>
      <c r="N57" s="188"/>
      <c r="O57" s="33"/>
      <c r="P57" s="29"/>
      <c r="Q57" s="188"/>
      <c r="R57" s="33"/>
      <c r="S57" s="29"/>
      <c r="T57" s="188"/>
      <c r="U57" s="33"/>
      <c r="V57" s="29"/>
      <c r="W57" s="188"/>
      <c r="X57" s="33"/>
      <c r="Y57" s="29"/>
      <c r="Z57" s="188"/>
      <c r="AA57" s="33"/>
      <c r="AB57" s="29"/>
      <c r="AC57" s="188"/>
      <c r="AD57" s="33"/>
      <c r="AE57" s="29"/>
      <c r="AF57" s="188"/>
      <c r="AG57" s="33"/>
      <c r="AH57" s="29"/>
      <c r="AI57" s="188"/>
      <c r="AJ57" s="33"/>
      <c r="AK57" s="29"/>
      <c r="AL57" s="188"/>
      <c r="AM57" s="33"/>
      <c r="AN57" s="29"/>
      <c r="AO57" s="188"/>
      <c r="AP57" s="33"/>
      <c r="AQ57" s="29"/>
      <c r="AR57" s="188"/>
      <c r="AS57" s="33"/>
      <c r="AT57" s="241"/>
      <c r="AU57" s="51"/>
      <c r="AV57" s="34"/>
      <c r="AW57" s="241"/>
      <c r="AX57" s="253"/>
      <c r="AY57" s="47"/>
      <c r="AZ57" s="252">
        <v>48.3</v>
      </c>
      <c r="BA57" s="445">
        <v>4</v>
      </c>
      <c r="BB57" s="444">
        <v>88.7</v>
      </c>
      <c r="BC57" s="241"/>
      <c r="BD57" s="59"/>
      <c r="BE57" s="47"/>
      <c r="BF57" s="241"/>
      <c r="BG57" s="59"/>
      <c r="BH57" s="47"/>
      <c r="BI57" s="241"/>
      <c r="BJ57" s="59"/>
      <c r="BK57" s="47"/>
      <c r="BL57" s="46"/>
      <c r="BM57" s="59"/>
      <c r="BN57" s="47"/>
      <c r="BO57" s="241"/>
      <c r="BP57" s="59"/>
      <c r="BQ57" s="47"/>
      <c r="BR57" s="241"/>
      <c r="BS57" s="59"/>
      <c r="BT57" s="47"/>
      <c r="BU57" s="241"/>
      <c r="BV57" s="59"/>
      <c r="BW57" s="47"/>
      <c r="BX57" s="241"/>
      <c r="BY57" s="59"/>
      <c r="BZ57" s="47"/>
      <c r="CA57" s="46"/>
      <c r="CB57" s="59"/>
      <c r="CC57" s="47"/>
      <c r="CD57" s="46"/>
      <c r="CE57" s="59"/>
      <c r="CF57" s="47"/>
      <c r="CG57" s="46"/>
      <c r="CH57" s="59"/>
      <c r="CI57" s="47"/>
      <c r="CJ57" s="46"/>
      <c r="CK57" s="59"/>
      <c r="CL57" s="47"/>
      <c r="CM57" s="46"/>
      <c r="CN57" s="34"/>
      <c r="CO57" s="34"/>
      <c r="CP57" s="46"/>
      <c r="CQ57" s="34"/>
      <c r="CR57" s="34"/>
      <c r="CS57" s="46"/>
      <c r="CT57" s="34"/>
      <c r="CU57" s="34"/>
      <c r="CV57" s="241"/>
      <c r="CW57" s="59"/>
      <c r="CX57" s="168"/>
      <c r="CY57" s="612">
        <f t="shared" si="6"/>
        <v>48.3</v>
      </c>
      <c r="CZ57" s="204">
        <f t="shared" si="7"/>
        <v>88.7</v>
      </c>
      <c r="DA57" s="36">
        <f>COUNT(BT57,BW57,BZ57,CI57,CL57,CO57,CR57,CU57,F57,I57,L57,O57,R57,U57,X57,AA57,AD57,AG57,AJ57,AM57,AP57,#REF!,AS57,AV57,AY57,BB57,BE57,BH57,BK57,BN57,BQ57,CC57,CF57,CX57,#REF!,#REF!,#REF!)</f>
        <v>1</v>
      </c>
      <c r="DB57" s="41"/>
      <c r="DD57" s="42"/>
    </row>
    <row r="58" spans="1:108" ht="17.25" customHeight="1" thickBot="1" x14ac:dyDescent="0.3">
      <c r="A58" s="187"/>
      <c r="B58" s="194"/>
      <c r="C58" s="167" t="s">
        <v>1</v>
      </c>
      <c r="D58" s="57"/>
      <c r="E58" s="193"/>
      <c r="F58" s="148"/>
      <c r="G58" s="57"/>
      <c r="H58" s="193"/>
      <c r="I58" s="148"/>
      <c r="J58" s="57"/>
      <c r="K58" s="193"/>
      <c r="L58" s="148"/>
      <c r="M58" s="57"/>
      <c r="N58" s="193"/>
      <c r="O58" s="148"/>
      <c r="P58" s="57"/>
      <c r="Q58" s="193"/>
      <c r="R58" s="148"/>
      <c r="S58" s="57"/>
      <c r="T58" s="193"/>
      <c r="U58" s="148"/>
      <c r="V58" s="57"/>
      <c r="W58" s="193"/>
      <c r="X58" s="148"/>
      <c r="Y58" s="57"/>
      <c r="Z58" s="193"/>
      <c r="AA58" s="148"/>
      <c r="AB58" s="57"/>
      <c r="AC58" s="193"/>
      <c r="AD58" s="148"/>
      <c r="AE58" s="57">
        <v>58.34</v>
      </c>
      <c r="AF58" s="362">
        <v>5</v>
      </c>
      <c r="AG58" s="363">
        <v>63.01</v>
      </c>
      <c r="AH58" s="57">
        <v>12.1</v>
      </c>
      <c r="AI58" s="362">
        <v>1</v>
      </c>
      <c r="AJ58" s="363">
        <v>13.1</v>
      </c>
      <c r="AK58" s="57"/>
      <c r="AL58" s="193"/>
      <c r="AM58" s="148"/>
      <c r="AN58" s="57"/>
      <c r="AO58" s="193"/>
      <c r="AP58" s="148"/>
      <c r="AQ58" s="57"/>
      <c r="AR58" s="193"/>
      <c r="AS58" s="148"/>
      <c r="AT58" s="239"/>
      <c r="AU58" s="237"/>
      <c r="AV58" s="238"/>
      <c r="AW58" s="239"/>
      <c r="AX58" s="247"/>
      <c r="AY58" s="173"/>
      <c r="AZ58" s="246"/>
      <c r="BA58" s="247"/>
      <c r="BB58" s="146"/>
      <c r="BC58" s="239"/>
      <c r="BD58" s="150"/>
      <c r="BE58" s="173"/>
      <c r="BF58" s="239">
        <v>51.2</v>
      </c>
      <c r="BG58" s="150">
        <v>4</v>
      </c>
      <c r="BH58" s="173">
        <f>BF58*1.2*1.2</f>
        <v>73.727999999999994</v>
      </c>
      <c r="BI58" s="239">
        <v>118.7</v>
      </c>
      <c r="BJ58" s="150">
        <v>8</v>
      </c>
      <c r="BK58" s="173">
        <f>BI58*0.99*1.2</f>
        <v>141.01560000000001</v>
      </c>
      <c r="BL58" s="236">
        <v>109.8</v>
      </c>
      <c r="BM58" s="150">
        <v>8</v>
      </c>
      <c r="BN58" s="173">
        <f>(78.4*0.74+31.4*0.68)*1.2</f>
        <v>95.241600000000005</v>
      </c>
      <c r="BO58" s="239"/>
      <c r="BP58" s="150"/>
      <c r="BQ58" s="173"/>
      <c r="BR58" s="239">
        <v>84.64</v>
      </c>
      <c r="BS58" s="150">
        <v>4</v>
      </c>
      <c r="BT58" s="173">
        <f>(71.72*0.99+12.92*0.68)*1.2</f>
        <v>95.746079999999992</v>
      </c>
      <c r="BU58" s="239">
        <v>36.42</v>
      </c>
      <c r="BV58" s="150">
        <v>2</v>
      </c>
      <c r="BW58" s="173">
        <f>BU58*1.41*1.2</f>
        <v>61.62263999999999</v>
      </c>
      <c r="BX58" s="239">
        <v>56.82</v>
      </c>
      <c r="BY58" s="150">
        <v>3</v>
      </c>
      <c r="BZ58" s="173">
        <f>(35.2*1.41+21.62*1.2)*1.2</f>
        <v>90.691199999999995</v>
      </c>
      <c r="CA58" s="478">
        <v>44.34</v>
      </c>
      <c r="CB58" s="518">
        <v>2</v>
      </c>
      <c r="CC58" s="519">
        <f>CA58*1.41*1.2</f>
        <v>75.02328</v>
      </c>
      <c r="CD58" s="523">
        <v>18.62</v>
      </c>
      <c r="CE58" s="150">
        <v>1</v>
      </c>
      <c r="CF58" s="173">
        <f>CD58*1.2*1.2</f>
        <v>26.812799999999999</v>
      </c>
      <c r="CG58" s="236"/>
      <c r="CH58" s="150"/>
      <c r="CI58" s="173"/>
      <c r="CJ58" s="582">
        <v>54.12</v>
      </c>
      <c r="CK58" s="150">
        <v>5</v>
      </c>
      <c r="CL58" s="173">
        <f>(18.9*0.99+35.22*0.99)*1.2</f>
        <v>64.29455999999999</v>
      </c>
      <c r="CM58" s="236"/>
      <c r="CN58" s="146"/>
      <c r="CO58" s="146"/>
      <c r="CP58" s="236"/>
      <c r="CQ58" s="146"/>
      <c r="CR58" s="146"/>
      <c r="CS58" s="236"/>
      <c r="CT58" s="146"/>
      <c r="CU58" s="146"/>
      <c r="CV58" s="236"/>
      <c r="CW58" s="150"/>
      <c r="CX58" s="146"/>
      <c r="CY58" s="613">
        <f t="shared" si="6"/>
        <v>645.1</v>
      </c>
      <c r="CZ58" s="148">
        <f t="shared" si="7"/>
        <v>800.28575999999998</v>
      </c>
      <c r="DA58" s="36">
        <f>COUNT(BT58,BW58,BZ58,CI58,CL58,CO58,CR58,CU58,F58,I58,L58,O58,R58,U58,X58,AA58,AD58,AG58,AJ58,AM58,AP58,#REF!,AS58,AV58,AY58,BB58,BE58,BH58,BK58,BN58,BQ58,CC58,CF58,CX58,#REF!,#REF!,#REF!)</f>
        <v>11</v>
      </c>
      <c r="DB58" s="41">
        <f>SUM(CZ56:CZ58)</f>
        <v>902.01576</v>
      </c>
      <c r="DD58" s="42"/>
    </row>
    <row r="59" spans="1:108" x14ac:dyDescent="0.25">
      <c r="A59" s="187">
        <v>291</v>
      </c>
      <c r="B59" s="186" t="s">
        <v>166</v>
      </c>
      <c r="C59" s="163" t="s">
        <v>0</v>
      </c>
      <c r="D59" s="137"/>
      <c r="E59" s="189"/>
      <c r="F59" s="164"/>
      <c r="G59" s="137"/>
      <c r="H59" s="189"/>
      <c r="I59" s="164"/>
      <c r="J59" s="137"/>
      <c r="K59" s="189"/>
      <c r="L59" s="164"/>
      <c r="M59" s="137"/>
      <c r="N59" s="189"/>
      <c r="O59" s="164"/>
      <c r="P59" s="137"/>
      <c r="Q59" s="189"/>
      <c r="R59" s="164"/>
      <c r="S59" s="137"/>
      <c r="T59" s="189"/>
      <c r="U59" s="164"/>
      <c r="V59" s="137"/>
      <c r="W59" s="189"/>
      <c r="X59" s="164"/>
      <c r="Y59" s="137"/>
      <c r="Z59" s="189"/>
      <c r="AA59" s="164"/>
      <c r="AB59" s="137"/>
      <c r="AC59" s="189"/>
      <c r="AD59" s="164"/>
      <c r="AE59" s="137"/>
      <c r="AF59" s="189"/>
      <c r="AG59" s="164"/>
      <c r="AH59" s="137"/>
      <c r="AI59" s="189"/>
      <c r="AJ59" s="164"/>
      <c r="AK59" s="137"/>
      <c r="AL59" s="189"/>
      <c r="AM59" s="164"/>
      <c r="AN59" s="137"/>
      <c r="AO59" s="189"/>
      <c r="AP59" s="164"/>
      <c r="AQ59" s="137"/>
      <c r="AR59" s="189"/>
      <c r="AS59" s="164"/>
      <c r="AT59" s="240"/>
      <c r="AU59" s="234"/>
      <c r="AV59" s="168"/>
      <c r="AW59" s="240"/>
      <c r="AX59" s="250"/>
      <c r="AY59" s="235"/>
      <c r="AZ59" s="249"/>
      <c r="BA59" s="250"/>
      <c r="BB59" s="168"/>
      <c r="BC59" s="240"/>
      <c r="BD59" s="144"/>
      <c r="BE59" s="235"/>
      <c r="BF59" s="240"/>
      <c r="BG59" s="144"/>
      <c r="BH59" s="235"/>
      <c r="BI59" s="240"/>
      <c r="BJ59" s="144"/>
      <c r="BK59" s="235"/>
      <c r="BL59" s="240"/>
      <c r="BM59" s="144"/>
      <c r="BN59" s="235"/>
      <c r="BO59" s="240"/>
      <c r="BP59" s="144"/>
      <c r="BQ59" s="235"/>
      <c r="BR59" s="240"/>
      <c r="BS59" s="144"/>
      <c r="BT59" s="235"/>
      <c r="BU59" s="240"/>
      <c r="BV59" s="144"/>
      <c r="BW59" s="235"/>
      <c r="BX59" s="240"/>
      <c r="BY59" s="144"/>
      <c r="BZ59" s="235"/>
      <c r="CA59" s="233"/>
      <c r="CB59" s="144"/>
      <c r="CC59" s="235"/>
      <c r="CD59" s="233"/>
      <c r="CE59" s="144"/>
      <c r="CF59" s="235"/>
      <c r="CG59" s="233"/>
      <c r="CH59" s="144"/>
      <c r="CI59" s="235"/>
      <c r="CJ59" s="233"/>
      <c r="CK59" s="144"/>
      <c r="CL59" s="235"/>
      <c r="CM59" s="233"/>
      <c r="CN59" s="168"/>
      <c r="CO59" s="168"/>
      <c r="CP59" s="233"/>
      <c r="CQ59" s="168"/>
      <c r="CR59" s="168"/>
      <c r="CS59" s="233"/>
      <c r="CT59" s="168"/>
      <c r="CU59" s="168"/>
      <c r="CV59" s="233"/>
      <c r="CW59" s="144"/>
      <c r="CX59" s="168"/>
      <c r="CY59" s="611">
        <f t="shared" si="6"/>
        <v>0</v>
      </c>
      <c r="CZ59" s="607">
        <f t="shared" si="7"/>
        <v>0</v>
      </c>
      <c r="DA59" s="36">
        <f>COUNT(BT59,BW59,BZ59,CI59,CL59,CO59,CR59,CU59,F59,I59,L59,O59,R59,U59,X59,AA59,AD59,AG59,AJ59,AM59,AP59,#REF!,AS59,AV59,AY59,BB59,BE59,BH59,BK59,BN59,BQ59,CC59,CF59,CX59,#REF!,#REF!,#REF!)</f>
        <v>0</v>
      </c>
      <c r="DB59" s="41"/>
      <c r="DD59" s="42"/>
    </row>
    <row r="60" spans="1:108" x14ac:dyDescent="0.25">
      <c r="A60" s="187"/>
      <c r="B60" s="187"/>
      <c r="C60" s="111" t="s">
        <v>34</v>
      </c>
      <c r="D60" s="29"/>
      <c r="E60" s="188"/>
      <c r="F60" s="33"/>
      <c r="G60" s="29"/>
      <c r="H60" s="188"/>
      <c r="I60" s="33"/>
      <c r="J60" s="29"/>
      <c r="K60" s="188"/>
      <c r="L60" s="33"/>
      <c r="M60" s="29"/>
      <c r="N60" s="188"/>
      <c r="O60" s="33"/>
      <c r="P60" s="29"/>
      <c r="Q60" s="188"/>
      <c r="R60" s="33"/>
      <c r="S60" s="29"/>
      <c r="T60" s="188"/>
      <c r="U60" s="33"/>
      <c r="V60" s="29"/>
      <c r="W60" s="188"/>
      <c r="X60" s="33"/>
      <c r="Y60" s="29"/>
      <c r="Z60" s="188"/>
      <c r="AA60" s="33"/>
      <c r="AB60" s="29"/>
      <c r="AC60" s="188"/>
      <c r="AD60" s="33"/>
      <c r="AE60" s="29"/>
      <c r="AF60" s="188"/>
      <c r="AG60" s="33"/>
      <c r="AH60" s="29"/>
      <c r="AI60" s="188"/>
      <c r="AJ60" s="33"/>
      <c r="AK60" s="29"/>
      <c r="AL60" s="188"/>
      <c r="AM60" s="33"/>
      <c r="AN60" s="29"/>
      <c r="AO60" s="188"/>
      <c r="AP60" s="33"/>
      <c r="AQ60" s="29"/>
      <c r="AR60" s="188"/>
      <c r="AS60" s="33"/>
      <c r="AT60" s="241"/>
      <c r="AU60" s="51"/>
      <c r="AV60" s="34"/>
      <c r="AW60" s="241"/>
      <c r="AX60" s="253"/>
      <c r="AY60" s="47"/>
      <c r="AZ60" s="252"/>
      <c r="BA60" s="253"/>
      <c r="BB60" s="34"/>
      <c r="BC60" s="241"/>
      <c r="BD60" s="59"/>
      <c r="BE60" s="47"/>
      <c r="BF60" s="241"/>
      <c r="BG60" s="59"/>
      <c r="BH60" s="47"/>
      <c r="BI60" s="241"/>
      <c r="BJ60" s="59"/>
      <c r="BK60" s="47"/>
      <c r="BL60" s="241"/>
      <c r="BM60" s="59"/>
      <c r="BN60" s="47"/>
      <c r="BO60" s="241"/>
      <c r="BP60" s="59"/>
      <c r="BQ60" s="47"/>
      <c r="BR60" s="241"/>
      <c r="BS60" s="59"/>
      <c r="BT60" s="47"/>
      <c r="BU60" s="241"/>
      <c r="BV60" s="59"/>
      <c r="BW60" s="47"/>
      <c r="BX60" s="241"/>
      <c r="BY60" s="59"/>
      <c r="BZ60" s="47"/>
      <c r="CA60" s="241"/>
      <c r="CB60" s="59"/>
      <c r="CC60" s="254"/>
      <c r="CD60" s="241"/>
      <c r="CE60" s="59"/>
      <c r="CF60" s="47"/>
      <c r="CG60" s="241"/>
      <c r="CH60" s="59"/>
      <c r="CI60" s="47"/>
      <c r="CJ60" s="241"/>
      <c r="CK60" s="59"/>
      <c r="CL60" s="47"/>
      <c r="CM60" s="241"/>
      <c r="CN60" s="34"/>
      <c r="CO60" s="34"/>
      <c r="CP60" s="241"/>
      <c r="CQ60" s="34"/>
      <c r="CR60" s="34"/>
      <c r="CS60" s="241"/>
      <c r="CT60" s="34"/>
      <c r="CU60" s="34"/>
      <c r="CV60" s="46"/>
      <c r="CW60" s="59"/>
      <c r="CX60" s="34"/>
      <c r="CY60" s="612">
        <f t="shared" si="6"/>
        <v>0</v>
      </c>
      <c r="CZ60" s="204">
        <f t="shared" si="7"/>
        <v>0</v>
      </c>
      <c r="DA60" s="36">
        <f>COUNT(BT60,BW60,BZ60,CI60,CL60,CO60,CR60,CU60,F60,I60,L60,O60,R60,U60,X60,AA60,AD60,AG60,AJ60,AM60,AP60,#REF!,AS60,AV60,AY60,BB60,BE60,BH60,BK60,BN60,BQ60,CC60,CF60,CX60,#REF!,#REF!,#REF!)</f>
        <v>0</v>
      </c>
      <c r="DB60" s="41"/>
      <c r="DD60" s="42"/>
    </row>
    <row r="61" spans="1:108" ht="16.5" thickBot="1" x14ac:dyDescent="0.3">
      <c r="A61" s="187"/>
      <c r="B61" s="194"/>
      <c r="C61" s="167" t="s">
        <v>1</v>
      </c>
      <c r="D61" s="57"/>
      <c r="E61" s="193"/>
      <c r="F61" s="148"/>
      <c r="G61" s="57"/>
      <c r="H61" s="193"/>
      <c r="I61" s="148"/>
      <c r="J61" s="57"/>
      <c r="K61" s="193"/>
      <c r="L61" s="148"/>
      <c r="M61" s="57"/>
      <c r="N61" s="193"/>
      <c r="O61" s="148"/>
      <c r="P61" s="524">
        <v>48.5</v>
      </c>
      <c r="Q61" s="525"/>
      <c r="R61" s="526">
        <v>38.01</v>
      </c>
      <c r="S61" s="57"/>
      <c r="T61" s="193"/>
      <c r="U61" s="148"/>
      <c r="V61" s="57"/>
      <c r="W61" s="193"/>
      <c r="X61" s="148"/>
      <c r="Y61" s="524">
        <v>53.64</v>
      </c>
      <c r="Z61" s="193">
        <v>4</v>
      </c>
      <c r="AA61" s="148">
        <v>85.95</v>
      </c>
      <c r="AB61" s="57"/>
      <c r="AC61" s="193"/>
      <c r="AD61" s="148"/>
      <c r="AE61" s="57"/>
      <c r="AF61" s="193"/>
      <c r="AG61" s="148"/>
      <c r="AH61" s="57"/>
      <c r="AI61" s="193"/>
      <c r="AJ61" s="148"/>
      <c r="AK61" s="57"/>
      <c r="AL61" s="193"/>
      <c r="AM61" s="148"/>
      <c r="AN61" s="364">
        <v>60.7</v>
      </c>
      <c r="AO61" s="362">
        <v>6</v>
      </c>
      <c r="AP61" s="363">
        <v>65.5</v>
      </c>
      <c r="AQ61" s="57"/>
      <c r="AR61" s="193"/>
      <c r="AS61" s="148"/>
      <c r="AT61" s="194">
        <v>72.88</v>
      </c>
      <c r="AU61" s="440">
        <v>6</v>
      </c>
      <c r="AV61" s="438">
        <v>95.32</v>
      </c>
      <c r="AW61" s="194">
        <v>75.459999999999994</v>
      </c>
      <c r="AX61" s="455">
        <v>6</v>
      </c>
      <c r="AY61" s="439">
        <v>85.31</v>
      </c>
      <c r="AZ61" s="244">
        <v>95.02</v>
      </c>
      <c r="BA61" s="455">
        <v>7</v>
      </c>
      <c r="BB61" s="453">
        <v>102.6</v>
      </c>
      <c r="BC61" s="194">
        <v>13.8</v>
      </c>
      <c r="BD61" s="476">
        <v>2</v>
      </c>
      <c r="BE61" s="363">
        <v>16.399999999999999</v>
      </c>
      <c r="BF61" s="194">
        <v>89.08</v>
      </c>
      <c r="BG61" s="476">
        <v>7</v>
      </c>
      <c r="BH61" s="363">
        <f>BF61*0.99*1.2</f>
        <v>105.82704</v>
      </c>
      <c r="BI61" s="194">
        <v>71.52</v>
      </c>
      <c r="BJ61" s="476">
        <v>7</v>
      </c>
      <c r="BK61" s="363">
        <f>BI61*1.2*1.2</f>
        <v>102.9888</v>
      </c>
      <c r="BL61" s="194">
        <v>116.82</v>
      </c>
      <c r="BM61" s="150">
        <v>9</v>
      </c>
      <c r="BN61" s="148">
        <f>(101.94*0.68+14.88*1.2)*1.2</f>
        <v>104.61024000000002</v>
      </c>
      <c r="BO61" s="194">
        <v>109.62</v>
      </c>
      <c r="BP61" s="150">
        <v>8</v>
      </c>
      <c r="BQ61" s="148">
        <f>(36.8*0.99+72.82*0.74)*1.2</f>
        <v>108.38255999999997</v>
      </c>
      <c r="BR61" s="194"/>
      <c r="BS61" s="150"/>
      <c r="BT61" s="148"/>
      <c r="BU61" s="194">
        <v>27.7</v>
      </c>
      <c r="BV61" s="150">
        <v>3</v>
      </c>
      <c r="BW61" s="148">
        <f>BU61*1.41*1.2</f>
        <v>46.868399999999994</v>
      </c>
      <c r="BX61" s="194">
        <v>43.36</v>
      </c>
      <c r="BY61" s="150">
        <v>4</v>
      </c>
      <c r="BZ61" s="148">
        <f>(24.86*1.41+18.5*1.2)*1.2</f>
        <v>68.703119999999998</v>
      </c>
      <c r="CA61" s="194">
        <v>54.62</v>
      </c>
      <c r="CB61" s="150">
        <v>4</v>
      </c>
      <c r="CC61" s="148">
        <f>CA61*0.99*1.2</f>
        <v>64.888559999999998</v>
      </c>
      <c r="CD61" s="194"/>
      <c r="CE61" s="150"/>
      <c r="CF61" s="148"/>
      <c r="CG61" s="194">
        <v>23.34</v>
      </c>
      <c r="CH61" s="150">
        <v>2</v>
      </c>
      <c r="CI61" s="148">
        <f>(9.64*0.99+13.7*0.68)*1.2</f>
        <v>22.631519999999998</v>
      </c>
      <c r="CJ61" s="194">
        <v>42.76</v>
      </c>
      <c r="CK61" s="150">
        <v>4</v>
      </c>
      <c r="CL61" s="148">
        <f>(11.76*0.99+31*0.74)*1.2</f>
        <v>41.49888</v>
      </c>
      <c r="CM61" s="194"/>
      <c r="CN61" s="146"/>
      <c r="CO61" s="146"/>
      <c r="CP61" s="194"/>
      <c r="CQ61" s="146"/>
      <c r="CR61" s="146"/>
      <c r="CS61" s="194"/>
      <c r="CT61" s="146"/>
      <c r="CU61" s="146"/>
      <c r="CV61" s="48"/>
      <c r="CW61" s="150"/>
      <c r="CX61" s="238"/>
      <c r="CY61" s="613">
        <f t="shared" si="6"/>
        <v>998.82000000000016</v>
      </c>
      <c r="CZ61" s="148">
        <f t="shared" si="7"/>
        <v>1155.48912</v>
      </c>
      <c r="DA61" s="36">
        <f>COUNT(BT61,BW61,BZ61,CI61,CL61,CO61,CR61,CU61,F61,I61,L61,O61,R61,U61,X61,AA61,AD61,AG61,AJ61,AM61,AP61,#REF!,AS61,AV61,AY61,BB61,BE61,BH61,BK61,BN61,BQ61,CC61,CF61,CX61,#REF!,#REF!,#REF!)</f>
        <v>16</v>
      </c>
      <c r="DB61" s="41">
        <f>SUM(CZ59:CZ61)</f>
        <v>1155.48912</v>
      </c>
      <c r="DD61" s="42"/>
    </row>
    <row r="62" spans="1:108" x14ac:dyDescent="0.25">
      <c r="A62" s="187">
        <v>291</v>
      </c>
      <c r="B62" s="186" t="s">
        <v>182</v>
      </c>
      <c r="C62" s="163" t="s">
        <v>0</v>
      </c>
      <c r="D62" s="137"/>
      <c r="E62" s="189"/>
      <c r="F62" s="164"/>
      <c r="G62" s="137"/>
      <c r="H62" s="189"/>
      <c r="I62" s="164"/>
      <c r="J62" s="137"/>
      <c r="K62" s="189"/>
      <c r="L62" s="164"/>
      <c r="M62" s="137"/>
      <c r="N62" s="189"/>
      <c r="O62" s="164"/>
      <c r="P62" s="137"/>
      <c r="Q62" s="189"/>
      <c r="R62" s="164"/>
      <c r="S62" s="137"/>
      <c r="T62" s="189"/>
      <c r="U62" s="164"/>
      <c r="V62" s="137"/>
      <c r="W62" s="189"/>
      <c r="X62" s="164"/>
      <c r="Y62" s="137"/>
      <c r="Z62" s="189"/>
      <c r="AA62" s="164"/>
      <c r="AB62" s="137"/>
      <c r="AC62" s="189"/>
      <c r="AD62" s="164"/>
      <c r="AE62" s="137"/>
      <c r="AF62" s="189"/>
      <c r="AG62" s="164"/>
      <c r="AH62" s="137"/>
      <c r="AI62" s="189"/>
      <c r="AJ62" s="164"/>
      <c r="AK62" s="137"/>
      <c r="AL62" s="189"/>
      <c r="AM62" s="164"/>
      <c r="AN62" s="137"/>
      <c r="AO62" s="189"/>
      <c r="AP62" s="164"/>
      <c r="AQ62" s="137"/>
      <c r="AR62" s="189"/>
      <c r="AS62" s="164"/>
      <c r="AT62" s="240"/>
      <c r="AU62" s="234"/>
      <c r="AV62" s="168"/>
      <c r="AW62" s="240"/>
      <c r="AX62" s="250"/>
      <c r="AY62" s="235"/>
      <c r="AZ62" s="249"/>
      <c r="BA62" s="250"/>
      <c r="BB62" s="168"/>
      <c r="BC62" s="240"/>
      <c r="BD62" s="144"/>
      <c r="BE62" s="235"/>
      <c r="BF62" s="240"/>
      <c r="BG62" s="144"/>
      <c r="BH62" s="235"/>
      <c r="BI62" s="240"/>
      <c r="BJ62" s="144"/>
      <c r="BK62" s="235"/>
      <c r="BL62" s="240"/>
      <c r="BM62" s="144"/>
      <c r="BN62" s="235"/>
      <c r="BO62" s="240"/>
      <c r="BP62" s="144"/>
      <c r="BQ62" s="235"/>
      <c r="BR62" s="240"/>
      <c r="BS62" s="144"/>
      <c r="BT62" s="235"/>
      <c r="BU62" s="240"/>
      <c r="BV62" s="144"/>
      <c r="BW62" s="235"/>
      <c r="BX62" s="240"/>
      <c r="BY62" s="144"/>
      <c r="BZ62" s="235"/>
      <c r="CA62" s="233"/>
      <c r="CB62" s="144"/>
      <c r="CC62" s="235"/>
      <c r="CD62" s="233"/>
      <c r="CE62" s="144"/>
      <c r="CF62" s="235"/>
      <c r="CG62" s="233"/>
      <c r="CH62" s="144"/>
      <c r="CI62" s="235"/>
      <c r="CJ62" s="233"/>
      <c r="CK62" s="144"/>
      <c r="CL62" s="235"/>
      <c r="CM62" s="233"/>
      <c r="CN62" s="168"/>
      <c r="CO62" s="168"/>
      <c r="CP62" s="233"/>
      <c r="CQ62" s="168"/>
      <c r="CR62" s="168"/>
      <c r="CS62" s="233"/>
      <c r="CT62" s="168"/>
      <c r="CU62" s="168"/>
      <c r="CV62" s="233"/>
      <c r="CW62" s="144"/>
      <c r="CX62" s="168"/>
      <c r="CY62" s="611">
        <f t="shared" si="6"/>
        <v>0</v>
      </c>
      <c r="CZ62" s="607">
        <f t="shared" si="7"/>
        <v>0</v>
      </c>
      <c r="DA62" s="36">
        <f>COUNT(BT62,BW62,BZ62,CI62,CL62,CO62,CR62,CU62,F62,I62,L62,O62,R62,U62,X62,AA62,AD62,AG62,AJ62,AM62,AP62,#REF!,AS62,AV62,AY62,BB62,BE62,BH62,BK62,BN62,BQ62,CC62,CF62,CX62,#REF!,#REF!,#REF!)</f>
        <v>0</v>
      </c>
      <c r="DB62" s="41"/>
      <c r="DD62" s="42"/>
    </row>
    <row r="63" spans="1:108" x14ac:dyDescent="0.25">
      <c r="A63" s="187"/>
      <c r="B63" s="187"/>
      <c r="C63" s="111" t="s">
        <v>34</v>
      </c>
      <c r="D63" s="29"/>
      <c r="E63" s="188"/>
      <c r="F63" s="33"/>
      <c r="G63" s="29"/>
      <c r="H63" s="188"/>
      <c r="I63" s="33"/>
      <c r="J63" s="29"/>
      <c r="K63" s="188"/>
      <c r="L63" s="33"/>
      <c r="M63" s="29"/>
      <c r="N63" s="188"/>
      <c r="O63" s="33"/>
      <c r="P63" s="29"/>
      <c r="Q63" s="188"/>
      <c r="R63" s="33"/>
      <c r="S63" s="29"/>
      <c r="T63" s="188"/>
      <c r="U63" s="33"/>
      <c r="V63" s="29"/>
      <c r="W63" s="188"/>
      <c r="X63" s="33"/>
      <c r="Y63" s="29"/>
      <c r="Z63" s="188"/>
      <c r="AA63" s="33"/>
      <c r="AB63" s="29"/>
      <c r="AC63" s="188"/>
      <c r="AD63" s="33"/>
      <c r="AE63" s="29">
        <v>49.9</v>
      </c>
      <c r="AF63" s="368">
        <v>5</v>
      </c>
      <c r="AG63" s="369">
        <v>106.71</v>
      </c>
      <c r="AH63" s="29"/>
      <c r="AI63" s="188"/>
      <c r="AJ63" s="33"/>
      <c r="AK63" s="29"/>
      <c r="AL63" s="188"/>
      <c r="AM63" s="33"/>
      <c r="AN63" s="29"/>
      <c r="AO63" s="188"/>
      <c r="AP63" s="33"/>
      <c r="AQ63" s="29"/>
      <c r="AR63" s="188"/>
      <c r="AS63" s="33"/>
      <c r="AT63" s="241"/>
      <c r="AU63" s="51"/>
      <c r="AV63" s="34"/>
      <c r="AW63" s="241"/>
      <c r="AX63" s="58"/>
      <c r="AY63" s="47"/>
      <c r="AZ63" s="252"/>
      <c r="BA63" s="253"/>
      <c r="BB63" s="34"/>
      <c r="BC63" s="241"/>
      <c r="BD63" s="59"/>
      <c r="BE63" s="47"/>
      <c r="BF63" s="241"/>
      <c r="BG63" s="59"/>
      <c r="BH63" s="47"/>
      <c r="BI63" s="241"/>
      <c r="BJ63" s="59"/>
      <c r="BK63" s="47"/>
      <c r="BL63" s="241"/>
      <c r="BM63" s="59"/>
      <c r="BN63" s="47"/>
      <c r="BO63" s="241"/>
      <c r="BP63" s="59"/>
      <c r="BQ63" s="47"/>
      <c r="BR63" s="241"/>
      <c r="BS63" s="59"/>
      <c r="BT63" s="47"/>
      <c r="BU63" s="241"/>
      <c r="BV63" s="59"/>
      <c r="BW63" s="47"/>
      <c r="BX63" s="241"/>
      <c r="BY63" s="59"/>
      <c r="BZ63" s="47"/>
      <c r="CA63" s="241"/>
      <c r="CB63" s="59"/>
      <c r="CC63" s="254"/>
      <c r="CD63" s="241"/>
      <c r="CE63" s="59"/>
      <c r="CF63" s="47"/>
      <c r="CG63" s="241"/>
      <c r="CH63" s="59"/>
      <c r="CI63" s="47"/>
      <c r="CJ63" s="241"/>
      <c r="CK63" s="59"/>
      <c r="CL63" s="47"/>
      <c r="CM63" s="241"/>
      <c r="CN63" s="34"/>
      <c r="CO63" s="34"/>
      <c r="CP63" s="241"/>
      <c r="CQ63" s="34"/>
      <c r="CR63" s="34"/>
      <c r="CS63" s="241"/>
      <c r="CT63" s="34"/>
      <c r="CU63" s="34"/>
      <c r="CV63" s="46"/>
      <c r="CW63" s="59"/>
      <c r="CX63" s="34"/>
      <c r="CY63" s="612">
        <f t="shared" si="6"/>
        <v>49.9</v>
      </c>
      <c r="CZ63" s="204">
        <f t="shared" si="7"/>
        <v>106.71</v>
      </c>
      <c r="DA63" s="36">
        <f>COUNT(BT63,BW63,BZ63,CI63,CL63,CO63,CR63,CU63,F63,I63,L63,O63,R63,U63,X63,AA63,AD63,AG63,AJ63,AM63,AP63,#REF!,AS63,AV63,AY63,BB63,BE63,BH63,BK63,BN63,BQ63,CC63,CF63,CX63,#REF!,#REF!,#REF!)</f>
        <v>1</v>
      </c>
      <c r="DB63" s="41"/>
      <c r="DD63" s="42"/>
    </row>
    <row r="64" spans="1:108" ht="16.5" thickBot="1" x14ac:dyDescent="0.3">
      <c r="A64" s="187"/>
      <c r="B64" s="194"/>
      <c r="C64" s="167" t="s">
        <v>1</v>
      </c>
      <c r="D64" s="57"/>
      <c r="E64" s="193"/>
      <c r="F64" s="148"/>
      <c r="G64" s="57"/>
      <c r="H64" s="193"/>
      <c r="I64" s="148"/>
      <c r="J64" s="57"/>
      <c r="K64" s="193"/>
      <c r="L64" s="148"/>
      <c r="M64" s="57"/>
      <c r="N64" s="193"/>
      <c r="O64" s="148"/>
      <c r="P64" s="57"/>
      <c r="Q64" s="193"/>
      <c r="R64" s="148"/>
      <c r="S64" s="57">
        <v>42.14</v>
      </c>
      <c r="T64" s="193">
        <v>3</v>
      </c>
      <c r="U64" s="148">
        <f>S64*1.5*1.2</f>
        <v>75.852000000000004</v>
      </c>
      <c r="V64" s="57"/>
      <c r="W64" s="193"/>
      <c r="X64" s="148"/>
      <c r="Y64" s="57"/>
      <c r="Z64" s="362"/>
      <c r="AA64" s="363"/>
      <c r="AB64" s="57"/>
      <c r="AC64" s="193"/>
      <c r="AD64" s="148"/>
      <c r="AE64" s="57"/>
      <c r="AF64" s="193"/>
      <c r="AG64" s="148"/>
      <c r="AH64" s="57">
        <v>99.38</v>
      </c>
      <c r="AI64" s="362">
        <v>8</v>
      </c>
      <c r="AJ64" s="363">
        <v>79.900000000000006</v>
      </c>
      <c r="AK64" s="57">
        <v>161.34</v>
      </c>
      <c r="AL64" s="362">
        <v>11</v>
      </c>
      <c r="AM64" s="363">
        <v>129.69999999999999</v>
      </c>
      <c r="AN64" s="57"/>
      <c r="AO64" s="193"/>
      <c r="AP64" s="148"/>
      <c r="AQ64" s="57"/>
      <c r="AR64" s="193"/>
      <c r="AS64" s="148"/>
      <c r="AT64" s="194"/>
      <c r="AU64" s="237"/>
      <c r="AV64" s="146"/>
      <c r="AW64" s="194"/>
      <c r="AX64" s="149"/>
      <c r="AY64" s="173"/>
      <c r="AZ64" s="244"/>
      <c r="BA64" s="247"/>
      <c r="BB64" s="238"/>
      <c r="BC64" s="194"/>
      <c r="BD64" s="150"/>
      <c r="BE64" s="148"/>
      <c r="BF64" s="194"/>
      <c r="BG64" s="150"/>
      <c r="BH64" s="148"/>
      <c r="BI64" s="194"/>
      <c r="BJ64" s="150"/>
      <c r="BK64" s="148"/>
      <c r="BL64" s="194"/>
      <c r="BM64" s="150"/>
      <c r="BN64" s="148"/>
      <c r="BO64" s="194"/>
      <c r="BP64" s="150"/>
      <c r="BQ64" s="148"/>
      <c r="BR64" s="194"/>
      <c r="BS64" s="150"/>
      <c r="BT64" s="148"/>
      <c r="BU64" s="194"/>
      <c r="BV64" s="150"/>
      <c r="BW64" s="148"/>
      <c r="BX64" s="194"/>
      <c r="BY64" s="150"/>
      <c r="BZ64" s="148"/>
      <c r="CA64" s="194"/>
      <c r="CB64" s="150"/>
      <c r="CC64" s="148"/>
      <c r="CD64" s="194"/>
      <c r="CE64" s="150"/>
      <c r="CF64" s="148"/>
      <c r="CG64" s="194"/>
      <c r="CH64" s="150"/>
      <c r="CI64" s="148"/>
      <c r="CJ64" s="194"/>
      <c r="CK64" s="150"/>
      <c r="CL64" s="148"/>
      <c r="CM64" s="194"/>
      <c r="CN64" s="146"/>
      <c r="CO64" s="146"/>
      <c r="CP64" s="194"/>
      <c r="CQ64" s="146"/>
      <c r="CR64" s="146"/>
      <c r="CS64" s="194"/>
      <c r="CT64" s="146"/>
      <c r="CU64" s="146"/>
      <c r="CV64" s="48"/>
      <c r="CW64" s="150"/>
      <c r="CX64" s="238"/>
      <c r="CY64" s="613">
        <f t="shared" si="6"/>
        <v>302.86</v>
      </c>
      <c r="CZ64" s="148">
        <f t="shared" si="7"/>
        <v>285.452</v>
      </c>
      <c r="DA64" s="36">
        <f>COUNT(BT64,BW64,BZ64,CI64,CL64,CO64,CR64,CU64,F64,I64,L64,O64,R64,U64,X64,AA64,AD64,AG64,AJ64,AM64,AP64,#REF!,AS64,AV64,AY64,BB64,BE64,BH64,BK64,BN64,BQ64,CC64,CF64,CX64,#REF!,#REF!,#REF!)</f>
        <v>3</v>
      </c>
      <c r="DB64" s="41">
        <f>SUM(CZ62:CZ64)</f>
        <v>392.16199999999998</v>
      </c>
      <c r="DD64" s="42"/>
    </row>
    <row r="65" spans="1:108" x14ac:dyDescent="0.25">
      <c r="A65" s="187"/>
      <c r="B65" s="186" t="s">
        <v>180</v>
      </c>
      <c r="C65" s="163" t="s">
        <v>0</v>
      </c>
      <c r="D65" s="137"/>
      <c r="E65" s="189"/>
      <c r="F65" s="164"/>
      <c r="G65" s="137"/>
      <c r="H65" s="189"/>
      <c r="I65" s="164"/>
      <c r="J65" s="137"/>
      <c r="K65" s="189"/>
      <c r="L65" s="164"/>
      <c r="M65" s="137"/>
      <c r="N65" s="189"/>
      <c r="O65" s="164"/>
      <c r="P65" s="137"/>
      <c r="Q65" s="189"/>
      <c r="R65" s="164"/>
      <c r="S65" s="137"/>
      <c r="T65" s="189"/>
      <c r="U65" s="164"/>
      <c r="V65" s="137"/>
      <c r="W65" s="189"/>
      <c r="X65" s="164"/>
      <c r="Y65" s="137"/>
      <c r="Z65" s="189"/>
      <c r="AA65" s="164"/>
      <c r="AB65" s="137"/>
      <c r="AC65" s="189"/>
      <c r="AD65" s="164"/>
      <c r="AE65" s="137"/>
      <c r="AF65" s="189"/>
      <c r="AG65" s="164"/>
      <c r="AH65" s="137"/>
      <c r="AI65" s="189"/>
      <c r="AJ65" s="164"/>
      <c r="AK65" s="137"/>
      <c r="AL65" s="189"/>
      <c r="AM65" s="164"/>
      <c r="AN65" s="137"/>
      <c r="AO65" s="189"/>
      <c r="AP65" s="164"/>
      <c r="AQ65" s="137"/>
      <c r="AR65" s="189"/>
      <c r="AS65" s="164"/>
      <c r="AT65" s="240"/>
      <c r="AU65" s="234"/>
      <c r="AV65" s="168"/>
      <c r="AW65" s="240"/>
      <c r="AX65" s="165"/>
      <c r="AY65" s="235"/>
      <c r="AZ65" s="249"/>
      <c r="BA65" s="250"/>
      <c r="BB65" s="168"/>
      <c r="BC65" s="240"/>
      <c r="BD65" s="144"/>
      <c r="BE65" s="235"/>
      <c r="BF65" s="240"/>
      <c r="BG65" s="144"/>
      <c r="BH65" s="235"/>
      <c r="BI65" s="240"/>
      <c r="BJ65" s="144"/>
      <c r="BK65" s="235"/>
      <c r="BL65" s="240"/>
      <c r="BM65" s="144"/>
      <c r="BN65" s="235"/>
      <c r="BO65" s="240"/>
      <c r="BP65" s="144"/>
      <c r="BQ65" s="235"/>
      <c r="BR65" s="240"/>
      <c r="BS65" s="144"/>
      <c r="BT65" s="235"/>
      <c r="BU65" s="240"/>
      <c r="BV65" s="144"/>
      <c r="BW65" s="235"/>
      <c r="BX65" s="240"/>
      <c r="BY65" s="144"/>
      <c r="BZ65" s="235"/>
      <c r="CA65" s="233"/>
      <c r="CB65" s="144"/>
      <c r="CC65" s="235"/>
      <c r="CD65" s="233"/>
      <c r="CE65" s="144"/>
      <c r="CF65" s="235"/>
      <c r="CG65" s="233"/>
      <c r="CH65" s="144"/>
      <c r="CI65" s="235"/>
      <c r="CJ65" s="233"/>
      <c r="CK65" s="144"/>
      <c r="CL65" s="235"/>
      <c r="CM65" s="233"/>
      <c r="CN65" s="168"/>
      <c r="CO65" s="168"/>
      <c r="CP65" s="233"/>
      <c r="CQ65" s="168"/>
      <c r="CR65" s="168"/>
      <c r="CS65" s="233"/>
      <c r="CT65" s="168"/>
      <c r="CU65" s="168"/>
      <c r="CV65" s="233"/>
      <c r="CW65" s="144"/>
      <c r="CX65" s="168"/>
      <c r="CY65" s="611">
        <f t="shared" si="6"/>
        <v>0</v>
      </c>
      <c r="CZ65" s="607">
        <f t="shared" si="7"/>
        <v>0</v>
      </c>
      <c r="DA65" s="36">
        <f>COUNT(BT65,BW65,BZ65,CI65,CL65,CO65,CR65,CU65,F65,I65,L65,O65,R65,U65,X65,AA65,AD65,AG65,AJ65,AM65,AP65,#REF!,AS65,AV65,AY65,BB65,BE65,BH65,BK65,BN65,BQ65,CC65,CF65,CX65,#REF!,#REF!,#REF!)</f>
        <v>0</v>
      </c>
      <c r="DB65" s="41"/>
      <c r="DD65" s="42"/>
    </row>
    <row r="66" spans="1:108" x14ac:dyDescent="0.25">
      <c r="A66" s="187"/>
      <c r="B66" s="187"/>
      <c r="C66" s="111" t="s">
        <v>34</v>
      </c>
      <c r="D66" s="29"/>
      <c r="E66" s="188"/>
      <c r="F66" s="33"/>
      <c r="G66" s="29"/>
      <c r="H66" s="188"/>
      <c r="I66" s="33"/>
      <c r="J66" s="29"/>
      <c r="K66" s="188"/>
      <c r="L66" s="33"/>
      <c r="M66" s="29"/>
      <c r="N66" s="188"/>
      <c r="O66" s="33"/>
      <c r="P66" s="29"/>
      <c r="Q66" s="188"/>
      <c r="R66" s="33"/>
      <c r="S66" s="29"/>
      <c r="T66" s="188"/>
      <c r="U66" s="33"/>
      <c r="V66" s="29"/>
      <c r="W66" s="188"/>
      <c r="X66" s="33"/>
      <c r="Y66" s="29"/>
      <c r="Z66" s="188"/>
      <c r="AA66" s="33"/>
      <c r="AB66" s="29"/>
      <c r="AC66" s="188"/>
      <c r="AD66" s="33"/>
      <c r="AE66" s="29"/>
      <c r="AF66" s="188"/>
      <c r="AG66" s="33"/>
      <c r="AH66" s="29"/>
      <c r="AI66" s="188"/>
      <c r="AJ66" s="33"/>
      <c r="AK66" s="29"/>
      <c r="AL66" s="188"/>
      <c r="AM66" s="33"/>
      <c r="AN66" s="29"/>
      <c r="AO66" s="188"/>
      <c r="AP66" s="33"/>
      <c r="AQ66" s="29"/>
      <c r="AR66" s="188"/>
      <c r="AS66" s="33"/>
      <c r="AT66" s="241"/>
      <c r="AU66" s="51"/>
      <c r="AV66" s="34"/>
      <c r="AW66" s="241"/>
      <c r="AX66" s="58"/>
      <c r="AY66" s="47"/>
      <c r="AZ66" s="252"/>
      <c r="BA66" s="253"/>
      <c r="BB66" s="34"/>
      <c r="BC66" s="241"/>
      <c r="BD66" s="59"/>
      <c r="BE66" s="47"/>
      <c r="BF66" s="241"/>
      <c r="BG66" s="59"/>
      <c r="BH66" s="47"/>
      <c r="BI66" s="241"/>
      <c r="BJ66" s="59"/>
      <c r="BK66" s="47"/>
      <c r="BL66" s="241"/>
      <c r="BM66" s="59"/>
      <c r="BN66" s="47"/>
      <c r="BO66" s="241"/>
      <c r="BP66" s="59"/>
      <c r="BQ66" s="47"/>
      <c r="BR66" s="241"/>
      <c r="BS66" s="59"/>
      <c r="BT66" s="47"/>
      <c r="BU66" s="241"/>
      <c r="BV66" s="59"/>
      <c r="BW66" s="47"/>
      <c r="BX66" s="241"/>
      <c r="BY66" s="59"/>
      <c r="BZ66" s="47"/>
      <c r="CA66" s="241"/>
      <c r="CB66" s="59"/>
      <c r="CC66" s="254"/>
      <c r="CD66" s="241"/>
      <c r="CE66" s="59"/>
      <c r="CF66" s="47"/>
      <c r="CG66" s="241"/>
      <c r="CH66" s="59"/>
      <c r="CI66" s="47"/>
      <c r="CJ66" s="241"/>
      <c r="CK66" s="59"/>
      <c r="CL66" s="47"/>
      <c r="CM66" s="241"/>
      <c r="CN66" s="34"/>
      <c r="CO66" s="34"/>
      <c r="CP66" s="241"/>
      <c r="CQ66" s="34"/>
      <c r="CR66" s="34"/>
      <c r="CS66" s="241"/>
      <c r="CT66" s="34"/>
      <c r="CU66" s="34"/>
      <c r="CV66" s="46"/>
      <c r="CW66" s="59"/>
      <c r="CX66" s="34"/>
      <c r="CY66" s="612">
        <f t="shared" si="6"/>
        <v>0</v>
      </c>
      <c r="CZ66" s="204">
        <f t="shared" si="7"/>
        <v>0</v>
      </c>
      <c r="DA66" s="36">
        <f>COUNT(BT66,BW66,BZ66,CI66,CL66,CO66,CR66,CU66,F66,I66,L66,O66,R66,U66,X66,AA66,AD66,AG66,AJ66,AM66,AP66,#REF!,AS66,AV66,AY66,BB66,BE66,BH66,BK66,BN66,BQ66,CC66,CF66,CX66,#REF!,#REF!,#REF!)</f>
        <v>0</v>
      </c>
      <c r="DB66" s="41"/>
      <c r="DD66" s="42"/>
    </row>
    <row r="67" spans="1:108" ht="16.5" thickBot="1" x14ac:dyDescent="0.3">
      <c r="A67" s="187"/>
      <c r="B67" s="194"/>
      <c r="C67" s="167" t="s">
        <v>1</v>
      </c>
      <c r="D67" s="57"/>
      <c r="E67" s="193"/>
      <c r="F67" s="148"/>
      <c r="G67" s="57"/>
      <c r="H67" s="193"/>
      <c r="I67" s="148"/>
      <c r="J67" s="57"/>
      <c r="K67" s="193"/>
      <c r="L67" s="148"/>
      <c r="M67" s="57"/>
      <c r="N67" s="193"/>
      <c r="O67" s="148"/>
      <c r="P67" s="57"/>
      <c r="Q67" s="193"/>
      <c r="R67" s="148"/>
      <c r="S67" s="57"/>
      <c r="T67" s="193"/>
      <c r="U67" s="148"/>
      <c r="V67" s="57"/>
      <c r="W67" s="193"/>
      <c r="X67" s="148"/>
      <c r="Y67" s="57">
        <v>46.74</v>
      </c>
      <c r="Z67" s="362">
        <v>3</v>
      </c>
      <c r="AA67" s="363">
        <v>64.27</v>
      </c>
      <c r="AB67" s="57"/>
      <c r="AC67" s="193"/>
      <c r="AD67" s="148"/>
      <c r="AE67" s="57">
        <v>29.36</v>
      </c>
      <c r="AF67" s="362">
        <v>4</v>
      </c>
      <c r="AG67" s="363">
        <v>25.5</v>
      </c>
      <c r="AH67" s="57">
        <v>30.7</v>
      </c>
      <c r="AI67" s="362">
        <v>3</v>
      </c>
      <c r="AJ67" s="363">
        <v>48.2</v>
      </c>
      <c r="AK67" s="57">
        <v>17.2</v>
      </c>
      <c r="AL67" s="362">
        <v>2</v>
      </c>
      <c r="AM67" s="363">
        <v>27</v>
      </c>
      <c r="AN67" s="524">
        <v>55.58</v>
      </c>
      <c r="AO67" s="193"/>
      <c r="AP67" s="148">
        <v>48.35</v>
      </c>
      <c r="AQ67" s="57"/>
      <c r="AR67" s="193"/>
      <c r="AS67" s="148"/>
      <c r="AT67" s="415"/>
      <c r="AU67" s="379"/>
      <c r="AV67" s="146"/>
      <c r="AW67" s="48"/>
      <c r="AX67" s="149"/>
      <c r="AY67" s="173"/>
      <c r="AZ67" s="244"/>
      <c r="BA67" s="247"/>
      <c r="BB67" s="238"/>
      <c r="BC67" s="194"/>
      <c r="BD67" s="150"/>
      <c r="BE67" s="148"/>
      <c r="BF67" s="194"/>
      <c r="BG67" s="150"/>
      <c r="BH67" s="148"/>
      <c r="BI67" s="194"/>
      <c r="BJ67" s="150"/>
      <c r="BK67" s="148"/>
      <c r="BL67" s="194">
        <v>6.78</v>
      </c>
      <c r="BM67" s="150">
        <v>1</v>
      </c>
      <c r="BN67" s="148">
        <f>BL67*1.72</f>
        <v>11.6616</v>
      </c>
      <c r="BO67" s="194"/>
      <c r="BP67" s="150"/>
      <c r="BQ67" s="148"/>
      <c r="BR67" s="194"/>
      <c r="BS67" s="150"/>
      <c r="BT67" s="148"/>
      <c r="BU67" s="194"/>
      <c r="BV67" s="150"/>
      <c r="BW67" s="148"/>
      <c r="BX67" s="194"/>
      <c r="BY67" s="150"/>
      <c r="BZ67" s="148"/>
      <c r="CA67" s="194"/>
      <c r="CB67" s="150"/>
      <c r="CC67" s="148"/>
      <c r="CD67" s="194"/>
      <c r="CE67" s="150"/>
      <c r="CF67" s="148"/>
      <c r="CG67" s="194"/>
      <c r="CH67" s="150"/>
      <c r="CI67" s="148"/>
      <c r="CJ67" s="194"/>
      <c r="CK67" s="150"/>
      <c r="CL67" s="148"/>
      <c r="CM67" s="194"/>
      <c r="CN67" s="146"/>
      <c r="CO67" s="146"/>
      <c r="CP67" s="194"/>
      <c r="CQ67" s="146"/>
      <c r="CR67" s="146"/>
      <c r="CS67" s="194"/>
      <c r="CT67" s="146"/>
      <c r="CU67" s="146"/>
      <c r="CV67" s="48"/>
      <c r="CW67" s="150"/>
      <c r="CX67" s="238"/>
      <c r="CY67" s="613">
        <f t="shared" si="6"/>
        <v>186.35999999999999</v>
      </c>
      <c r="CZ67" s="148">
        <f t="shared" si="7"/>
        <v>224.98159999999999</v>
      </c>
      <c r="DA67" s="36">
        <f>COUNT(BT67,BW67,BZ67,CI67,CL67,CO67,CR67,CU67,F67,I67,L67,O67,R67,U67,X67,AA67,AD67,AG67,AJ67,AM67,AP67,#REF!,AS67,AV67,AY67,BB67,BE67,BH67,BK67,BN67,BQ67,CC67,CF67,CX67,#REF!,#REF!,#REF!)</f>
        <v>6</v>
      </c>
      <c r="DB67" s="41">
        <f>SUM(CZ65:CZ67)</f>
        <v>224.98159999999999</v>
      </c>
      <c r="DD67" s="42"/>
    </row>
    <row r="68" spans="1:108" x14ac:dyDescent="0.25">
      <c r="A68" s="187">
        <v>228</v>
      </c>
      <c r="B68" s="186" t="s">
        <v>4</v>
      </c>
      <c r="C68" s="163" t="s">
        <v>0</v>
      </c>
      <c r="D68" s="137"/>
      <c r="E68" s="189"/>
      <c r="F68" s="164"/>
      <c r="G68" s="530">
        <v>0.4</v>
      </c>
      <c r="H68" s="189"/>
      <c r="I68" s="164"/>
      <c r="J68" s="137"/>
      <c r="K68" s="189"/>
      <c r="L68" s="164"/>
      <c r="M68" s="137"/>
      <c r="N68" s="189"/>
      <c r="O68" s="164"/>
      <c r="P68" s="137"/>
      <c r="Q68" s="189"/>
      <c r="R68" s="164"/>
      <c r="S68" s="137"/>
      <c r="T68" s="189"/>
      <c r="U68" s="164"/>
      <c r="V68" s="137"/>
      <c r="W68" s="189"/>
      <c r="X68" s="164"/>
      <c r="Y68" s="137"/>
      <c r="Z68" s="189"/>
      <c r="AA68" s="164"/>
      <c r="AB68" s="137"/>
      <c r="AC68" s="189"/>
      <c r="AD68" s="164"/>
      <c r="AE68" s="137">
        <v>3.4</v>
      </c>
      <c r="AF68" s="365">
        <v>1</v>
      </c>
      <c r="AG68" s="366">
        <v>26.1</v>
      </c>
      <c r="AH68" s="137"/>
      <c r="AI68" s="189"/>
      <c r="AJ68" s="164"/>
      <c r="AK68" s="137"/>
      <c r="AL68" s="189"/>
      <c r="AM68" s="164"/>
      <c r="AN68" s="137"/>
      <c r="AO68" s="189"/>
      <c r="AP68" s="164"/>
      <c r="AQ68" s="137"/>
      <c r="AR68" s="189"/>
      <c r="AS68" s="164"/>
      <c r="AT68" s="416"/>
      <c r="AU68" s="380"/>
      <c r="AV68" s="140"/>
      <c r="AW68" s="142"/>
      <c r="AX68" s="165"/>
      <c r="AY68" s="143"/>
      <c r="AZ68" s="256"/>
      <c r="BA68" s="250"/>
      <c r="BB68" s="140"/>
      <c r="BC68" s="186"/>
      <c r="BD68" s="144"/>
      <c r="BE68" s="143"/>
      <c r="BF68" s="186"/>
      <c r="BG68" s="144"/>
      <c r="BH68" s="143"/>
      <c r="BI68" s="186"/>
      <c r="BJ68" s="144"/>
      <c r="BK68" s="143"/>
      <c r="BL68" s="186"/>
      <c r="BM68" s="144"/>
      <c r="BN68" s="143"/>
      <c r="BO68" s="186"/>
      <c r="BP68" s="144"/>
      <c r="BQ68" s="143"/>
      <c r="BR68" s="186"/>
      <c r="BS68" s="144"/>
      <c r="BT68" s="143"/>
      <c r="BU68" s="186"/>
      <c r="BV68" s="144"/>
      <c r="BW68" s="143"/>
      <c r="BX68" s="186"/>
      <c r="BY68" s="144"/>
      <c r="BZ68" s="143"/>
      <c r="CA68" s="186"/>
      <c r="CB68" s="144"/>
      <c r="CC68" s="272"/>
      <c r="CD68" s="186"/>
      <c r="CE68" s="144"/>
      <c r="CF68" s="143"/>
      <c r="CG68" s="186"/>
      <c r="CH68" s="144"/>
      <c r="CI68" s="143"/>
      <c r="CJ68" s="186"/>
      <c r="CK68" s="144"/>
      <c r="CL68" s="143"/>
      <c r="CM68" s="186"/>
      <c r="CN68" s="140"/>
      <c r="CO68" s="140"/>
      <c r="CP68" s="186"/>
      <c r="CQ68" s="140"/>
      <c r="CR68" s="140"/>
      <c r="CS68" s="186"/>
      <c r="CT68" s="140"/>
      <c r="CU68" s="140"/>
      <c r="CV68" s="142"/>
      <c r="CW68" s="144"/>
      <c r="CX68" s="140"/>
      <c r="CY68" s="611">
        <f t="shared" si="6"/>
        <v>3.8</v>
      </c>
      <c r="CZ68" s="607">
        <f t="shared" si="7"/>
        <v>26.1</v>
      </c>
      <c r="DA68" s="36">
        <f>COUNT(BT68,BW68,BZ68,CI68,CL68,CO68,CR68,CU68,F68,I68,L68,O68,R68,U68,X68,AA68,AD68,AG68,AJ68,AM68,AP68,#REF!,AS68,AV68,AY68,BB68,BE68,BH68,BK68,BN68,BQ68,CC68,CF68,CX68,#REF!,#REF!,#REF!)</f>
        <v>1</v>
      </c>
      <c r="DB68" s="41"/>
      <c r="DD68" s="42"/>
    </row>
    <row r="69" spans="1:108" x14ac:dyDescent="0.25">
      <c r="A69" s="187"/>
      <c r="B69" s="187"/>
      <c r="C69" s="111" t="s">
        <v>34</v>
      </c>
      <c r="D69" s="29"/>
      <c r="E69" s="188"/>
      <c r="F69" s="33"/>
      <c r="G69" s="531"/>
      <c r="H69" s="188"/>
      <c r="I69" s="33"/>
      <c r="J69" s="29"/>
      <c r="K69" s="188"/>
      <c r="L69" s="33"/>
      <c r="M69" s="29"/>
      <c r="N69" s="188"/>
      <c r="O69" s="33"/>
      <c r="P69" s="29"/>
      <c r="Q69" s="188"/>
      <c r="R69" s="33"/>
      <c r="S69" s="29"/>
      <c r="T69" s="188"/>
      <c r="U69" s="33"/>
      <c r="V69" s="29"/>
      <c r="W69" s="188"/>
      <c r="X69" s="33"/>
      <c r="Y69" s="29"/>
      <c r="Z69" s="188"/>
      <c r="AA69" s="33"/>
      <c r="AB69" s="29"/>
      <c r="AC69" s="188"/>
      <c r="AD69" s="33"/>
      <c r="AE69" s="29"/>
      <c r="AF69" s="188"/>
      <c r="AG69" s="33"/>
      <c r="AH69" s="29"/>
      <c r="AI69" s="188"/>
      <c r="AJ69" s="33"/>
      <c r="AK69" s="29"/>
      <c r="AL69" s="188"/>
      <c r="AM69" s="33"/>
      <c r="AN69" s="29"/>
      <c r="AO69" s="188"/>
      <c r="AP69" s="33"/>
      <c r="AQ69" s="378">
        <v>51.4</v>
      </c>
      <c r="AR69" s="368">
        <v>4</v>
      </c>
      <c r="AS69" s="369">
        <v>94.9</v>
      </c>
      <c r="AT69" s="417"/>
      <c r="AU69" s="381"/>
      <c r="AV69" s="31"/>
      <c r="AW69" s="44"/>
      <c r="AX69" s="58"/>
      <c r="AY69" s="45"/>
      <c r="AZ69" s="245"/>
      <c r="BA69" s="253"/>
      <c r="BB69" s="31"/>
      <c r="BC69" s="187"/>
      <c r="BD69" s="59"/>
      <c r="BE69" s="45"/>
      <c r="BF69" s="187"/>
      <c r="BG69" s="59"/>
      <c r="BH69" s="45"/>
      <c r="BI69" s="187"/>
      <c r="BJ69" s="59"/>
      <c r="BK69" s="45"/>
      <c r="BL69" s="187"/>
      <c r="BM69" s="59"/>
      <c r="BN69" s="45"/>
      <c r="BO69" s="187"/>
      <c r="BP69" s="59"/>
      <c r="BQ69" s="45"/>
      <c r="BR69" s="187"/>
      <c r="BS69" s="59"/>
      <c r="BT69" s="45"/>
      <c r="BU69" s="187"/>
      <c r="BV69" s="59"/>
      <c r="BW69" s="45"/>
      <c r="BX69" s="187"/>
      <c r="BY69" s="59"/>
      <c r="BZ69" s="45"/>
      <c r="CA69" s="187"/>
      <c r="CB69" s="59"/>
      <c r="CC69" s="257"/>
      <c r="CD69" s="187"/>
      <c r="CE69" s="59"/>
      <c r="CF69" s="45"/>
      <c r="CG69" s="187"/>
      <c r="CH69" s="59"/>
      <c r="CI69" s="45"/>
      <c r="CJ69" s="187"/>
      <c r="CK69" s="59"/>
      <c r="CL69" s="45"/>
      <c r="CM69" s="187"/>
      <c r="CN69" s="31"/>
      <c r="CO69" s="31"/>
      <c r="CP69" s="187"/>
      <c r="CQ69" s="31"/>
      <c r="CR69" s="31"/>
      <c r="CS69" s="187"/>
      <c r="CT69" s="31"/>
      <c r="CU69" s="31"/>
      <c r="CV69" s="44"/>
      <c r="CW69" s="59"/>
      <c r="CX69" s="31"/>
      <c r="CY69" s="612">
        <f t="shared" si="6"/>
        <v>51.4</v>
      </c>
      <c r="CZ69" s="204">
        <f t="shared" si="7"/>
        <v>94.9</v>
      </c>
      <c r="DA69" s="36">
        <f>COUNT(BT69,BW69,BZ69,CI69,CL69,CO69,CR69,CU69,F69,I69,L69,O69,R69,U69,X69,AA69,AD69,AG69,AJ69,AM69,AP69,#REF!,AS69,AV69,AY69,BB69,BE69,BH69,BK69,BN69,BQ69,CC69,CF69,CX69,#REF!,#REF!,#REF!)</f>
        <v>1</v>
      </c>
      <c r="DB69" s="41"/>
      <c r="DD69" s="42"/>
    </row>
    <row r="70" spans="1:108" ht="16.5" thickBot="1" x14ac:dyDescent="0.3">
      <c r="A70" s="187"/>
      <c r="B70" s="194"/>
      <c r="C70" s="167" t="s">
        <v>1</v>
      </c>
      <c r="D70" s="57"/>
      <c r="E70" s="193"/>
      <c r="F70" s="148"/>
      <c r="G70" s="524">
        <v>20</v>
      </c>
      <c r="H70" s="193"/>
      <c r="I70" s="527">
        <v>144</v>
      </c>
      <c r="J70" s="57">
        <v>36.659999999999997</v>
      </c>
      <c r="K70" s="193">
        <v>3</v>
      </c>
      <c r="L70" s="148">
        <f>J70*0.9*1.2</f>
        <v>39.592799999999997</v>
      </c>
      <c r="M70" s="57">
        <v>53.26</v>
      </c>
      <c r="N70" s="193">
        <v>5</v>
      </c>
      <c r="O70" s="148">
        <f>(13.18*0.9+40.08*0.67)*1.2</f>
        <v>46.45872</v>
      </c>
      <c r="P70" s="57">
        <v>43.66</v>
      </c>
      <c r="Q70" s="193">
        <v>4</v>
      </c>
      <c r="R70" s="148">
        <f>P70*0.67*1.2</f>
        <v>35.102639999999994</v>
      </c>
      <c r="S70" s="57">
        <v>59.56</v>
      </c>
      <c r="T70" s="193">
        <v>3</v>
      </c>
      <c r="U70" s="148">
        <f>S70*1.28*1.2</f>
        <v>91.484160000000003</v>
      </c>
      <c r="V70" s="57"/>
      <c r="W70" s="193"/>
      <c r="X70" s="148"/>
      <c r="Y70" s="57">
        <v>118.92</v>
      </c>
      <c r="Z70" s="362">
        <v>5</v>
      </c>
      <c r="AA70" s="363">
        <v>182.66</v>
      </c>
      <c r="AB70" s="524">
        <v>47.14</v>
      </c>
      <c r="AC70" s="193"/>
      <c r="AD70" s="148">
        <v>73.81</v>
      </c>
      <c r="AE70" s="57">
        <v>23.9</v>
      </c>
      <c r="AF70" s="362">
        <v>2</v>
      </c>
      <c r="AG70" s="363">
        <v>25.1</v>
      </c>
      <c r="AH70" s="57">
        <v>64.739999999999995</v>
      </c>
      <c r="AI70" s="362">
        <v>5</v>
      </c>
      <c r="AJ70" s="363">
        <v>85.6</v>
      </c>
      <c r="AK70" s="57">
        <v>101.24</v>
      </c>
      <c r="AL70" s="362">
        <v>7</v>
      </c>
      <c r="AM70" s="363">
        <v>132.5</v>
      </c>
      <c r="AN70" s="484">
        <v>132.04</v>
      </c>
      <c r="AO70" s="362">
        <v>6</v>
      </c>
      <c r="AP70" s="363">
        <v>169.2</v>
      </c>
      <c r="AQ70" s="57"/>
      <c r="AR70" s="193"/>
      <c r="AS70" s="148"/>
      <c r="AT70" s="415">
        <v>105.1</v>
      </c>
      <c r="AU70" s="452">
        <v>4</v>
      </c>
      <c r="AV70" s="438">
        <v>137.5</v>
      </c>
      <c r="AW70" s="194">
        <v>103.18</v>
      </c>
      <c r="AX70" s="437">
        <v>5</v>
      </c>
      <c r="AY70" s="439">
        <v>96.84</v>
      </c>
      <c r="AZ70" s="244">
        <v>137.63999999999999</v>
      </c>
      <c r="BA70" s="455">
        <v>5</v>
      </c>
      <c r="BB70" s="438">
        <v>96.5</v>
      </c>
      <c r="BC70" s="194">
        <v>17</v>
      </c>
      <c r="BD70" s="476">
        <v>1</v>
      </c>
      <c r="BE70" s="436">
        <v>20.2</v>
      </c>
      <c r="BF70" s="194">
        <v>71</v>
      </c>
      <c r="BG70" s="150">
        <v>5</v>
      </c>
      <c r="BH70" s="173">
        <f>BF70*1.2*1.2</f>
        <v>102.24</v>
      </c>
      <c r="BI70" s="194"/>
      <c r="BJ70" s="150"/>
      <c r="BK70" s="50"/>
      <c r="BL70" s="194">
        <v>70</v>
      </c>
      <c r="BM70" s="150">
        <v>3</v>
      </c>
      <c r="BN70" s="173">
        <f>BL70*1.2*1.2</f>
        <v>100.8</v>
      </c>
      <c r="BO70" s="194">
        <v>182.36</v>
      </c>
      <c r="BP70" s="150">
        <v>7</v>
      </c>
      <c r="BQ70" s="266">
        <f>(80.44*0.99+101.92*0.74)*1.2</f>
        <v>186.06768</v>
      </c>
      <c r="BR70" s="194">
        <v>90.54</v>
      </c>
      <c r="BS70" s="150">
        <v>4</v>
      </c>
      <c r="BT70" s="266">
        <f>(28.3*0.74+59.16*1.2+3.08*1.41)*1.2</f>
        <v>115.53215999999999</v>
      </c>
      <c r="BU70" s="194">
        <v>64.42</v>
      </c>
      <c r="BV70" s="150">
        <v>3</v>
      </c>
      <c r="BW70" s="266">
        <f>(29.26*1.41+35.16*0.99)*1.2</f>
        <v>91.277999999999992</v>
      </c>
      <c r="BX70" s="194">
        <v>56.12</v>
      </c>
      <c r="BY70" s="150">
        <v>3</v>
      </c>
      <c r="BZ70" s="266">
        <f>BX70*1.2*1.2</f>
        <v>80.812799999999996</v>
      </c>
      <c r="CA70" s="194">
        <v>76.62</v>
      </c>
      <c r="CB70" s="150">
        <v>3</v>
      </c>
      <c r="CC70" s="258">
        <f>CA70*0.74*1.2</f>
        <v>68.038560000000004</v>
      </c>
      <c r="CD70" s="194">
        <v>29.68</v>
      </c>
      <c r="CE70" s="150">
        <v>2</v>
      </c>
      <c r="CF70" s="50">
        <f>(22.9*0.99+6.78*1.2)*1.2</f>
        <v>36.968399999999995</v>
      </c>
      <c r="CG70" s="194">
        <v>51</v>
      </c>
      <c r="CH70" s="150">
        <v>3</v>
      </c>
      <c r="CI70" s="173">
        <f>(23.6*0.68+27.4*0.74)*1.2</f>
        <v>43.588799999999999</v>
      </c>
      <c r="CJ70" s="194"/>
      <c r="CK70" s="150"/>
      <c r="CL70" s="50"/>
      <c r="CM70" s="194"/>
      <c r="CN70" s="49"/>
      <c r="CO70" s="49"/>
      <c r="CP70" s="194"/>
      <c r="CQ70" s="49"/>
      <c r="CR70" s="49"/>
      <c r="CS70" s="194"/>
      <c r="CT70" s="49"/>
      <c r="CU70" s="49"/>
      <c r="CV70" s="48"/>
      <c r="CW70" s="150"/>
      <c r="CX70" s="49"/>
      <c r="CY70" s="613">
        <f t="shared" si="6"/>
        <v>1755.78</v>
      </c>
      <c r="CZ70" s="148">
        <f t="shared" si="7"/>
        <v>2201.8747200000003</v>
      </c>
      <c r="DA70" s="36">
        <f>COUNT(BT70,BW70,BZ70,CI70,CL70,CO70,CR70,CU70,F70,I70,L70,O70,R70,U70,X70,AA70,AD70,AG70,AJ70,AM70,AP70,#REF!,AS70,AV70,AY70,BB70,BE70,BH70,BK70,BN70,BQ70,CC70,CF70,CX70,#REF!,#REF!,#REF!)</f>
        <v>24</v>
      </c>
      <c r="DB70" s="41">
        <f>SUM(CZ68:CZ70)</f>
        <v>2322.8747200000003</v>
      </c>
      <c r="DD70" s="42"/>
    </row>
    <row r="71" spans="1:108" x14ac:dyDescent="0.25">
      <c r="A71" s="187">
        <v>645</v>
      </c>
      <c r="B71" s="186" t="s">
        <v>201</v>
      </c>
      <c r="C71" s="163" t="s">
        <v>0</v>
      </c>
      <c r="D71" s="137"/>
      <c r="E71" s="189"/>
      <c r="F71" s="164"/>
      <c r="G71" s="137"/>
      <c r="H71" s="189"/>
      <c r="I71" s="164"/>
      <c r="J71" s="137"/>
      <c r="K71" s="189"/>
      <c r="L71" s="164"/>
      <c r="M71" s="137"/>
      <c r="N71" s="189"/>
      <c r="O71" s="164"/>
      <c r="P71" s="137"/>
      <c r="Q71" s="189"/>
      <c r="R71" s="164"/>
      <c r="S71" s="137"/>
      <c r="T71" s="189"/>
      <c r="U71" s="164"/>
      <c r="V71" s="137"/>
      <c r="W71" s="189"/>
      <c r="X71" s="164"/>
      <c r="Y71" s="137"/>
      <c r="Z71" s="189"/>
      <c r="AA71" s="164"/>
      <c r="AB71" s="137"/>
      <c r="AC71" s="189"/>
      <c r="AD71" s="164"/>
      <c r="AE71" s="137"/>
      <c r="AF71" s="189"/>
      <c r="AG71" s="164"/>
      <c r="AH71" s="137"/>
      <c r="AI71" s="189"/>
      <c r="AJ71" s="164"/>
      <c r="AK71" s="137"/>
      <c r="AL71" s="189"/>
      <c r="AM71" s="164"/>
      <c r="AN71" s="481"/>
      <c r="AO71" s="189"/>
      <c r="AP71" s="164"/>
      <c r="AQ71" s="137"/>
      <c r="AR71" s="189"/>
      <c r="AS71" s="164"/>
      <c r="AT71" s="418"/>
      <c r="AU71" s="380"/>
      <c r="AV71" s="168"/>
      <c r="AW71" s="233"/>
      <c r="AX71" s="165"/>
      <c r="AY71" s="235"/>
      <c r="AZ71" s="249"/>
      <c r="BA71" s="250"/>
      <c r="BB71" s="168"/>
      <c r="BC71" s="240"/>
      <c r="BD71" s="144"/>
      <c r="BE71" s="235"/>
      <c r="BF71" s="240"/>
      <c r="BG71" s="144"/>
      <c r="BH71" s="235"/>
      <c r="BI71" s="240"/>
      <c r="BJ71" s="144"/>
      <c r="BK71" s="235"/>
      <c r="BL71" s="240"/>
      <c r="BM71" s="144"/>
      <c r="BN71" s="235"/>
      <c r="BO71" s="240"/>
      <c r="BP71" s="144"/>
      <c r="BQ71" s="235"/>
      <c r="BR71" s="240"/>
      <c r="BS71" s="144"/>
      <c r="BT71" s="235"/>
      <c r="BU71" s="240"/>
      <c r="BV71" s="144"/>
      <c r="BW71" s="235"/>
      <c r="BX71" s="240"/>
      <c r="BY71" s="144"/>
      <c r="BZ71" s="235"/>
      <c r="CA71" s="240"/>
      <c r="CB71" s="144"/>
      <c r="CC71" s="251"/>
      <c r="CD71" s="240"/>
      <c r="CE71" s="144"/>
      <c r="CF71" s="235"/>
      <c r="CG71" s="240"/>
      <c r="CH71" s="144"/>
      <c r="CI71" s="235"/>
      <c r="CJ71" s="240"/>
      <c r="CK71" s="144"/>
      <c r="CL71" s="235"/>
      <c r="CM71" s="240"/>
      <c r="CN71" s="168"/>
      <c r="CO71" s="168"/>
      <c r="CP71" s="240"/>
      <c r="CQ71" s="168"/>
      <c r="CR71" s="168"/>
      <c r="CS71" s="240"/>
      <c r="CT71" s="168"/>
      <c r="CU71" s="168"/>
      <c r="CV71" s="233"/>
      <c r="CW71" s="144"/>
      <c r="CX71" s="168"/>
      <c r="CY71" s="611">
        <f t="shared" si="6"/>
        <v>0</v>
      </c>
      <c r="CZ71" s="607">
        <f t="shared" si="7"/>
        <v>0</v>
      </c>
      <c r="DA71" s="36">
        <f>COUNT(BT71,BW71,BZ71,CI71,CL71,CO71,CR71,CU71,F71,I71,L71,O71,R71,U71,X71,AA71,AD71,AG71,AJ71,AM71,AP71,#REF!,AS71,AV71,AY71,BB71,BE71,BH71,BK71,BN71,BQ71,CC71,CF71,CX71,#REF!,#REF!,#REF!)</f>
        <v>0</v>
      </c>
      <c r="DB71" s="41"/>
      <c r="DD71" s="42"/>
    </row>
    <row r="72" spans="1:108" x14ac:dyDescent="0.25">
      <c r="A72" s="187"/>
      <c r="B72" s="187"/>
      <c r="C72" s="111" t="s">
        <v>34</v>
      </c>
      <c r="D72" s="29"/>
      <c r="E72" s="188"/>
      <c r="F72" s="33"/>
      <c r="G72" s="29"/>
      <c r="H72" s="188"/>
      <c r="I72" s="33"/>
      <c r="J72" s="29"/>
      <c r="K72" s="188"/>
      <c r="L72" s="33"/>
      <c r="M72" s="29"/>
      <c r="N72" s="188"/>
      <c r="O72" s="33"/>
      <c r="P72" s="29"/>
      <c r="Q72" s="188"/>
      <c r="R72" s="33"/>
      <c r="S72" s="29"/>
      <c r="T72" s="188"/>
      <c r="U72" s="33"/>
      <c r="V72" s="29"/>
      <c r="W72" s="188"/>
      <c r="X72" s="33"/>
      <c r="Y72" s="29"/>
      <c r="Z72" s="188"/>
      <c r="AA72" s="33"/>
      <c r="AB72" s="29"/>
      <c r="AC72" s="188"/>
      <c r="AD72" s="33"/>
      <c r="AE72" s="29"/>
      <c r="AF72" s="188"/>
      <c r="AG72" s="33"/>
      <c r="AH72" s="29"/>
      <c r="AI72" s="188"/>
      <c r="AJ72" s="33"/>
      <c r="AK72" s="29"/>
      <c r="AL72" s="188"/>
      <c r="AM72" s="33"/>
      <c r="AN72" s="483"/>
      <c r="AO72" s="188"/>
      <c r="AP72" s="33"/>
      <c r="AQ72" s="29"/>
      <c r="AR72" s="188"/>
      <c r="AS72" s="33"/>
      <c r="AT72" s="419"/>
      <c r="AU72" s="381"/>
      <c r="AV72" s="34"/>
      <c r="AW72" s="241"/>
      <c r="AX72" s="58"/>
      <c r="AY72" s="47"/>
      <c r="AZ72" s="252"/>
      <c r="BA72" s="253"/>
      <c r="BB72" s="34"/>
      <c r="BC72" s="241"/>
      <c r="BD72" s="59"/>
      <c r="BE72" s="47"/>
      <c r="BF72" s="241"/>
      <c r="BG72" s="59"/>
      <c r="BH72" s="47"/>
      <c r="BI72" s="241"/>
      <c r="BJ72" s="59"/>
      <c r="BK72" s="47"/>
      <c r="BL72" s="241"/>
      <c r="BM72" s="59"/>
      <c r="BN72" s="47"/>
      <c r="BO72" s="241"/>
      <c r="BP72" s="59"/>
      <c r="BQ72" s="47"/>
      <c r="BR72" s="241"/>
      <c r="BS72" s="59"/>
      <c r="BT72" s="47"/>
      <c r="BU72" s="241"/>
      <c r="BV72" s="59"/>
      <c r="BW72" s="47"/>
      <c r="BX72" s="241"/>
      <c r="BY72" s="59"/>
      <c r="BZ72" s="47"/>
      <c r="CA72" s="241"/>
      <c r="CB72" s="59"/>
      <c r="CC72" s="254"/>
      <c r="CD72" s="241"/>
      <c r="CE72" s="59"/>
      <c r="CF72" s="47"/>
      <c r="CG72" s="241"/>
      <c r="CH72" s="59"/>
      <c r="CI72" s="47"/>
      <c r="CJ72" s="241"/>
      <c r="CK72" s="59"/>
      <c r="CL72" s="47"/>
      <c r="CM72" s="241"/>
      <c r="CN72" s="34"/>
      <c r="CO72" s="34"/>
      <c r="CP72" s="241"/>
      <c r="CQ72" s="34"/>
      <c r="CR72" s="34"/>
      <c r="CS72" s="241"/>
      <c r="CT72" s="34"/>
      <c r="CU72" s="34"/>
      <c r="CV72" s="46"/>
      <c r="CW72" s="59"/>
      <c r="CX72" s="34"/>
      <c r="CY72" s="612">
        <f t="shared" si="6"/>
        <v>0</v>
      </c>
      <c r="CZ72" s="204">
        <f t="shared" si="7"/>
        <v>0</v>
      </c>
      <c r="DA72" s="36">
        <f>COUNT(BT72,BW72,BZ72,CI72,CL72,CO72,CR72,CU72,F72,I72,L72,O72,R72,U72,X72,AA72,AD72,AG72,AJ72,AM72,AP72,#REF!,AS72,AV72,AY72,BB72,BE72,BH72,BK72,BN72,BQ72,CC72,CF72,CX72,#REF!,#REF!,#REF!)</f>
        <v>0</v>
      </c>
      <c r="DB72" s="41"/>
      <c r="DD72" s="42"/>
    </row>
    <row r="73" spans="1:108" ht="16.5" thickBot="1" x14ac:dyDescent="0.3">
      <c r="A73" s="187"/>
      <c r="B73" s="194"/>
      <c r="C73" s="167" t="s">
        <v>1</v>
      </c>
      <c r="D73" s="57"/>
      <c r="E73" s="193"/>
      <c r="F73" s="148"/>
      <c r="G73" s="57"/>
      <c r="H73" s="193"/>
      <c r="I73" s="148"/>
      <c r="J73" s="57"/>
      <c r="K73" s="193"/>
      <c r="L73" s="148"/>
      <c r="M73" s="57"/>
      <c r="N73" s="193"/>
      <c r="O73" s="148"/>
      <c r="P73" s="57"/>
      <c r="Q73" s="193"/>
      <c r="R73" s="148"/>
      <c r="S73" s="57">
        <v>8.1999999999999993</v>
      </c>
      <c r="T73" s="193">
        <v>2</v>
      </c>
      <c r="U73" s="148">
        <f>S73*3.18</f>
        <v>26.076000000000001</v>
      </c>
      <c r="V73" s="57"/>
      <c r="W73" s="193"/>
      <c r="X73" s="148"/>
      <c r="Y73" s="57"/>
      <c r="Z73" s="193"/>
      <c r="AA73" s="148"/>
      <c r="AB73" s="57"/>
      <c r="AC73" s="193"/>
      <c r="AD73" s="148"/>
      <c r="AE73" s="57"/>
      <c r="AF73" s="193"/>
      <c r="AG73" s="148"/>
      <c r="AH73" s="57"/>
      <c r="AI73" s="193"/>
      <c r="AJ73" s="148"/>
      <c r="AK73" s="57"/>
      <c r="AL73" s="193"/>
      <c r="AM73" s="148"/>
      <c r="AN73" s="484"/>
      <c r="AO73" s="193"/>
      <c r="AP73" s="148"/>
      <c r="AQ73" s="57"/>
      <c r="AR73" s="193"/>
      <c r="AS73" s="148"/>
      <c r="AT73" s="420"/>
      <c r="AU73" s="379"/>
      <c r="AV73" s="146"/>
      <c r="AW73" s="194"/>
      <c r="AX73" s="149"/>
      <c r="AY73" s="50"/>
      <c r="AZ73" s="244"/>
      <c r="BA73" s="247"/>
      <c r="BB73" s="49"/>
      <c r="BC73" s="194"/>
      <c r="BD73" s="150"/>
      <c r="BE73" s="148"/>
      <c r="BF73" s="194"/>
      <c r="BG73" s="150"/>
      <c r="BH73" s="148"/>
      <c r="BI73" s="194"/>
      <c r="BJ73" s="150"/>
      <c r="BK73" s="148"/>
      <c r="BL73" s="194"/>
      <c r="BM73" s="150"/>
      <c r="BN73" s="148"/>
      <c r="BO73" s="194"/>
      <c r="BP73" s="150"/>
      <c r="BQ73" s="148"/>
      <c r="BR73" s="194"/>
      <c r="BS73" s="150"/>
      <c r="BT73" s="148"/>
      <c r="BU73" s="194"/>
      <c r="BV73" s="150"/>
      <c r="BW73" s="148"/>
      <c r="BX73" s="194"/>
      <c r="BY73" s="150"/>
      <c r="BZ73" s="148"/>
      <c r="CA73" s="194"/>
      <c r="CB73" s="150"/>
      <c r="CC73" s="248"/>
      <c r="CD73" s="194"/>
      <c r="CE73" s="150"/>
      <c r="CF73" s="148"/>
      <c r="CG73" s="194"/>
      <c r="CH73" s="150"/>
      <c r="CI73" s="148"/>
      <c r="CJ73" s="194"/>
      <c r="CK73" s="150"/>
      <c r="CL73" s="148"/>
      <c r="CM73" s="194"/>
      <c r="CN73" s="146"/>
      <c r="CO73" s="146"/>
      <c r="CP73" s="194"/>
      <c r="CQ73" s="146"/>
      <c r="CR73" s="146"/>
      <c r="CS73" s="194"/>
      <c r="CT73" s="146"/>
      <c r="CU73" s="146"/>
      <c r="CV73" s="48"/>
      <c r="CW73" s="150"/>
      <c r="CX73" s="238"/>
      <c r="CY73" s="613">
        <f t="shared" si="6"/>
        <v>8.1999999999999993</v>
      </c>
      <c r="CZ73" s="148">
        <f t="shared" si="7"/>
        <v>26.076000000000001</v>
      </c>
      <c r="DA73" s="36">
        <f>COUNT(BT73,BW73,BZ73,CI73,CL73,CO73,CR73,CU73,F73,I73,L73,O73,R73,U73,X73,AA73,AD73,AG73,AJ73,AM73,AP73,#REF!,AS73,AV73,AY73,BB73,BE73,BH73,BK73,BN73,BQ73,CC73,CF73,CX73,#REF!,#REF!,#REF!)</f>
        <v>1</v>
      </c>
      <c r="DB73" s="41">
        <f>SUM(CZ71:CZ73)</f>
        <v>26.076000000000001</v>
      </c>
      <c r="DD73" s="42"/>
    </row>
    <row r="74" spans="1:108" x14ac:dyDescent="0.25">
      <c r="A74" s="187">
        <v>713</v>
      </c>
      <c r="B74" s="151" t="s">
        <v>15</v>
      </c>
      <c r="C74" s="163" t="s">
        <v>0</v>
      </c>
      <c r="D74" s="137"/>
      <c r="E74" s="189"/>
      <c r="F74" s="164"/>
      <c r="G74" s="137"/>
      <c r="H74" s="189"/>
      <c r="I74" s="164"/>
      <c r="J74" s="137"/>
      <c r="K74" s="189"/>
      <c r="L74" s="164"/>
      <c r="M74" s="137"/>
      <c r="N74" s="189"/>
      <c r="O74" s="164"/>
      <c r="P74" s="137"/>
      <c r="Q74" s="189"/>
      <c r="R74" s="164"/>
      <c r="S74" s="137"/>
      <c r="T74" s="189"/>
      <c r="U74" s="164"/>
      <c r="V74" s="137"/>
      <c r="W74" s="189"/>
      <c r="X74" s="164"/>
      <c r="Y74" s="137"/>
      <c r="Z74" s="189"/>
      <c r="AA74" s="164"/>
      <c r="AB74" s="137"/>
      <c r="AC74" s="189"/>
      <c r="AD74" s="164"/>
      <c r="AE74" s="137"/>
      <c r="AF74" s="189"/>
      <c r="AG74" s="164"/>
      <c r="AH74" s="137"/>
      <c r="AI74" s="189"/>
      <c r="AJ74" s="164"/>
      <c r="AK74" s="137"/>
      <c r="AL74" s="189"/>
      <c r="AM74" s="164"/>
      <c r="AN74" s="481"/>
      <c r="AO74" s="189"/>
      <c r="AP74" s="164"/>
      <c r="AQ74" s="137"/>
      <c r="AR74" s="189"/>
      <c r="AS74" s="164"/>
      <c r="AT74" s="416"/>
      <c r="AU74" s="380"/>
      <c r="AV74" s="140"/>
      <c r="AW74" s="186"/>
      <c r="AX74" s="165"/>
      <c r="AY74" s="143"/>
      <c r="AZ74" s="256"/>
      <c r="BA74" s="250"/>
      <c r="BB74" s="140"/>
      <c r="BC74" s="186"/>
      <c r="BD74" s="144"/>
      <c r="BE74" s="143"/>
      <c r="BF74" s="186"/>
      <c r="BG74" s="144"/>
      <c r="BH74" s="143"/>
      <c r="BI74" s="186"/>
      <c r="BJ74" s="144"/>
      <c r="BK74" s="143"/>
      <c r="BL74" s="186"/>
      <c r="BM74" s="144"/>
      <c r="BN74" s="143"/>
      <c r="BO74" s="186"/>
      <c r="BP74" s="144"/>
      <c r="BQ74" s="143"/>
      <c r="BR74" s="186"/>
      <c r="BS74" s="144"/>
      <c r="BT74" s="143"/>
      <c r="BU74" s="186"/>
      <c r="BV74" s="144"/>
      <c r="BW74" s="143"/>
      <c r="BX74" s="186"/>
      <c r="BY74" s="144"/>
      <c r="BZ74" s="143"/>
      <c r="CA74" s="186"/>
      <c r="CB74" s="144"/>
      <c r="CC74" s="272"/>
      <c r="CD74" s="186"/>
      <c r="CE74" s="144"/>
      <c r="CF74" s="143"/>
      <c r="CG74" s="186"/>
      <c r="CH74" s="144"/>
      <c r="CI74" s="143"/>
      <c r="CJ74" s="186"/>
      <c r="CK74" s="144"/>
      <c r="CL74" s="143"/>
      <c r="CM74" s="186"/>
      <c r="CN74" s="140"/>
      <c r="CO74" s="140"/>
      <c r="CP74" s="186"/>
      <c r="CQ74" s="140"/>
      <c r="CR74" s="140"/>
      <c r="CS74" s="186"/>
      <c r="CT74" s="140"/>
      <c r="CU74" s="140"/>
      <c r="CV74" s="142"/>
      <c r="CW74" s="144"/>
      <c r="CX74" s="140"/>
      <c r="CY74" s="611">
        <f t="shared" si="6"/>
        <v>0</v>
      </c>
      <c r="CZ74" s="607">
        <f t="shared" si="7"/>
        <v>0</v>
      </c>
      <c r="DA74" s="36">
        <f>COUNT(BT74,BW74,BZ74,CI74,CL74,CO74,CR74,CU74,F74,I74,L74,O74,R74,U74,X74,AA74,AD74,AG74,AJ74,AM74,AP74,#REF!,AS74,AV74,AY74,BB74,BE74,BH74,BK74,BN74,BQ74,CC74,CF74,CX74,#REF!,#REF!,#REF!)</f>
        <v>0</v>
      </c>
      <c r="DB74" s="41"/>
      <c r="DD74" s="42"/>
    </row>
    <row r="75" spans="1:108" x14ac:dyDescent="0.25">
      <c r="A75" s="187"/>
      <c r="B75" s="29"/>
      <c r="C75" s="111" t="s">
        <v>34</v>
      </c>
      <c r="D75" s="29"/>
      <c r="E75" s="188"/>
      <c r="F75" s="33"/>
      <c r="G75" s="29"/>
      <c r="H75" s="188"/>
      <c r="I75" s="33"/>
      <c r="J75" s="29"/>
      <c r="K75" s="188"/>
      <c r="L75" s="33"/>
      <c r="M75" s="29"/>
      <c r="N75" s="188"/>
      <c r="O75" s="33"/>
      <c r="P75" s="29"/>
      <c r="Q75" s="188"/>
      <c r="R75" s="33"/>
      <c r="S75" s="29"/>
      <c r="T75" s="188"/>
      <c r="U75" s="33"/>
      <c r="V75" s="29"/>
      <c r="W75" s="188"/>
      <c r="X75" s="33"/>
      <c r="Y75" s="29">
        <v>36.200000000000003</v>
      </c>
      <c r="Z75" s="368">
        <v>3</v>
      </c>
      <c r="AA75" s="369">
        <v>80.36</v>
      </c>
      <c r="AB75" s="29">
        <v>41.5</v>
      </c>
      <c r="AC75" s="368">
        <v>3</v>
      </c>
      <c r="AD75" s="369">
        <v>56.77</v>
      </c>
      <c r="AE75" s="29">
        <v>62.7</v>
      </c>
      <c r="AF75" s="368">
        <v>5</v>
      </c>
      <c r="AG75" s="369">
        <v>125.4</v>
      </c>
      <c r="AH75" s="29"/>
      <c r="AI75" s="188"/>
      <c r="AJ75" s="33"/>
      <c r="AK75" s="29"/>
      <c r="AL75" s="188"/>
      <c r="AM75" s="33"/>
      <c r="AN75" s="483">
        <v>108.5</v>
      </c>
      <c r="AO75" s="368">
        <v>7</v>
      </c>
      <c r="AP75" s="369">
        <v>199.21</v>
      </c>
      <c r="AQ75" s="29">
        <v>30.2</v>
      </c>
      <c r="AR75" s="368">
        <v>3</v>
      </c>
      <c r="AS75" s="369">
        <v>55.45</v>
      </c>
      <c r="AT75" s="419">
        <v>116.2</v>
      </c>
      <c r="AU75" s="447">
        <v>8</v>
      </c>
      <c r="AV75" s="444">
        <v>213.34</v>
      </c>
      <c r="AW75" s="241">
        <v>93.2</v>
      </c>
      <c r="AX75" s="457">
        <v>7</v>
      </c>
      <c r="AY75" s="463">
        <v>149.69999999999999</v>
      </c>
      <c r="AZ75" s="252"/>
      <c r="BA75" s="253"/>
      <c r="BB75" s="34"/>
      <c r="BC75" s="241"/>
      <c r="BD75" s="59"/>
      <c r="BE75" s="47"/>
      <c r="BF75" s="241"/>
      <c r="BG75" s="59"/>
      <c r="BH75" s="47"/>
      <c r="BI75" s="241"/>
      <c r="BJ75" s="59"/>
      <c r="BK75" s="47"/>
      <c r="BL75" s="241"/>
      <c r="BM75" s="59"/>
      <c r="BN75" s="47"/>
      <c r="BO75" s="241"/>
      <c r="BP75" s="59"/>
      <c r="BQ75" s="47"/>
      <c r="BR75" s="241"/>
      <c r="BS75" s="59"/>
      <c r="BT75" s="47"/>
      <c r="BU75" s="241"/>
      <c r="BV75" s="59"/>
      <c r="BW75" s="47"/>
      <c r="BX75" s="241"/>
      <c r="BY75" s="59"/>
      <c r="BZ75" s="47"/>
      <c r="CA75" s="241"/>
      <c r="CB75" s="59"/>
      <c r="CC75" s="254"/>
      <c r="CD75" s="241"/>
      <c r="CE75" s="59"/>
      <c r="CF75" s="47"/>
      <c r="CG75" s="241"/>
      <c r="CH75" s="59"/>
      <c r="CI75" s="47"/>
      <c r="CJ75" s="241"/>
      <c r="CK75" s="59"/>
      <c r="CL75" s="47"/>
      <c r="CM75" s="241"/>
      <c r="CN75" s="34"/>
      <c r="CO75" s="34"/>
      <c r="CP75" s="241"/>
      <c r="CQ75" s="34"/>
      <c r="CR75" s="34"/>
      <c r="CS75" s="241"/>
      <c r="CT75" s="34"/>
      <c r="CU75" s="34"/>
      <c r="CV75" s="46"/>
      <c r="CW75" s="59"/>
      <c r="CX75" s="34"/>
      <c r="CY75" s="612">
        <f t="shared" si="6"/>
        <v>488.5</v>
      </c>
      <c r="CZ75" s="204">
        <f t="shared" si="7"/>
        <v>880.23</v>
      </c>
      <c r="DA75" s="36">
        <f>COUNT(BT75,BW75,BZ75,CI75,CL75,CO75,CR75,CU75,F75,I75,L75,O75,R75,U75,X75,AA75,AD75,AG75,AJ75,AM75,AP75,#REF!,AS75,AV75,AY75,BB75,BE75,BH75,BK75,BN75,BQ75,CC75,CF75,CX75,#REF!,#REF!,#REF!)</f>
        <v>7</v>
      </c>
      <c r="DB75" s="41"/>
      <c r="DD75" s="42"/>
    </row>
    <row r="76" spans="1:108" ht="16.5" thickBot="1" x14ac:dyDescent="0.3">
      <c r="A76" s="187"/>
      <c r="B76" s="57"/>
      <c r="C76" s="167" t="s">
        <v>1</v>
      </c>
      <c r="D76" s="57"/>
      <c r="E76" s="193"/>
      <c r="F76" s="148"/>
      <c r="G76" s="57"/>
      <c r="H76" s="193"/>
      <c r="I76" s="148"/>
      <c r="J76" s="57"/>
      <c r="K76" s="193"/>
      <c r="L76" s="148"/>
      <c r="M76" s="57"/>
      <c r="N76" s="193"/>
      <c r="O76" s="148"/>
      <c r="P76" s="57"/>
      <c r="Q76" s="193"/>
      <c r="R76" s="148"/>
      <c r="S76" s="57"/>
      <c r="T76" s="193"/>
      <c r="U76" s="148"/>
      <c r="V76" s="57"/>
      <c r="W76" s="193"/>
      <c r="X76" s="148"/>
      <c r="Y76" s="57"/>
      <c r="Z76" s="193"/>
      <c r="AA76" s="148"/>
      <c r="AB76" s="57"/>
      <c r="AC76" s="193"/>
      <c r="AD76" s="148"/>
      <c r="AE76" s="57"/>
      <c r="AF76" s="193"/>
      <c r="AG76" s="148"/>
      <c r="AH76" s="57">
        <v>56.7</v>
      </c>
      <c r="AI76" s="362">
        <v>3</v>
      </c>
      <c r="AJ76" s="363">
        <v>74.2</v>
      </c>
      <c r="AK76" s="57">
        <v>75.2</v>
      </c>
      <c r="AL76" s="362">
        <v>4</v>
      </c>
      <c r="AM76" s="363">
        <v>98.4</v>
      </c>
      <c r="AN76" s="484"/>
      <c r="AO76" s="193"/>
      <c r="AP76" s="148"/>
      <c r="AQ76" s="57"/>
      <c r="AR76" s="193"/>
      <c r="AS76" s="148"/>
      <c r="AT76" s="421"/>
      <c r="AU76" s="379"/>
      <c r="AV76" s="146"/>
      <c r="AW76" s="239"/>
      <c r="AX76" s="149"/>
      <c r="AY76" s="173"/>
      <c r="AZ76" s="246"/>
      <c r="BA76" s="247"/>
      <c r="BB76" s="146"/>
      <c r="BC76" s="523">
        <v>19.14</v>
      </c>
      <c r="BD76" s="528">
        <v>1</v>
      </c>
      <c r="BE76" s="529">
        <f>BC76*0.9*1.2</f>
        <v>20.671200000000002</v>
      </c>
      <c r="BF76" s="239"/>
      <c r="BG76" s="150"/>
      <c r="BH76" s="173"/>
      <c r="BI76" s="239">
        <v>70.92</v>
      </c>
      <c r="BJ76" s="476">
        <v>6</v>
      </c>
      <c r="BK76" s="439">
        <f>(20.24*0.99+50.68*1.2)*1.2</f>
        <v>97.024320000000003</v>
      </c>
      <c r="BL76" s="239"/>
      <c r="BM76" s="150"/>
      <c r="BN76" s="173"/>
      <c r="BO76" s="239">
        <v>97.34</v>
      </c>
      <c r="BP76" s="150">
        <v>7</v>
      </c>
      <c r="BQ76" s="173">
        <f>(13.16*0.74+28.12*0.74+56.06*0.99)*1.2</f>
        <v>103.25592000000002</v>
      </c>
      <c r="BR76" s="239"/>
      <c r="BS76" s="150"/>
      <c r="BT76" s="173"/>
      <c r="BU76" s="239"/>
      <c r="BV76" s="150"/>
      <c r="BW76" s="173"/>
      <c r="BX76" s="239"/>
      <c r="BY76" s="150"/>
      <c r="BZ76" s="173"/>
      <c r="CA76" s="239">
        <v>5.36</v>
      </c>
      <c r="CB76" s="150">
        <v>1</v>
      </c>
      <c r="CC76" s="173">
        <f>CA76*2.1</f>
        <v>11.256000000000002</v>
      </c>
      <c r="CD76" s="239">
        <v>39.979999999999997</v>
      </c>
      <c r="CE76" s="150">
        <v>3</v>
      </c>
      <c r="CF76" s="173">
        <f>CD76*0.99*1.2</f>
        <v>47.496239999999993</v>
      </c>
      <c r="CG76" s="239"/>
      <c r="CH76" s="150"/>
      <c r="CI76" s="173"/>
      <c r="CJ76" s="523">
        <v>79.599999999999994</v>
      </c>
      <c r="CK76" s="150">
        <v>6</v>
      </c>
      <c r="CL76" s="173">
        <f>(29.2*0.99+50.4*0.99)*1.2</f>
        <v>94.564800000000005</v>
      </c>
      <c r="CM76" s="239"/>
      <c r="CN76" s="146"/>
      <c r="CO76" s="146"/>
      <c r="CP76" s="239"/>
      <c r="CQ76" s="146"/>
      <c r="CR76" s="146"/>
      <c r="CS76" s="239"/>
      <c r="CT76" s="146"/>
      <c r="CU76" s="146"/>
      <c r="CV76" s="277"/>
      <c r="CW76" s="150"/>
      <c r="CX76" s="146"/>
      <c r="CY76" s="613">
        <f t="shared" si="6"/>
        <v>444.24000000000012</v>
      </c>
      <c r="CZ76" s="148">
        <f t="shared" si="7"/>
        <v>546.86848000000009</v>
      </c>
      <c r="DA76" s="36">
        <f>COUNT(BT76,BW76,BZ76,CI76,CL76,CO76,CR76,CU76,F76,I76,L76,O76,R76,U76,X76,AA76,AD76,AG76,AJ76,AM76,AP76,#REF!,AS76,AV76,AY76,BB76,BE76,BH76,BK76,BN76,BQ76,CC76,CF76,CX76,#REF!,#REF!,#REF!)</f>
        <v>8</v>
      </c>
      <c r="DB76" s="41">
        <f>SUM(CZ74:CZ76)</f>
        <v>1427.0984800000001</v>
      </c>
      <c r="DD76" s="42"/>
    </row>
    <row r="77" spans="1:108" x14ac:dyDescent="0.25">
      <c r="A77" s="187">
        <v>226</v>
      </c>
      <c r="B77" s="186" t="s">
        <v>67</v>
      </c>
      <c r="C77" s="163" t="s">
        <v>0</v>
      </c>
      <c r="D77" s="137"/>
      <c r="E77" s="189"/>
      <c r="F77" s="164"/>
      <c r="G77" s="137"/>
      <c r="H77" s="189"/>
      <c r="I77" s="164"/>
      <c r="J77" s="137"/>
      <c r="K77" s="189"/>
      <c r="L77" s="164"/>
      <c r="M77" s="137"/>
      <c r="N77" s="189"/>
      <c r="O77" s="164"/>
      <c r="P77" s="137"/>
      <c r="Q77" s="189"/>
      <c r="R77" s="164"/>
      <c r="S77" s="137"/>
      <c r="T77" s="189"/>
      <c r="U77" s="164"/>
      <c r="V77" s="137"/>
      <c r="W77" s="189"/>
      <c r="X77" s="164"/>
      <c r="Y77" s="137">
        <v>2</v>
      </c>
      <c r="Z77" s="365">
        <v>1</v>
      </c>
      <c r="AA77" s="366">
        <v>2.62</v>
      </c>
      <c r="AB77" s="137">
        <v>3.4</v>
      </c>
      <c r="AC77" s="365">
        <v>2</v>
      </c>
      <c r="AD77" s="366">
        <v>22.15</v>
      </c>
      <c r="AE77" s="137"/>
      <c r="AF77" s="189"/>
      <c r="AG77" s="164"/>
      <c r="AH77" s="137"/>
      <c r="AI77" s="189"/>
      <c r="AJ77" s="164"/>
      <c r="AK77" s="137"/>
      <c r="AL77" s="189"/>
      <c r="AM77" s="164"/>
      <c r="AN77" s="481"/>
      <c r="AO77" s="189"/>
      <c r="AP77" s="164"/>
      <c r="AQ77" s="137"/>
      <c r="AR77" s="189"/>
      <c r="AS77" s="164"/>
      <c r="AT77" s="416"/>
      <c r="AU77" s="380"/>
      <c r="AV77" s="140"/>
      <c r="AW77" s="186"/>
      <c r="AX77" s="165"/>
      <c r="AY77" s="185"/>
      <c r="AZ77" s="186"/>
      <c r="BA77" s="250"/>
      <c r="BB77" s="143"/>
      <c r="BC77" s="186"/>
      <c r="BD77" s="144"/>
      <c r="BE77" s="143"/>
      <c r="BF77" s="186"/>
      <c r="BG77" s="144"/>
      <c r="BH77" s="143"/>
      <c r="BI77" s="186"/>
      <c r="BJ77" s="144"/>
      <c r="BK77" s="143"/>
      <c r="BL77" s="186"/>
      <c r="BM77" s="144"/>
      <c r="BN77" s="143"/>
      <c r="BO77" s="186"/>
      <c r="BP77" s="144"/>
      <c r="BQ77" s="143"/>
      <c r="BR77" s="186"/>
      <c r="BS77" s="144"/>
      <c r="BT77" s="143"/>
      <c r="BU77" s="186"/>
      <c r="BV77" s="144"/>
      <c r="BW77" s="143"/>
      <c r="BX77" s="186"/>
      <c r="BY77" s="144"/>
      <c r="BZ77" s="143"/>
      <c r="CA77" s="186"/>
      <c r="CB77" s="144"/>
      <c r="CC77" s="272"/>
      <c r="CD77" s="186"/>
      <c r="CE77" s="144"/>
      <c r="CF77" s="143"/>
      <c r="CG77" s="186"/>
      <c r="CH77" s="144"/>
      <c r="CI77" s="143"/>
      <c r="CJ77" s="186"/>
      <c r="CK77" s="144"/>
      <c r="CL77" s="143"/>
      <c r="CM77" s="186"/>
      <c r="CN77" s="140"/>
      <c r="CO77" s="140"/>
      <c r="CP77" s="186"/>
      <c r="CQ77" s="140"/>
      <c r="CR77" s="140"/>
      <c r="CS77" s="186"/>
      <c r="CT77" s="140"/>
      <c r="CU77" s="140"/>
      <c r="CV77" s="142"/>
      <c r="CW77" s="144"/>
      <c r="CX77" s="140"/>
      <c r="CY77" s="611">
        <f t="shared" si="6"/>
        <v>5.4</v>
      </c>
      <c r="CZ77" s="614">
        <f t="shared" si="7"/>
        <v>24.77</v>
      </c>
      <c r="DA77" s="36">
        <f>COUNT(BT77,BW77,BZ77,CI77,CL77,CO77,CR77,CU77,F77,I77,L77,O77,R77,U77,X77,AA77,AD77,AG77,AJ77,AM77,AP77,#REF!,AS77,AV77,AY77,BB77,BE77,BH77,BK77,BN77,BQ77,CC77,CF77,CX77,#REF!,#REF!,#REF!)</f>
        <v>2</v>
      </c>
      <c r="DB77" s="41"/>
      <c r="DD77" s="42"/>
    </row>
    <row r="78" spans="1:108" x14ac:dyDescent="0.25">
      <c r="A78" s="187"/>
      <c r="B78" s="187"/>
      <c r="C78" s="111" t="s">
        <v>34</v>
      </c>
      <c r="D78" s="29"/>
      <c r="E78" s="188"/>
      <c r="F78" s="33"/>
      <c r="G78" s="29"/>
      <c r="H78" s="188"/>
      <c r="I78" s="33"/>
      <c r="J78" s="29"/>
      <c r="K78" s="188"/>
      <c r="L78" s="33"/>
      <c r="M78" s="29"/>
      <c r="N78" s="188"/>
      <c r="O78" s="33"/>
      <c r="P78" s="29"/>
      <c r="Q78" s="188"/>
      <c r="R78" s="33"/>
      <c r="S78" s="29"/>
      <c r="T78" s="188"/>
      <c r="U78" s="33"/>
      <c r="V78" s="29"/>
      <c r="W78" s="188"/>
      <c r="X78" s="33"/>
      <c r="Y78" s="29"/>
      <c r="Z78" s="188"/>
      <c r="AA78" s="33"/>
      <c r="AB78" s="29"/>
      <c r="AC78" s="188"/>
      <c r="AD78" s="33"/>
      <c r="AE78" s="29"/>
      <c r="AF78" s="188"/>
      <c r="AG78" s="33"/>
      <c r="AH78" s="29"/>
      <c r="AI78" s="188"/>
      <c r="AJ78" s="33"/>
      <c r="AK78" s="29"/>
      <c r="AL78" s="188"/>
      <c r="AM78" s="33"/>
      <c r="AN78" s="483"/>
      <c r="AO78" s="188"/>
      <c r="AP78" s="33"/>
      <c r="AQ78" s="378">
        <v>43.3</v>
      </c>
      <c r="AR78" s="368">
        <v>4</v>
      </c>
      <c r="AS78" s="369">
        <v>46.8</v>
      </c>
      <c r="AT78" s="417"/>
      <c r="AU78" s="381"/>
      <c r="AV78" s="31"/>
      <c r="AW78" s="187"/>
      <c r="AX78" s="58"/>
      <c r="AY78" s="31"/>
      <c r="AZ78" s="187"/>
      <c r="BA78" s="253"/>
      <c r="BB78" s="33"/>
      <c r="BC78" s="187"/>
      <c r="BD78" s="59"/>
      <c r="BE78" s="45"/>
      <c r="BF78" s="187"/>
      <c r="BG78" s="59"/>
      <c r="BH78" s="45"/>
      <c r="BI78" s="187"/>
      <c r="BJ78" s="59"/>
      <c r="BK78" s="45"/>
      <c r="BL78" s="187"/>
      <c r="BM78" s="59"/>
      <c r="BN78" s="45"/>
      <c r="BO78" s="187"/>
      <c r="BP78" s="59"/>
      <c r="BQ78" s="45"/>
      <c r="BR78" s="187"/>
      <c r="BS78" s="59"/>
      <c r="BT78" s="45"/>
      <c r="BU78" s="187"/>
      <c r="BV78" s="59"/>
      <c r="BW78" s="45"/>
      <c r="BX78" s="187"/>
      <c r="BY78" s="59"/>
      <c r="BZ78" s="45"/>
      <c r="CA78" s="187"/>
      <c r="CB78" s="59"/>
      <c r="CC78" s="257"/>
      <c r="CD78" s="187"/>
      <c r="CE78" s="59"/>
      <c r="CF78" s="45"/>
      <c r="CG78" s="187"/>
      <c r="CH78" s="59"/>
      <c r="CI78" s="45"/>
      <c r="CJ78" s="187"/>
      <c r="CK78" s="59"/>
      <c r="CL78" s="45"/>
      <c r="CM78" s="187"/>
      <c r="CN78" s="31"/>
      <c r="CO78" s="31"/>
      <c r="CP78" s="187"/>
      <c r="CQ78" s="31"/>
      <c r="CR78" s="31"/>
      <c r="CS78" s="187"/>
      <c r="CT78" s="31"/>
      <c r="CU78" s="31"/>
      <c r="CV78" s="44"/>
      <c r="CW78" s="59"/>
      <c r="CX78" s="31"/>
      <c r="CY78" s="612">
        <f t="shared" si="6"/>
        <v>43.3</v>
      </c>
      <c r="CZ78" s="615">
        <f t="shared" si="7"/>
        <v>46.8</v>
      </c>
      <c r="DA78" s="36">
        <f>COUNT(BT78,BW78,BZ78,CI78,CL78,CO78,CR78,CU78,F78,I78,L78,O78,R78,U78,X78,AA78,AD78,AG78,AJ78,AM78,AP78,#REF!,AS78,AV78,AY78,BB78,BE78,BH78,BK78,BN78,BQ78,CC78,CF78,CX78,#REF!,#REF!,#REF!)</f>
        <v>1</v>
      </c>
      <c r="DB78" s="41"/>
      <c r="DD78" s="42"/>
    </row>
    <row r="79" spans="1:108" ht="16.5" thickBot="1" x14ac:dyDescent="0.3">
      <c r="A79" s="187"/>
      <c r="B79" s="194"/>
      <c r="C79" s="167" t="s">
        <v>1</v>
      </c>
      <c r="D79" s="57">
        <v>49.58</v>
      </c>
      <c r="E79" s="193"/>
      <c r="F79" s="148">
        <f>(D79*0.67)*1.2</f>
        <v>39.862320000000004</v>
      </c>
      <c r="G79" s="57"/>
      <c r="H79" s="193"/>
      <c r="I79" s="148"/>
      <c r="J79" s="57">
        <v>35.5</v>
      </c>
      <c r="K79" s="193">
        <v>3</v>
      </c>
      <c r="L79" s="148">
        <v>38.340000000000003</v>
      </c>
      <c r="M79" s="57">
        <v>60.08</v>
      </c>
      <c r="N79" s="193">
        <v>5</v>
      </c>
      <c r="O79" s="148">
        <v>55.46</v>
      </c>
      <c r="P79" s="57">
        <v>45.92</v>
      </c>
      <c r="Q79" s="193">
        <v>4</v>
      </c>
      <c r="R79" s="148">
        <f>(20.92*0.67+25*0.62)*1.2</f>
        <v>35.419680000000007</v>
      </c>
      <c r="S79" s="57">
        <v>48.86</v>
      </c>
      <c r="T79" s="193">
        <v>2</v>
      </c>
      <c r="U79" s="148">
        <f>S79*1.28*1.2</f>
        <v>75.048959999999994</v>
      </c>
      <c r="V79" s="57">
        <v>9</v>
      </c>
      <c r="W79" s="193">
        <v>1</v>
      </c>
      <c r="X79" s="148">
        <f>V79*1.5*1.2</f>
        <v>16.2</v>
      </c>
      <c r="Y79" s="57">
        <v>50.2</v>
      </c>
      <c r="Z79" s="193">
        <v>5</v>
      </c>
      <c r="AA79" s="148">
        <v>47.18</v>
      </c>
      <c r="AB79" s="57"/>
      <c r="AC79" s="193"/>
      <c r="AD79" s="148"/>
      <c r="AE79" s="57">
        <v>71.16</v>
      </c>
      <c r="AF79" s="362">
        <v>6</v>
      </c>
      <c r="AG79" s="363">
        <v>76.849999999999994</v>
      </c>
      <c r="AH79" s="57">
        <v>83.02</v>
      </c>
      <c r="AI79" s="362">
        <v>7</v>
      </c>
      <c r="AJ79" s="363">
        <v>67.33</v>
      </c>
      <c r="AK79" s="57">
        <v>113.06</v>
      </c>
      <c r="AL79" s="362">
        <v>9</v>
      </c>
      <c r="AM79" s="363">
        <v>90.9</v>
      </c>
      <c r="AN79" s="484">
        <v>122.12</v>
      </c>
      <c r="AO79" s="362">
        <v>10</v>
      </c>
      <c r="AP79" s="363">
        <v>98.2</v>
      </c>
      <c r="AQ79" s="484"/>
      <c r="AR79" s="485"/>
      <c r="AS79" s="594"/>
      <c r="AT79" s="415">
        <v>123.02</v>
      </c>
      <c r="AU79" s="452">
        <v>5</v>
      </c>
      <c r="AV79" s="438">
        <v>160.91</v>
      </c>
      <c r="AW79" s="194">
        <v>129.04</v>
      </c>
      <c r="AX79" s="437">
        <v>6</v>
      </c>
      <c r="AY79" s="456">
        <v>145.04</v>
      </c>
      <c r="AZ79" s="194">
        <v>85.9</v>
      </c>
      <c r="BA79" s="455">
        <v>4</v>
      </c>
      <c r="BB79" s="439">
        <v>112.4</v>
      </c>
      <c r="BC79" s="194">
        <v>38.799999999999997</v>
      </c>
      <c r="BD79" s="150">
        <v>2</v>
      </c>
      <c r="BE79" s="173">
        <f>(24.2*0.99+14.6*1.2)*1.2</f>
        <v>49.773599999999995</v>
      </c>
      <c r="BF79" s="194">
        <v>99.46</v>
      </c>
      <c r="BG79" s="476">
        <v>5</v>
      </c>
      <c r="BH79" s="439">
        <f>BF79*0.99*1.2</f>
        <v>118.15847999999998</v>
      </c>
      <c r="BI79" s="194">
        <v>73.3</v>
      </c>
      <c r="BJ79" s="476">
        <v>4</v>
      </c>
      <c r="BK79" s="439">
        <f>BI79*1.2*1.2</f>
        <v>105.55199999999999</v>
      </c>
      <c r="BL79" s="194">
        <v>94.48</v>
      </c>
      <c r="BM79" s="150">
        <v>4</v>
      </c>
      <c r="BN79" s="173">
        <f>BL79*1.2*1.2</f>
        <v>136.05119999999999</v>
      </c>
      <c r="BO79" s="194">
        <v>115.52</v>
      </c>
      <c r="BP79" s="150">
        <v>5</v>
      </c>
      <c r="BQ79" s="50">
        <f>(48.6*1.2+66.92*0.99)*1.2</f>
        <v>149.48495999999997</v>
      </c>
      <c r="BR79" s="194">
        <v>100.5</v>
      </c>
      <c r="BS79" s="150">
        <v>5</v>
      </c>
      <c r="BT79" s="50">
        <f>(93.44*0.99+7.06*1.65)*1.2</f>
        <v>124.98551999999999</v>
      </c>
      <c r="BU79" s="194">
        <v>27.36</v>
      </c>
      <c r="BV79" s="150">
        <v>1</v>
      </c>
      <c r="BW79" s="173">
        <f>BU79*1.41*1.2</f>
        <v>46.293119999999995</v>
      </c>
      <c r="BX79" s="194">
        <v>72.7</v>
      </c>
      <c r="BY79" s="150">
        <v>4</v>
      </c>
      <c r="BZ79" s="50">
        <f>BX79*1.2*1.2</f>
        <v>104.68799999999999</v>
      </c>
      <c r="CA79" s="194">
        <v>88.08</v>
      </c>
      <c r="CB79" s="150">
        <v>4</v>
      </c>
      <c r="CC79" s="273">
        <f>CA79*0.99*1.2</f>
        <v>104.63903999999998</v>
      </c>
      <c r="CD79" s="194">
        <v>42.72</v>
      </c>
      <c r="CE79" s="150">
        <v>2</v>
      </c>
      <c r="CF79" s="50">
        <f>(25.26*0.99+17.46*0.74)*1.2</f>
        <v>45.513360000000006</v>
      </c>
      <c r="CG79" s="194">
        <v>25.9</v>
      </c>
      <c r="CH79" s="150">
        <v>2</v>
      </c>
      <c r="CI79" s="173">
        <f>CG79*0.99*1.2</f>
        <v>30.769199999999998</v>
      </c>
      <c r="CJ79" s="194">
        <v>59.46</v>
      </c>
      <c r="CK79" s="150">
        <v>5</v>
      </c>
      <c r="CL79" s="173">
        <f>(38.96*1.2+20.5*0.99)*1.2</f>
        <v>80.456399999999988</v>
      </c>
      <c r="CM79" s="194"/>
      <c r="CN79" s="49"/>
      <c r="CO79" s="49"/>
      <c r="CP79" s="194"/>
      <c r="CQ79" s="49"/>
      <c r="CR79" s="49"/>
      <c r="CS79" s="194"/>
      <c r="CT79" s="49"/>
      <c r="CU79" s="49"/>
      <c r="CV79" s="48"/>
      <c r="CW79" s="150"/>
      <c r="CX79" s="49"/>
      <c r="CY79" s="613">
        <f t="shared" si="6"/>
        <v>1864.7399999999998</v>
      </c>
      <c r="CZ79" s="173">
        <f t="shared" si="7"/>
        <v>2155.5058399999998</v>
      </c>
      <c r="DA79" s="36">
        <f>COUNT(BT79,BW79,BZ79,CI79,CL79,CO79,CR79,CU79,F79,I79,L79,O79,R79,U79,X79,AA79,AD79,AG79,AJ79,AM79,AP79,#REF!,AS79,AV79,AY79,BB79,BE79,BH79,BK79,BN79,BQ79,CC79,CF79,CX79,#REF!,#REF!,#REF!)</f>
        <v>26</v>
      </c>
      <c r="DB79" s="41">
        <f>SUM(CZ77:CZ79)</f>
        <v>2227.07584</v>
      </c>
      <c r="DD79" s="42"/>
    </row>
    <row r="80" spans="1:108" x14ac:dyDescent="0.25">
      <c r="A80" s="187">
        <v>227</v>
      </c>
      <c r="B80" s="186" t="s">
        <v>68</v>
      </c>
      <c r="C80" s="163" t="s">
        <v>0</v>
      </c>
      <c r="D80" s="137"/>
      <c r="E80" s="189"/>
      <c r="F80" s="164"/>
      <c r="G80" s="137"/>
      <c r="H80" s="189"/>
      <c r="I80" s="164"/>
      <c r="J80" s="137"/>
      <c r="K80" s="189"/>
      <c r="L80" s="164"/>
      <c r="M80" s="137"/>
      <c r="N80" s="189"/>
      <c r="O80" s="164"/>
      <c r="P80" s="137"/>
      <c r="Q80" s="189"/>
      <c r="R80" s="164"/>
      <c r="S80" s="137"/>
      <c r="T80" s="189"/>
      <c r="U80" s="164"/>
      <c r="V80" s="137"/>
      <c r="W80" s="189"/>
      <c r="X80" s="164"/>
      <c r="Y80" s="137"/>
      <c r="Z80" s="189"/>
      <c r="AA80" s="164"/>
      <c r="AB80" s="137">
        <v>2.8</v>
      </c>
      <c r="AC80" s="365">
        <v>1</v>
      </c>
      <c r="AD80" s="366">
        <v>18.239999999999998</v>
      </c>
      <c r="AE80" s="137"/>
      <c r="AF80" s="189"/>
      <c r="AG80" s="164"/>
      <c r="AH80" s="137"/>
      <c r="AI80" s="189"/>
      <c r="AJ80" s="164"/>
      <c r="AK80" s="137"/>
      <c r="AL80" s="189"/>
      <c r="AM80" s="164"/>
      <c r="AN80" s="481"/>
      <c r="AO80" s="189"/>
      <c r="AP80" s="164"/>
      <c r="AQ80" s="137"/>
      <c r="AR80" s="189"/>
      <c r="AS80" s="164"/>
      <c r="AT80" s="422"/>
      <c r="AU80" s="380"/>
      <c r="AV80" s="243"/>
      <c r="AW80" s="240"/>
      <c r="AX80" s="165"/>
      <c r="AY80" s="168"/>
      <c r="AZ80" s="240"/>
      <c r="BA80" s="250"/>
      <c r="BB80" s="235"/>
      <c r="BC80" s="240"/>
      <c r="BD80" s="144"/>
      <c r="BE80" s="164"/>
      <c r="BF80" s="240"/>
      <c r="BG80" s="144"/>
      <c r="BH80" s="164"/>
      <c r="BI80" s="240"/>
      <c r="BJ80" s="144"/>
      <c r="BK80" s="164"/>
      <c r="BL80" s="240"/>
      <c r="BM80" s="144"/>
      <c r="BN80" s="164"/>
      <c r="BO80" s="240"/>
      <c r="BP80" s="144"/>
      <c r="BQ80" s="164"/>
      <c r="BR80" s="240"/>
      <c r="BS80" s="144"/>
      <c r="BT80" s="164"/>
      <c r="BU80" s="240"/>
      <c r="BV80" s="144"/>
      <c r="BW80" s="164"/>
      <c r="BX80" s="240"/>
      <c r="BY80" s="144"/>
      <c r="BZ80" s="164"/>
      <c r="CA80" s="240"/>
      <c r="CB80" s="144"/>
      <c r="CC80" s="274"/>
      <c r="CD80" s="240"/>
      <c r="CE80" s="144"/>
      <c r="CF80" s="164"/>
      <c r="CG80" s="240"/>
      <c r="CH80" s="144"/>
      <c r="CI80" s="164"/>
      <c r="CJ80" s="240"/>
      <c r="CK80" s="144"/>
      <c r="CL80" s="164"/>
      <c r="CM80" s="240"/>
      <c r="CN80" s="168"/>
      <c r="CO80" s="168"/>
      <c r="CP80" s="240"/>
      <c r="CQ80" s="168"/>
      <c r="CR80" s="168"/>
      <c r="CS80" s="240"/>
      <c r="CT80" s="168"/>
      <c r="CU80" s="168"/>
      <c r="CV80" s="233"/>
      <c r="CW80" s="144"/>
      <c r="CX80" s="185"/>
      <c r="CY80" s="611">
        <f t="shared" si="6"/>
        <v>2.8</v>
      </c>
      <c r="CZ80" s="607">
        <f t="shared" si="7"/>
        <v>18.239999999999998</v>
      </c>
      <c r="DA80" s="36">
        <f>COUNT(BT80,BW80,BZ80,CI80,CL80,CO80,CR80,CU80,F80,I80,L80,O80,R80,U80,X80,AA80,AD80,AG80,AJ80,AM80,AP80,#REF!,AS80,AV80,AY80,BB80,BE80,BH80,BK80,BN80,BQ80,CC80,CF80,CX80,#REF!,#REF!,#REF!)</f>
        <v>1</v>
      </c>
      <c r="DB80" s="41"/>
      <c r="DD80" s="42"/>
    </row>
    <row r="81" spans="1:108" x14ac:dyDescent="0.25">
      <c r="A81" s="187"/>
      <c r="B81" s="187"/>
      <c r="C81" s="111" t="s">
        <v>34</v>
      </c>
      <c r="D81" s="29"/>
      <c r="E81" s="188"/>
      <c r="F81" s="33"/>
      <c r="G81" s="29"/>
      <c r="H81" s="188"/>
      <c r="I81" s="33"/>
      <c r="J81" s="29"/>
      <c r="K81" s="188"/>
      <c r="L81" s="33"/>
      <c r="M81" s="29"/>
      <c r="N81" s="188"/>
      <c r="O81" s="33"/>
      <c r="P81" s="29"/>
      <c r="Q81" s="188"/>
      <c r="R81" s="33"/>
      <c r="S81" s="29"/>
      <c r="T81" s="188"/>
      <c r="U81" s="33"/>
      <c r="V81" s="29"/>
      <c r="W81" s="188"/>
      <c r="X81" s="33"/>
      <c r="Y81" s="29"/>
      <c r="Z81" s="188"/>
      <c r="AA81" s="33"/>
      <c r="AB81" s="29"/>
      <c r="AC81" s="188"/>
      <c r="AD81" s="33"/>
      <c r="AE81" s="29"/>
      <c r="AF81" s="188"/>
      <c r="AG81" s="33"/>
      <c r="AH81" s="29"/>
      <c r="AI81" s="188"/>
      <c r="AJ81" s="33"/>
      <c r="AK81" s="29"/>
      <c r="AL81" s="188"/>
      <c r="AM81" s="33"/>
      <c r="AN81" s="483"/>
      <c r="AO81" s="188"/>
      <c r="AP81" s="33"/>
      <c r="AQ81" s="29"/>
      <c r="AR81" s="188"/>
      <c r="AS81" s="33"/>
      <c r="AT81" s="423"/>
      <c r="AU81" s="381"/>
      <c r="AV81" s="34"/>
      <c r="AW81" s="241"/>
      <c r="AX81" s="58"/>
      <c r="AY81" s="34"/>
      <c r="AZ81" s="241"/>
      <c r="BA81" s="253"/>
      <c r="BB81" s="47"/>
      <c r="BC81" s="241"/>
      <c r="BD81" s="59"/>
      <c r="BE81" s="47"/>
      <c r="BF81" s="241"/>
      <c r="BG81" s="59"/>
      <c r="BH81" s="47"/>
      <c r="BI81" s="241"/>
      <c r="BJ81" s="59"/>
      <c r="BK81" s="47"/>
      <c r="BL81" s="241"/>
      <c r="BM81" s="59"/>
      <c r="BN81" s="47"/>
      <c r="BO81" s="241"/>
      <c r="BP81" s="59"/>
      <c r="BQ81" s="47"/>
      <c r="BR81" s="241"/>
      <c r="BS81" s="59"/>
      <c r="BT81" s="47"/>
      <c r="BU81" s="241"/>
      <c r="BV81" s="59"/>
      <c r="BW81" s="47"/>
      <c r="BX81" s="241"/>
      <c r="BY81" s="59"/>
      <c r="BZ81" s="47"/>
      <c r="CA81" s="241"/>
      <c r="CB81" s="59"/>
      <c r="CC81" s="254"/>
      <c r="CD81" s="241"/>
      <c r="CE81" s="59"/>
      <c r="CF81" s="47"/>
      <c r="CG81" s="241"/>
      <c r="CH81" s="59"/>
      <c r="CI81" s="47"/>
      <c r="CJ81" s="241"/>
      <c r="CK81" s="59"/>
      <c r="CL81" s="47"/>
      <c r="CM81" s="241"/>
      <c r="CN81" s="34"/>
      <c r="CO81" s="34"/>
      <c r="CP81" s="241"/>
      <c r="CQ81" s="34"/>
      <c r="CR81" s="34"/>
      <c r="CS81" s="241"/>
      <c r="CT81" s="34"/>
      <c r="CU81" s="34"/>
      <c r="CV81" s="46"/>
      <c r="CW81" s="59"/>
      <c r="CX81" s="34"/>
      <c r="CY81" s="612">
        <f t="shared" si="6"/>
        <v>0</v>
      </c>
      <c r="CZ81" s="204">
        <f t="shared" si="7"/>
        <v>0</v>
      </c>
      <c r="DA81" s="36">
        <f>COUNT(BT81,BW81,BZ81,CI81,CL81,CO81,CR81,CU81,F81,I81,L81,O81,R81,U81,X81,AA81,AD81,AG81,AJ81,AM81,AP81,#REF!,AS81,AV81,AY81,BB81,BE81,BH81,BK81,BN81,BQ81,CC81,CF81,CX81,#REF!,#REF!,#REF!)</f>
        <v>0</v>
      </c>
      <c r="DB81" s="41"/>
      <c r="DD81" s="42"/>
    </row>
    <row r="82" spans="1:108" ht="16.5" thickBot="1" x14ac:dyDescent="0.3">
      <c r="A82" s="187"/>
      <c r="B82" s="194"/>
      <c r="C82" s="167" t="s">
        <v>1</v>
      </c>
      <c r="D82" s="57"/>
      <c r="E82" s="193"/>
      <c r="F82" s="148"/>
      <c r="G82" s="57"/>
      <c r="H82" s="193"/>
      <c r="I82" s="148"/>
      <c r="J82" s="57"/>
      <c r="K82" s="193"/>
      <c r="L82" s="148"/>
      <c r="M82" s="57"/>
      <c r="N82" s="193"/>
      <c r="O82" s="148"/>
      <c r="P82" s="57">
        <v>9.6</v>
      </c>
      <c r="Q82" s="193">
        <v>1</v>
      </c>
      <c r="R82" s="148">
        <f>P82*0.67*1.2</f>
        <v>7.7183999999999999</v>
      </c>
      <c r="S82" s="57">
        <v>48.98</v>
      </c>
      <c r="T82" s="193">
        <v>2</v>
      </c>
      <c r="U82" s="148">
        <f>S82*1.28*1.2</f>
        <v>75.233279999999993</v>
      </c>
      <c r="V82" s="57"/>
      <c r="W82" s="193"/>
      <c r="X82" s="148"/>
      <c r="Y82" s="57">
        <v>40.86</v>
      </c>
      <c r="Z82" s="362">
        <v>2</v>
      </c>
      <c r="AA82" s="363">
        <v>70.099999999999994</v>
      </c>
      <c r="AB82" s="57"/>
      <c r="AC82" s="193"/>
      <c r="AD82" s="148"/>
      <c r="AE82" s="57">
        <v>77.040000000000006</v>
      </c>
      <c r="AF82" s="362">
        <v>6</v>
      </c>
      <c r="AG82" s="363">
        <v>79.959999999999994</v>
      </c>
      <c r="AH82" s="57">
        <v>39.72</v>
      </c>
      <c r="AI82" s="362">
        <v>3</v>
      </c>
      <c r="AJ82" s="363">
        <v>31.9</v>
      </c>
      <c r="AK82" s="57">
        <v>107.56</v>
      </c>
      <c r="AL82" s="362">
        <v>9</v>
      </c>
      <c r="AM82" s="363">
        <v>86.5</v>
      </c>
      <c r="AN82" s="484">
        <v>109.16</v>
      </c>
      <c r="AO82" s="362">
        <v>9</v>
      </c>
      <c r="AP82" s="363">
        <v>87.7</v>
      </c>
      <c r="AQ82" s="57"/>
      <c r="AR82" s="193"/>
      <c r="AS82" s="148"/>
      <c r="AT82" s="451">
        <v>132.97999999999999</v>
      </c>
      <c r="AU82" s="452">
        <v>6</v>
      </c>
      <c r="AV82" s="438">
        <v>174</v>
      </c>
      <c r="AW82" s="472">
        <v>105.5</v>
      </c>
      <c r="AX82" s="437">
        <v>5</v>
      </c>
      <c r="AY82" s="438">
        <v>138</v>
      </c>
      <c r="AZ82" s="239">
        <v>103.12</v>
      </c>
      <c r="BA82" s="455">
        <v>5</v>
      </c>
      <c r="BB82" s="363">
        <v>111.4</v>
      </c>
      <c r="BC82" s="239">
        <v>14.1</v>
      </c>
      <c r="BD82" s="476">
        <v>1</v>
      </c>
      <c r="BE82" s="363">
        <f>BC82*0.99*1.2</f>
        <v>16.750799999999998</v>
      </c>
      <c r="BF82" s="239">
        <v>93.7</v>
      </c>
      <c r="BG82" s="150">
        <v>4</v>
      </c>
      <c r="BH82" s="148">
        <f>BF82*0.99*1.2</f>
        <v>111.3156</v>
      </c>
      <c r="BI82" s="239">
        <v>90.26</v>
      </c>
      <c r="BJ82" s="150">
        <v>4</v>
      </c>
      <c r="BK82" s="148">
        <f>BI82*1.2*1.2</f>
        <v>129.9744</v>
      </c>
      <c r="BL82" s="239">
        <v>91.34</v>
      </c>
      <c r="BM82" s="150">
        <v>4</v>
      </c>
      <c r="BN82" s="148">
        <f>BL82*1.2*1.2</f>
        <v>131.52959999999999</v>
      </c>
      <c r="BO82" s="239">
        <v>140.16</v>
      </c>
      <c r="BP82" s="150">
        <v>6</v>
      </c>
      <c r="BQ82" s="148">
        <f>BO82*0.99*1.2</f>
        <v>166.51007999999999</v>
      </c>
      <c r="BR82" s="239">
        <v>109.24</v>
      </c>
      <c r="BS82" s="150">
        <v>5</v>
      </c>
      <c r="BT82" s="148">
        <f>(27.2*0.74+76.44*1.2+5.6*1.2)*1.2</f>
        <v>142.29119999999998</v>
      </c>
      <c r="BU82" s="239">
        <v>25.82</v>
      </c>
      <c r="BV82" s="150">
        <v>1</v>
      </c>
      <c r="BW82" s="173">
        <f>BU82*1.41*1.2</f>
        <v>43.687439999999995</v>
      </c>
      <c r="BX82" s="239">
        <v>70.099999999999994</v>
      </c>
      <c r="BY82" s="150">
        <v>4</v>
      </c>
      <c r="BZ82" s="148">
        <f>BX82*0.99*1.2</f>
        <v>83.278799999999976</v>
      </c>
      <c r="CA82" s="239">
        <v>90.32</v>
      </c>
      <c r="CB82" s="150">
        <v>5</v>
      </c>
      <c r="CC82" s="248">
        <f>(19.9*1.2+90.32*0.99)*1.2</f>
        <v>135.95615999999998</v>
      </c>
      <c r="CD82" s="239">
        <v>8.44</v>
      </c>
      <c r="CE82" s="150">
        <v>1</v>
      </c>
      <c r="CF82" s="148">
        <f>CD82*0.74*1.2</f>
        <v>7.4947199999999992</v>
      </c>
      <c r="CG82" s="239">
        <v>28.8</v>
      </c>
      <c r="CH82" s="150">
        <v>2</v>
      </c>
      <c r="CI82" s="148">
        <f>CG82*0.74*1.2</f>
        <v>25.574400000000001</v>
      </c>
      <c r="CJ82" s="239">
        <v>110.2</v>
      </c>
      <c r="CK82" s="150">
        <v>5</v>
      </c>
      <c r="CL82" s="148">
        <f>CJ82*0.99*1.2</f>
        <v>130.91759999999999</v>
      </c>
      <c r="CM82" s="239"/>
      <c r="CN82" s="146"/>
      <c r="CO82" s="146"/>
      <c r="CP82" s="239">
        <v>20.6</v>
      </c>
      <c r="CQ82" s="503">
        <v>2</v>
      </c>
      <c r="CR82" s="146">
        <f>CP82*1.98*1.2</f>
        <v>48.945600000000006</v>
      </c>
      <c r="CS82" s="239">
        <v>38.4</v>
      </c>
      <c r="CT82" s="503">
        <v>3</v>
      </c>
      <c r="CU82" s="146">
        <f>CS82*1.98*1.2</f>
        <v>91.238399999999999</v>
      </c>
      <c r="CV82" s="239">
        <v>20.5</v>
      </c>
      <c r="CW82" s="150">
        <v>2</v>
      </c>
      <c r="CX82" s="238">
        <f>CV82*1.98*1.2</f>
        <v>48.707999999999991</v>
      </c>
      <c r="CY82" s="613">
        <f t="shared" si="6"/>
        <v>1726.5</v>
      </c>
      <c r="CZ82" s="148">
        <f t="shared" si="7"/>
        <v>2176.6844799999999</v>
      </c>
      <c r="DA82" s="36">
        <f>COUNT(BT82,BW82,BZ82,CI82,CL82,CO82,CR82,CU82,F82,I82,L82,O82,R82,U82,X82,AA82,AD82,AG82,AJ82,AM82,AP82,#REF!,AS82,AV82,AY82,BB82,BE82,BH82,BK82,BN82,BQ82,CC82,CF82,CX82,#REF!,#REF!,#REF!)</f>
        <v>25</v>
      </c>
      <c r="DB82" s="41">
        <f>SUM(CZ80:CZ82)</f>
        <v>2194.9244799999997</v>
      </c>
      <c r="DD82" s="42"/>
    </row>
    <row r="83" spans="1:108" x14ac:dyDescent="0.25">
      <c r="A83" s="29">
        <v>290</v>
      </c>
      <c r="B83" s="186" t="s">
        <v>69</v>
      </c>
      <c r="C83" s="163" t="s">
        <v>0</v>
      </c>
      <c r="D83" s="137"/>
      <c r="E83" s="189"/>
      <c r="F83" s="164"/>
      <c r="G83" s="137"/>
      <c r="H83" s="189"/>
      <c r="I83" s="164"/>
      <c r="J83" s="137"/>
      <c r="K83" s="189"/>
      <c r="L83" s="164"/>
      <c r="M83" s="137"/>
      <c r="N83" s="189"/>
      <c r="O83" s="164"/>
      <c r="P83" s="137"/>
      <c r="Q83" s="189"/>
      <c r="R83" s="164"/>
      <c r="S83" s="137">
        <v>6</v>
      </c>
      <c r="T83" s="189">
        <v>6</v>
      </c>
      <c r="U83" s="164">
        <v>39.1</v>
      </c>
      <c r="V83" s="137"/>
      <c r="W83" s="189"/>
      <c r="X83" s="164"/>
      <c r="Y83" s="137"/>
      <c r="Z83" s="189"/>
      <c r="AA83" s="164"/>
      <c r="AB83" s="137">
        <v>7.3</v>
      </c>
      <c r="AC83" s="365">
        <v>1</v>
      </c>
      <c r="AD83" s="366">
        <v>47.57</v>
      </c>
      <c r="AE83" s="137">
        <v>23.2</v>
      </c>
      <c r="AF83" s="365">
        <v>2</v>
      </c>
      <c r="AG83" s="366">
        <v>151.16999999999999</v>
      </c>
      <c r="AH83" s="137"/>
      <c r="AI83" s="189"/>
      <c r="AJ83" s="164"/>
      <c r="AK83" s="137"/>
      <c r="AL83" s="189"/>
      <c r="AM83" s="164"/>
      <c r="AN83" s="137"/>
      <c r="AO83" s="189"/>
      <c r="AP83" s="164"/>
      <c r="AQ83" s="137"/>
      <c r="AR83" s="189"/>
      <c r="AS83" s="164"/>
      <c r="AT83" s="418"/>
      <c r="AU83" s="380"/>
      <c r="AV83" s="168"/>
      <c r="AW83" s="240"/>
      <c r="AX83" s="165"/>
      <c r="AY83" s="185"/>
      <c r="AZ83" s="240"/>
      <c r="BA83" s="250"/>
      <c r="BB83" s="251"/>
      <c r="BC83" s="240"/>
      <c r="BD83" s="144"/>
      <c r="BE83" s="251"/>
      <c r="BF83" s="240"/>
      <c r="BG83" s="144"/>
      <c r="BH83" s="235"/>
      <c r="BI83" s="240"/>
      <c r="BJ83" s="144"/>
      <c r="BK83" s="235"/>
      <c r="BL83" s="240"/>
      <c r="BM83" s="144"/>
      <c r="BN83" s="235"/>
      <c r="BO83" s="240"/>
      <c r="BP83" s="144"/>
      <c r="BQ83" s="235"/>
      <c r="BR83" s="240"/>
      <c r="BS83" s="144"/>
      <c r="BT83" s="235"/>
      <c r="BU83" s="240"/>
      <c r="BV83" s="144"/>
      <c r="BW83" s="235"/>
      <c r="BX83" s="240"/>
      <c r="BY83" s="144"/>
      <c r="BZ83" s="235"/>
      <c r="CA83" s="240"/>
      <c r="CB83" s="144"/>
      <c r="CC83" s="251"/>
      <c r="CD83" s="240"/>
      <c r="CE83" s="144"/>
      <c r="CF83" s="235"/>
      <c r="CG83" s="240"/>
      <c r="CH83" s="144"/>
      <c r="CI83" s="235"/>
      <c r="CJ83" s="240"/>
      <c r="CK83" s="144"/>
      <c r="CL83" s="235"/>
      <c r="CM83" s="240"/>
      <c r="CN83" s="168"/>
      <c r="CO83" s="168"/>
      <c r="CP83" s="240"/>
      <c r="CQ83" s="168"/>
      <c r="CR83" s="168"/>
      <c r="CS83" s="240"/>
      <c r="CT83" s="168"/>
      <c r="CU83" s="168"/>
      <c r="CV83" s="233"/>
      <c r="CW83" s="144"/>
      <c r="CX83" s="168"/>
      <c r="CY83" s="611">
        <f t="shared" si="6"/>
        <v>36.5</v>
      </c>
      <c r="CZ83" s="607">
        <f t="shared" si="7"/>
        <v>237.83999999999997</v>
      </c>
      <c r="DA83" s="36">
        <f>COUNT(BT83,BW83,BZ83,CI83,CL83,CO83,CR83,CU83,F83,I83,L83,O83,R83,U83,X83,AA83,AD83,AG83,AJ83,AM83,AP83,#REF!,AS83,AV83,AY83,BB83,BE83,BH83,BK83,BN83,BQ83,CC83,CF83,CX83,#REF!,#REF!,#REF!)</f>
        <v>3</v>
      </c>
      <c r="DB83" s="41"/>
      <c r="DD83" s="42"/>
    </row>
    <row r="84" spans="1:108" x14ac:dyDescent="0.25">
      <c r="A84" s="29"/>
      <c r="B84" s="187"/>
      <c r="C84" s="111" t="s">
        <v>34</v>
      </c>
      <c r="D84" s="29"/>
      <c r="E84" s="188"/>
      <c r="F84" s="33"/>
      <c r="G84" s="29"/>
      <c r="H84" s="188"/>
      <c r="I84" s="33"/>
      <c r="J84" s="29"/>
      <c r="K84" s="188"/>
      <c r="L84" s="33"/>
      <c r="M84" s="29"/>
      <c r="N84" s="188"/>
      <c r="O84" s="33"/>
      <c r="P84" s="29"/>
      <c r="Q84" s="188"/>
      <c r="R84" s="33"/>
      <c r="S84" s="29"/>
      <c r="T84" s="188"/>
      <c r="U84" s="33"/>
      <c r="V84" s="29"/>
      <c r="W84" s="188"/>
      <c r="X84" s="33"/>
      <c r="Y84" s="29"/>
      <c r="Z84" s="188"/>
      <c r="AA84" s="33"/>
      <c r="AB84" s="29"/>
      <c r="AC84" s="188"/>
      <c r="AD84" s="33"/>
      <c r="AE84" s="29"/>
      <c r="AF84" s="188"/>
      <c r="AG84" s="33"/>
      <c r="AH84" s="29"/>
      <c r="AI84" s="188"/>
      <c r="AJ84" s="33"/>
      <c r="AK84" s="29"/>
      <c r="AL84" s="188"/>
      <c r="AM84" s="33"/>
      <c r="AN84" s="29"/>
      <c r="AO84" s="188"/>
      <c r="AP84" s="33"/>
      <c r="AQ84" s="29"/>
      <c r="AR84" s="188"/>
      <c r="AS84" s="33"/>
      <c r="AT84" s="419"/>
      <c r="AU84" s="381"/>
      <c r="AV84" s="34"/>
      <c r="AW84" s="241"/>
      <c r="AX84" s="43"/>
      <c r="AY84" s="34"/>
      <c r="AZ84" s="241"/>
      <c r="BA84" s="259"/>
      <c r="BB84" s="254"/>
      <c r="BC84" s="241"/>
      <c r="BD84" s="259"/>
      <c r="BE84" s="254"/>
      <c r="BF84" s="241"/>
      <c r="BG84" s="43"/>
      <c r="BH84" s="47"/>
      <c r="BI84" s="241"/>
      <c r="BJ84" s="43"/>
      <c r="BK84" s="47"/>
      <c r="BL84" s="241"/>
      <c r="BM84" s="43"/>
      <c r="BN84" s="47"/>
      <c r="BO84" s="241"/>
      <c r="BP84" s="43"/>
      <c r="BQ84" s="47"/>
      <c r="BR84" s="241"/>
      <c r="BS84" s="43"/>
      <c r="BT84" s="47"/>
      <c r="BU84" s="241"/>
      <c r="BV84" s="43"/>
      <c r="BW84" s="47"/>
      <c r="BX84" s="241"/>
      <c r="BY84" s="43"/>
      <c r="BZ84" s="47"/>
      <c r="CA84" s="241"/>
      <c r="CB84" s="259"/>
      <c r="CC84" s="254"/>
      <c r="CD84" s="241"/>
      <c r="CE84" s="259"/>
      <c r="CF84" s="47"/>
      <c r="CG84" s="241"/>
      <c r="CH84" s="259"/>
      <c r="CI84" s="47"/>
      <c r="CJ84" s="241"/>
      <c r="CK84" s="259"/>
      <c r="CL84" s="47"/>
      <c r="CM84" s="241"/>
      <c r="CN84" s="34"/>
      <c r="CO84" s="34"/>
      <c r="CP84" s="241"/>
      <c r="CQ84" s="34"/>
      <c r="CR84" s="34"/>
      <c r="CS84" s="241"/>
      <c r="CT84" s="34"/>
      <c r="CU84" s="34"/>
      <c r="CV84" s="46"/>
      <c r="CW84" s="43"/>
      <c r="CX84" s="34"/>
      <c r="CY84" s="612">
        <f t="shared" si="6"/>
        <v>0</v>
      </c>
      <c r="CZ84" s="204">
        <f t="shared" si="7"/>
        <v>0</v>
      </c>
      <c r="DA84" s="36">
        <f>COUNT(BT84,BW84,BZ84,CI84,CL84,CO84,CR84,CU84,F84,I84,L84,O84,R84,U84,X84,AA84,AD84,AG84,AJ84,AM84,AP84,#REF!,AS84,AV84,AY84,BB84,BE84,BH84,BK84,BN84,BQ84,CC84,CF84,CX84,#REF!,#REF!,#REF!)</f>
        <v>0</v>
      </c>
      <c r="DB84" s="41"/>
      <c r="DD84" s="42"/>
    </row>
    <row r="85" spans="1:108" ht="16.5" thickBot="1" x14ac:dyDescent="0.3">
      <c r="A85" s="29"/>
      <c r="B85" s="194"/>
      <c r="C85" s="167" t="s">
        <v>1</v>
      </c>
      <c r="D85" s="57">
        <v>59.22</v>
      </c>
      <c r="E85" s="193">
        <v>10</v>
      </c>
      <c r="F85" s="148">
        <f>(D85*0.67)*1.2</f>
        <v>47.612879999999997</v>
      </c>
      <c r="G85" s="57"/>
      <c r="H85" s="193"/>
      <c r="I85" s="148"/>
      <c r="J85" s="57">
        <v>31.52</v>
      </c>
      <c r="K85" s="193">
        <v>3</v>
      </c>
      <c r="L85" s="148">
        <v>34</v>
      </c>
      <c r="M85" s="57">
        <v>67.12</v>
      </c>
      <c r="N85" s="193">
        <v>6</v>
      </c>
      <c r="O85" s="148">
        <v>53.96</v>
      </c>
      <c r="P85" s="57">
        <v>24.26</v>
      </c>
      <c r="Q85" s="193">
        <v>4</v>
      </c>
      <c r="R85" s="148">
        <v>19.5</v>
      </c>
      <c r="S85" s="57"/>
      <c r="T85" s="193"/>
      <c r="U85" s="148"/>
      <c r="V85" s="57"/>
      <c r="W85" s="193"/>
      <c r="X85" s="148"/>
      <c r="Y85" s="57">
        <v>104.42</v>
      </c>
      <c r="Z85" s="362">
        <v>4</v>
      </c>
      <c r="AA85" s="363">
        <v>160.38999999999999</v>
      </c>
      <c r="AB85" s="57"/>
      <c r="AC85" s="193"/>
      <c r="AD85" s="148"/>
      <c r="AE85" s="57"/>
      <c r="AF85" s="193"/>
      <c r="AG85" s="148"/>
      <c r="AH85" s="57">
        <v>90.52</v>
      </c>
      <c r="AI85" s="362">
        <v>7</v>
      </c>
      <c r="AJ85" s="363">
        <v>60.6</v>
      </c>
      <c r="AK85" s="57">
        <v>155.4</v>
      </c>
      <c r="AL85" s="362">
        <v>11</v>
      </c>
      <c r="AM85" s="363">
        <v>92.8</v>
      </c>
      <c r="AN85" s="57"/>
      <c r="AO85" s="193"/>
      <c r="AP85" s="148"/>
      <c r="AQ85" s="57"/>
      <c r="AR85" s="193"/>
      <c r="AS85" s="148"/>
      <c r="AT85" s="421">
        <v>94.22</v>
      </c>
      <c r="AU85" s="452">
        <v>4</v>
      </c>
      <c r="AV85" s="438">
        <v>123.24</v>
      </c>
      <c r="AW85" s="239">
        <v>99.26</v>
      </c>
      <c r="AX85" s="454">
        <v>4</v>
      </c>
      <c r="AY85" s="438">
        <v>107.2</v>
      </c>
      <c r="AZ85" s="239">
        <v>123.12</v>
      </c>
      <c r="BA85" s="255">
        <v>5</v>
      </c>
      <c r="BB85" s="173">
        <v>98.99</v>
      </c>
      <c r="BC85" s="239">
        <v>22.98</v>
      </c>
      <c r="BD85" s="455">
        <v>2</v>
      </c>
      <c r="BE85" s="439">
        <f>BC85*0.99*1.2</f>
        <v>27.300239999999999</v>
      </c>
      <c r="BF85" s="239">
        <v>139.9</v>
      </c>
      <c r="BG85" s="437">
        <v>6</v>
      </c>
      <c r="BH85" s="439">
        <f>BF85*0.99*1.2</f>
        <v>166.2012</v>
      </c>
      <c r="BI85" s="239">
        <v>108.7</v>
      </c>
      <c r="BJ85" s="269">
        <v>5</v>
      </c>
      <c r="BK85" s="173">
        <f>BI85*1.2*1.2</f>
        <v>156.52799999999999</v>
      </c>
      <c r="BL85" s="277">
        <v>154.82</v>
      </c>
      <c r="BM85" s="149">
        <v>7</v>
      </c>
      <c r="BN85" s="173">
        <f>(13.56*1.2+141.26*0.74)*1.2</f>
        <v>144.96527999999998</v>
      </c>
      <c r="BO85" s="239">
        <v>163.52000000000001</v>
      </c>
      <c r="BP85" s="150">
        <v>9</v>
      </c>
      <c r="BQ85" s="173">
        <f>(119.22*0.68+44.3*0.74)*1.2</f>
        <v>136.62191999999999</v>
      </c>
      <c r="BR85" s="239">
        <v>140.6</v>
      </c>
      <c r="BS85" s="247">
        <v>5</v>
      </c>
      <c r="BT85" s="173">
        <f>BR85*0.74*1.2</f>
        <v>124.85279999999999</v>
      </c>
      <c r="BU85" s="239">
        <v>53.72</v>
      </c>
      <c r="BV85" s="149">
        <v>2</v>
      </c>
      <c r="BW85" s="173">
        <f>BU85*1.41*1.2</f>
        <v>90.894239999999996</v>
      </c>
      <c r="BX85" s="239">
        <v>67.680000000000007</v>
      </c>
      <c r="BY85" s="149">
        <v>3</v>
      </c>
      <c r="BZ85" s="173">
        <f>BX85*1.41*1.2</f>
        <v>114.51456</v>
      </c>
      <c r="CA85" s="239">
        <v>66.180000000000007</v>
      </c>
      <c r="CB85" s="499">
        <v>3</v>
      </c>
      <c r="CC85" s="258">
        <f>CA85*1.41*1.2</f>
        <v>111.97655999999999</v>
      </c>
      <c r="CD85" s="239">
        <v>71.459999999999994</v>
      </c>
      <c r="CE85" s="499">
        <v>4</v>
      </c>
      <c r="CF85" s="173">
        <f>CD85*0.99*1.2</f>
        <v>84.894479999999987</v>
      </c>
      <c r="CG85" s="239">
        <v>51.66</v>
      </c>
      <c r="CH85" s="499">
        <v>3</v>
      </c>
      <c r="CI85" s="173">
        <f>(41.46*0.99+10.2*0.74)*1.2</f>
        <v>58.312080000000002</v>
      </c>
      <c r="CJ85" s="239">
        <v>102.5</v>
      </c>
      <c r="CK85" s="501">
        <v>5</v>
      </c>
      <c r="CL85" s="500">
        <f>(20.8*0.74+81.7*0.99)*1.2</f>
        <v>115.52999999999999</v>
      </c>
      <c r="CM85" s="239"/>
      <c r="CN85" s="146"/>
      <c r="CO85" s="146"/>
      <c r="CP85" s="239">
        <v>70.8</v>
      </c>
      <c r="CQ85" s="503">
        <v>5</v>
      </c>
      <c r="CR85" s="146">
        <f>70.8*1.98*1.2</f>
        <v>168.2208</v>
      </c>
      <c r="CS85" s="239">
        <v>45.6</v>
      </c>
      <c r="CT85" s="503">
        <v>3</v>
      </c>
      <c r="CU85" s="146">
        <f>CS85*1.98*1.2</f>
        <v>108.34559999999999</v>
      </c>
      <c r="CV85" s="236">
        <v>25.3</v>
      </c>
      <c r="CW85" s="504">
        <v>2</v>
      </c>
      <c r="CX85" s="146">
        <f>CV85*1.98*1.2</f>
        <v>60.1128</v>
      </c>
      <c r="CY85" s="613">
        <f t="shared" si="6"/>
        <v>2134.4800000000005</v>
      </c>
      <c r="CZ85" s="148">
        <f t="shared" si="7"/>
        <v>2467.5634399999999</v>
      </c>
      <c r="DA85" s="36">
        <f>COUNT(BT85,BW85,BZ85,CI85,CL85,CO85,CR85,CU85,F85,I85,L85,O85,R85,U85,X85,AA85,AD85,AG85,AJ85,AM85,AP85,#REF!,AS85,AV85,AY85,BB85,BE85,BH85,BK85,BN85,BQ85,CC85,CF85,CX85,#REF!,#REF!,#REF!)</f>
        <v>25</v>
      </c>
      <c r="DB85" s="41">
        <f>SUM(CZ83:CZ85)</f>
        <v>2705.40344</v>
      </c>
      <c r="DD85" s="42"/>
    </row>
    <row r="86" spans="1:108" x14ac:dyDescent="0.25">
      <c r="A86" s="29">
        <v>1366</v>
      </c>
      <c r="B86" s="186" t="s">
        <v>9</v>
      </c>
      <c r="C86" s="163" t="s">
        <v>0</v>
      </c>
      <c r="D86" s="137"/>
      <c r="E86" s="189"/>
      <c r="F86" s="164"/>
      <c r="G86" s="137"/>
      <c r="H86" s="189"/>
      <c r="I86" s="164"/>
      <c r="J86" s="137"/>
      <c r="K86" s="189"/>
      <c r="L86" s="164"/>
      <c r="M86" s="137"/>
      <c r="N86" s="189"/>
      <c r="O86" s="164"/>
      <c r="P86" s="137"/>
      <c r="Q86" s="189"/>
      <c r="R86" s="164"/>
      <c r="S86" s="137">
        <v>8.6</v>
      </c>
      <c r="T86" s="189">
        <v>2</v>
      </c>
      <c r="U86" s="164">
        <f>S86*3.34*1.2</f>
        <v>34.468799999999995</v>
      </c>
      <c r="V86" s="137"/>
      <c r="W86" s="189"/>
      <c r="X86" s="164"/>
      <c r="Y86" s="137"/>
      <c r="Z86" s="189"/>
      <c r="AA86" s="164"/>
      <c r="AB86" s="137">
        <v>6.4</v>
      </c>
      <c r="AC86" s="365">
        <v>1</v>
      </c>
      <c r="AD86" s="366">
        <v>41.7</v>
      </c>
      <c r="AE86" s="137"/>
      <c r="AF86" s="189"/>
      <c r="AG86" s="164"/>
      <c r="AH86" s="137"/>
      <c r="AI86" s="189"/>
      <c r="AJ86" s="164"/>
      <c r="AK86" s="137"/>
      <c r="AL86" s="189"/>
      <c r="AM86" s="164"/>
      <c r="AN86" s="137"/>
      <c r="AO86" s="189"/>
      <c r="AP86" s="164"/>
      <c r="AQ86" s="137"/>
      <c r="AR86" s="189"/>
      <c r="AS86" s="164"/>
      <c r="AT86" s="422"/>
      <c r="AU86" s="380"/>
      <c r="AV86" s="168"/>
      <c r="AW86" s="240"/>
      <c r="AX86" s="185"/>
      <c r="AY86" s="235"/>
      <c r="AZ86" s="168"/>
      <c r="BA86" s="185"/>
      <c r="BB86" s="168"/>
      <c r="BC86" s="233"/>
      <c r="BD86" s="185"/>
      <c r="BE86" s="263"/>
      <c r="BF86" s="233"/>
      <c r="BG86" s="185"/>
      <c r="BH86" s="235"/>
      <c r="BI86" s="240"/>
      <c r="BJ86" s="185"/>
      <c r="BK86" s="235"/>
      <c r="BL86" s="240"/>
      <c r="BM86" s="185"/>
      <c r="BN86" s="235"/>
      <c r="BO86" s="233"/>
      <c r="BP86" s="185"/>
      <c r="BQ86" s="235"/>
      <c r="BR86" s="233"/>
      <c r="BS86" s="185"/>
      <c r="BT86" s="235"/>
      <c r="BU86" s="233"/>
      <c r="BV86" s="185"/>
      <c r="BW86" s="235"/>
      <c r="BX86" s="233"/>
      <c r="BY86" s="185"/>
      <c r="BZ86" s="235"/>
      <c r="CA86" s="240"/>
      <c r="CB86" s="275"/>
      <c r="CC86" s="251"/>
      <c r="CD86" s="240"/>
      <c r="CE86" s="275"/>
      <c r="CF86" s="235"/>
      <c r="CG86" s="240"/>
      <c r="CH86" s="275"/>
      <c r="CI86" s="235"/>
      <c r="CJ86" s="240"/>
      <c r="CK86" s="275"/>
      <c r="CL86" s="235"/>
      <c r="CM86" s="240"/>
      <c r="CN86" s="168"/>
      <c r="CO86" s="168"/>
      <c r="CP86" s="240"/>
      <c r="CQ86" s="168"/>
      <c r="CR86" s="168"/>
      <c r="CS86" s="240"/>
      <c r="CT86" s="168"/>
      <c r="CU86" s="168"/>
      <c r="CV86" s="233"/>
      <c r="CW86" s="185"/>
      <c r="CX86" s="168"/>
      <c r="CY86" s="611">
        <f t="shared" si="6"/>
        <v>15</v>
      </c>
      <c r="CZ86" s="607">
        <f t="shared" si="7"/>
        <v>76.168800000000005</v>
      </c>
      <c r="DA86" s="36">
        <f>COUNT(BT86,BW86,BZ86,CI86,CL86,CO86,CR86,CU86,F86,I86,L86,O86,R86,U86,X86,AA86,AD86,AG86,AJ86,AM86,AP86,#REF!,AS86,AV86,AY86,BB86,BE86,BH86,BK86,BN86,BQ86,CC86,CF86,CX86,#REF!,#REF!,#REF!)</f>
        <v>2</v>
      </c>
      <c r="DB86" s="41"/>
      <c r="DD86" s="42"/>
    </row>
    <row r="87" spans="1:108" x14ac:dyDescent="0.25">
      <c r="A87" s="29"/>
      <c r="B87" s="187"/>
      <c r="C87" s="111" t="s">
        <v>34</v>
      </c>
      <c r="D87" s="29"/>
      <c r="E87" s="188"/>
      <c r="F87" s="33"/>
      <c r="G87" s="29"/>
      <c r="H87" s="188"/>
      <c r="I87" s="33"/>
      <c r="J87" s="29"/>
      <c r="K87" s="188"/>
      <c r="L87" s="33"/>
      <c r="M87" s="29"/>
      <c r="N87" s="188"/>
      <c r="O87" s="33"/>
      <c r="P87" s="29"/>
      <c r="Q87" s="188"/>
      <c r="R87" s="33"/>
      <c r="S87" s="29"/>
      <c r="T87" s="188"/>
      <c r="U87" s="33"/>
      <c r="V87" s="29"/>
      <c r="W87" s="188"/>
      <c r="X87" s="33"/>
      <c r="Y87" s="29"/>
      <c r="Z87" s="188"/>
      <c r="AA87" s="33"/>
      <c r="AB87" s="29"/>
      <c r="AC87" s="188"/>
      <c r="AD87" s="33"/>
      <c r="AE87" s="29"/>
      <c r="AF87" s="188"/>
      <c r="AG87" s="33"/>
      <c r="AH87" s="29"/>
      <c r="AI87" s="188"/>
      <c r="AJ87" s="33"/>
      <c r="AK87" s="29"/>
      <c r="AL87" s="188"/>
      <c r="AM87" s="33"/>
      <c r="AN87" s="29"/>
      <c r="AO87" s="188"/>
      <c r="AP87" s="33"/>
      <c r="AQ87" s="29"/>
      <c r="AR87" s="188"/>
      <c r="AS87" s="33"/>
      <c r="AT87" s="424"/>
      <c r="AU87" s="381"/>
      <c r="AV87" s="31"/>
      <c r="AW87" s="187"/>
      <c r="AX87" s="39"/>
      <c r="AY87" s="45"/>
      <c r="AZ87" s="449">
        <v>98.6</v>
      </c>
      <c r="BA87" s="450">
        <v>7</v>
      </c>
      <c r="BB87" s="449">
        <v>181.03</v>
      </c>
      <c r="BC87" s="187"/>
      <c r="BD87" s="260"/>
      <c r="BE87" s="264"/>
      <c r="BF87" s="187"/>
      <c r="BG87" s="260"/>
      <c r="BH87" s="257"/>
      <c r="BI87" s="44"/>
      <c r="BJ87" s="39"/>
      <c r="BK87" s="45"/>
      <c r="BL87" s="187"/>
      <c r="BM87" s="39"/>
      <c r="BN87" s="45"/>
      <c r="BO87" s="44"/>
      <c r="BP87" s="39"/>
      <c r="BQ87" s="45"/>
      <c r="BR87" s="44"/>
      <c r="BS87" s="39"/>
      <c r="BT87" s="45"/>
      <c r="BU87" s="44"/>
      <c r="BV87" s="39"/>
      <c r="BW87" s="45"/>
      <c r="BX87" s="44"/>
      <c r="BY87" s="39"/>
      <c r="BZ87" s="45"/>
      <c r="CA87" s="187"/>
      <c r="CB87" s="260"/>
      <c r="CC87" s="257"/>
      <c r="CD87" s="187"/>
      <c r="CE87" s="260"/>
      <c r="CF87" s="45"/>
      <c r="CG87" s="187"/>
      <c r="CH87" s="260"/>
      <c r="CI87" s="45"/>
      <c r="CJ87" s="187"/>
      <c r="CK87" s="260"/>
      <c r="CL87" s="45"/>
      <c r="CM87" s="187"/>
      <c r="CN87" s="31"/>
      <c r="CO87" s="31"/>
      <c r="CP87" s="187"/>
      <c r="CQ87" s="31"/>
      <c r="CR87" s="31"/>
      <c r="CS87" s="187"/>
      <c r="CT87" s="31"/>
      <c r="CU87" s="31"/>
      <c r="CV87" s="44"/>
      <c r="CW87" s="39"/>
      <c r="CX87" s="31"/>
      <c r="CY87" s="612">
        <f t="shared" si="6"/>
        <v>98.6</v>
      </c>
      <c r="CZ87" s="204">
        <f t="shared" si="7"/>
        <v>181.03</v>
      </c>
      <c r="DA87" s="36">
        <f>COUNT(BT87,BW87,BZ87,CI87,CL87,CO87,CR87,CU87,F87,I87,L87,O87,R87,U87,X87,AA87,AD87,AG87,AJ87,AM87,AP87,#REF!,AS87,AV87,AY87,BB87,BE87,BH87,BK87,BN87,BQ87,CC87,CF87,CX87,#REF!,#REF!,#REF!)</f>
        <v>1</v>
      </c>
      <c r="DB87" s="41"/>
      <c r="DD87" s="42"/>
    </row>
    <row r="88" spans="1:108" ht="16.5" thickBot="1" x14ac:dyDescent="0.3">
      <c r="A88" s="29"/>
      <c r="B88" s="194"/>
      <c r="C88" s="167" t="s">
        <v>1</v>
      </c>
      <c r="D88" s="57"/>
      <c r="E88" s="193"/>
      <c r="F88" s="148"/>
      <c r="G88" s="57"/>
      <c r="H88" s="193"/>
      <c r="I88" s="148"/>
      <c r="J88" s="57"/>
      <c r="K88" s="193"/>
      <c r="L88" s="148"/>
      <c r="M88" s="57"/>
      <c r="N88" s="193"/>
      <c r="O88" s="148"/>
      <c r="P88" s="57"/>
      <c r="Q88" s="193"/>
      <c r="R88" s="148"/>
      <c r="S88" s="57"/>
      <c r="T88" s="193"/>
      <c r="U88" s="148"/>
      <c r="V88" s="57"/>
      <c r="W88" s="193"/>
      <c r="X88" s="148"/>
      <c r="Y88" s="57">
        <v>111.02</v>
      </c>
      <c r="Z88" s="362">
        <v>4</v>
      </c>
      <c r="AA88" s="363">
        <v>170.53</v>
      </c>
      <c r="AB88" s="57"/>
      <c r="AC88" s="193"/>
      <c r="AD88" s="148"/>
      <c r="AE88" s="57">
        <v>75.98</v>
      </c>
      <c r="AF88" s="362">
        <v>6</v>
      </c>
      <c r="AG88" s="363">
        <v>82.06</v>
      </c>
      <c r="AH88" s="57">
        <v>121.34</v>
      </c>
      <c r="AI88" s="362">
        <v>9</v>
      </c>
      <c r="AJ88" s="363">
        <v>97.6</v>
      </c>
      <c r="AK88" s="57">
        <v>193.74</v>
      </c>
      <c r="AL88" s="362">
        <v>8</v>
      </c>
      <c r="AM88" s="363">
        <v>209.2</v>
      </c>
      <c r="AN88" s="364">
        <v>142.69999999999999</v>
      </c>
      <c r="AO88" s="362">
        <v>6</v>
      </c>
      <c r="AP88" s="363">
        <v>154.19999999999999</v>
      </c>
      <c r="AQ88" s="57"/>
      <c r="AR88" s="193"/>
      <c r="AS88" s="148"/>
      <c r="AT88" s="194">
        <v>72.52</v>
      </c>
      <c r="AU88" s="440">
        <v>4</v>
      </c>
      <c r="AV88" s="439">
        <v>95</v>
      </c>
      <c r="AW88" s="194">
        <v>93.68</v>
      </c>
      <c r="AX88" s="435">
        <v>4</v>
      </c>
      <c r="AY88" s="436">
        <v>101.2</v>
      </c>
      <c r="AZ88" s="244">
        <v>151.16</v>
      </c>
      <c r="BA88" s="448">
        <v>6</v>
      </c>
      <c r="BB88" s="438">
        <v>124.4</v>
      </c>
      <c r="BC88" s="194">
        <v>41.3</v>
      </c>
      <c r="BD88" s="448">
        <v>3</v>
      </c>
      <c r="BE88" s="439">
        <f>BC88*1.2*1.2</f>
        <v>59.471999999999994</v>
      </c>
      <c r="BF88" s="194">
        <v>63.2</v>
      </c>
      <c r="BG88" s="448">
        <v>5</v>
      </c>
      <c r="BH88" s="439">
        <f>BF88*1.2*1.2</f>
        <v>91.007999999999996</v>
      </c>
      <c r="BI88" s="48">
        <v>86.44</v>
      </c>
      <c r="BJ88" s="435">
        <v>5</v>
      </c>
      <c r="BK88" s="436">
        <f>BI88*1.2*1.2</f>
        <v>124.47359999999999</v>
      </c>
      <c r="BL88" s="194">
        <v>90.18</v>
      </c>
      <c r="BM88" s="113">
        <v>4</v>
      </c>
      <c r="BN88" s="173">
        <f>(44.44*0.99+45.74*1.2)*1.2</f>
        <v>118.66032</v>
      </c>
      <c r="BO88" s="48">
        <v>174.52</v>
      </c>
      <c r="BP88" s="55">
        <v>7</v>
      </c>
      <c r="BQ88" s="50">
        <f>(68.76*0.99+105.76*0.74)*1.2</f>
        <v>175.60175999999998</v>
      </c>
      <c r="BR88" s="48">
        <v>133.68</v>
      </c>
      <c r="BS88" s="55">
        <v>6</v>
      </c>
      <c r="BT88" s="50">
        <f>(74.64*0.74+3.74*0.99+55.3*1.41)*1.2</f>
        <v>164.29103999999998</v>
      </c>
      <c r="BU88" s="48">
        <v>45.64</v>
      </c>
      <c r="BV88" s="55">
        <v>2</v>
      </c>
      <c r="BW88" s="173">
        <f>BU88*1.41*1.2</f>
        <v>77.222880000000004</v>
      </c>
      <c r="BX88" s="48">
        <v>67.3</v>
      </c>
      <c r="BY88" s="55">
        <v>4</v>
      </c>
      <c r="BZ88" s="173">
        <f>BX88*1.2*1.2</f>
        <v>96.911999999999992</v>
      </c>
      <c r="CA88" s="194">
        <v>65.5</v>
      </c>
      <c r="CB88" s="113">
        <v>3</v>
      </c>
      <c r="CC88" s="273">
        <f>CA88*1.2*1.2</f>
        <v>94.32</v>
      </c>
      <c r="CD88" s="194">
        <v>63.7</v>
      </c>
      <c r="CE88" s="113">
        <v>4</v>
      </c>
      <c r="CF88" s="50">
        <f>CD88*0.99*1.2</f>
        <v>75.675600000000003</v>
      </c>
      <c r="CG88" s="194">
        <v>49.92</v>
      </c>
      <c r="CH88" s="113">
        <v>3</v>
      </c>
      <c r="CI88" s="50">
        <f>(17.1*0.74+32.82*0.99)*1.2</f>
        <v>54.174959999999999</v>
      </c>
      <c r="CJ88" s="194">
        <v>146.1</v>
      </c>
      <c r="CK88" s="113">
        <v>7</v>
      </c>
      <c r="CL88" s="50">
        <f>(63.1*0.74+83*0.99)*1.2</f>
        <v>154.63679999999999</v>
      </c>
      <c r="CM88" s="194"/>
      <c r="CN88" s="49"/>
      <c r="CO88" s="49"/>
      <c r="CP88" s="194">
        <v>4.5</v>
      </c>
      <c r="CQ88" s="49">
        <v>1</v>
      </c>
      <c r="CR88" s="146">
        <f>CP88*1.98*1.2</f>
        <v>10.692</v>
      </c>
      <c r="CS88" s="194"/>
      <c r="CT88" s="49"/>
      <c r="CU88" s="49"/>
      <c r="CV88" s="48"/>
      <c r="CW88" s="55"/>
      <c r="CX88" s="49"/>
      <c r="CY88" s="613">
        <f t="shared" si="6"/>
        <v>1994.1200000000001</v>
      </c>
      <c r="CZ88" s="148">
        <f t="shared" si="7"/>
        <v>2331.3309600000002</v>
      </c>
      <c r="DA88" s="36">
        <f>COUNT(BT88,BW88,BZ88,CI88,CL88,CO88,CR88,CU88,F88,I88,L88,O88,R88,U88,X88,AA88,AD88,AG88,AJ88,AM88,AP88,#REF!,AS88,AV88,AY88,BB88,BE88,BH88,BK88,BN88,BQ88,CC88,CF88,CX88,#REF!,#REF!,#REF!)</f>
        <v>21</v>
      </c>
      <c r="DB88" s="41">
        <f>SUM(CZ86:CZ88)</f>
        <v>2588.5297600000004</v>
      </c>
      <c r="DD88" s="42"/>
    </row>
    <row r="89" spans="1:108" x14ac:dyDescent="0.25">
      <c r="A89" s="29">
        <v>824</v>
      </c>
      <c r="B89" s="186" t="s">
        <v>181</v>
      </c>
      <c r="C89" s="163" t="s">
        <v>0</v>
      </c>
      <c r="D89" s="137"/>
      <c r="E89" s="189"/>
      <c r="F89" s="164"/>
      <c r="G89" s="137"/>
      <c r="H89" s="189"/>
      <c r="I89" s="164"/>
      <c r="J89" s="137"/>
      <c r="K89" s="189"/>
      <c r="L89" s="164"/>
      <c r="M89" s="137"/>
      <c r="N89" s="189"/>
      <c r="O89" s="164"/>
      <c r="P89" s="137"/>
      <c r="Q89" s="189"/>
      <c r="R89" s="164"/>
      <c r="S89" s="137"/>
      <c r="T89" s="189"/>
      <c r="U89" s="164"/>
      <c r="V89" s="137"/>
      <c r="W89" s="189"/>
      <c r="X89" s="164"/>
      <c r="Y89" s="137"/>
      <c r="Z89" s="189"/>
      <c r="AA89" s="164"/>
      <c r="AB89" s="137"/>
      <c r="AC89" s="189"/>
      <c r="AD89" s="164"/>
      <c r="AE89" s="137"/>
      <c r="AF89" s="189"/>
      <c r="AG89" s="164"/>
      <c r="AH89" s="137"/>
      <c r="AI89" s="189"/>
      <c r="AJ89" s="164"/>
      <c r="AK89" s="137"/>
      <c r="AL89" s="189"/>
      <c r="AM89" s="164"/>
      <c r="AN89" s="137"/>
      <c r="AO89" s="189"/>
      <c r="AP89" s="164"/>
      <c r="AQ89" s="137"/>
      <c r="AR89" s="189"/>
      <c r="AS89" s="164"/>
      <c r="AT89" s="240"/>
      <c r="AU89" s="234"/>
      <c r="AV89" s="168"/>
      <c r="AW89" s="240"/>
      <c r="AX89" s="185"/>
      <c r="AY89" s="235"/>
      <c r="AZ89" s="168"/>
      <c r="BA89" s="185"/>
      <c r="BB89" s="168"/>
      <c r="BC89" s="233"/>
      <c r="BD89" s="185"/>
      <c r="BE89" s="263"/>
      <c r="BF89" s="233"/>
      <c r="BG89" s="185"/>
      <c r="BH89" s="235"/>
      <c r="BI89" s="240"/>
      <c r="BJ89" s="185"/>
      <c r="BK89" s="235"/>
      <c r="BL89" s="240"/>
      <c r="BM89" s="185"/>
      <c r="BN89" s="235"/>
      <c r="BO89" s="233"/>
      <c r="BP89" s="185"/>
      <c r="BQ89" s="235"/>
      <c r="BR89" s="233"/>
      <c r="BS89" s="185"/>
      <c r="BT89" s="235"/>
      <c r="BU89" s="233"/>
      <c r="BV89" s="185"/>
      <c r="BW89" s="235"/>
      <c r="BX89" s="233"/>
      <c r="BY89" s="185"/>
      <c r="BZ89" s="235"/>
      <c r="CA89" s="240"/>
      <c r="CB89" s="275"/>
      <c r="CC89" s="251"/>
      <c r="CD89" s="240"/>
      <c r="CE89" s="275"/>
      <c r="CF89" s="235"/>
      <c r="CG89" s="240"/>
      <c r="CH89" s="275"/>
      <c r="CI89" s="235"/>
      <c r="CJ89" s="240"/>
      <c r="CK89" s="275"/>
      <c r="CL89" s="235"/>
      <c r="CM89" s="240"/>
      <c r="CN89" s="168"/>
      <c r="CO89" s="168"/>
      <c r="CP89" s="240"/>
      <c r="CQ89" s="168"/>
      <c r="CR89" s="168"/>
      <c r="CS89" s="240"/>
      <c r="CT89" s="168"/>
      <c r="CU89" s="168"/>
      <c r="CV89" s="233"/>
      <c r="CW89" s="185"/>
      <c r="CX89" s="168"/>
      <c r="CY89" s="611">
        <f t="shared" si="6"/>
        <v>0</v>
      </c>
      <c r="CZ89" s="607">
        <f t="shared" si="7"/>
        <v>0</v>
      </c>
      <c r="DA89" s="36">
        <f>COUNT(BT89,BW89,BZ89,CI89,CL89,CO89,CR89,CU89,F89,I89,L89,O89,R89,U89,X89,AA89,AD89,AG89,AJ89,AM89,AP89,#REF!,AS89,AV89,AY89,BB89,BE89,BH89,BK89,BN89,BQ89,CC89,CF89,CX89,#REF!,#REF!,#REF!)</f>
        <v>0</v>
      </c>
      <c r="DB89" s="41"/>
      <c r="DD89" s="42"/>
    </row>
    <row r="90" spans="1:108" x14ac:dyDescent="0.25">
      <c r="A90" s="29"/>
      <c r="B90" s="187"/>
      <c r="C90" s="111" t="s">
        <v>34</v>
      </c>
      <c r="D90" s="29"/>
      <c r="E90" s="188"/>
      <c r="F90" s="33"/>
      <c r="G90" s="29"/>
      <c r="H90" s="188"/>
      <c r="I90" s="33"/>
      <c r="J90" s="29"/>
      <c r="K90" s="188"/>
      <c r="L90" s="33"/>
      <c r="M90" s="29"/>
      <c r="N90" s="188"/>
      <c r="O90" s="33"/>
      <c r="P90" s="29"/>
      <c r="Q90" s="188"/>
      <c r="R90" s="33"/>
      <c r="S90" s="29"/>
      <c r="T90" s="188"/>
      <c r="U90" s="33"/>
      <c r="V90" s="29"/>
      <c r="W90" s="188"/>
      <c r="X90" s="33"/>
      <c r="Y90" s="29"/>
      <c r="Z90" s="188"/>
      <c r="AA90" s="33"/>
      <c r="AB90" s="29"/>
      <c r="AC90" s="188"/>
      <c r="AD90" s="33"/>
      <c r="AE90" s="29"/>
      <c r="AF90" s="188"/>
      <c r="AG90" s="33"/>
      <c r="AH90" s="29"/>
      <c r="AI90" s="188"/>
      <c r="AJ90" s="33"/>
      <c r="AK90" s="29"/>
      <c r="AL90" s="188"/>
      <c r="AM90" s="33"/>
      <c r="AN90" s="29"/>
      <c r="AO90" s="188"/>
      <c r="AP90" s="33"/>
      <c r="AQ90" s="29"/>
      <c r="AR90" s="188"/>
      <c r="AS90" s="33"/>
      <c r="AT90" s="187"/>
      <c r="AU90" s="51"/>
      <c r="AV90" s="31"/>
      <c r="AW90" s="44"/>
      <c r="AX90" s="39"/>
      <c r="AY90" s="45"/>
      <c r="AZ90" s="245"/>
      <c r="BA90" s="260"/>
      <c r="BB90" s="245"/>
      <c r="BC90" s="187"/>
      <c r="BD90" s="260"/>
      <c r="BE90" s="264"/>
      <c r="BF90" s="187"/>
      <c r="BG90" s="260"/>
      <c r="BH90" s="257"/>
      <c r="BI90" s="44"/>
      <c r="BJ90" s="39"/>
      <c r="BK90" s="45"/>
      <c r="BL90" s="187"/>
      <c r="BM90" s="39"/>
      <c r="BN90" s="45"/>
      <c r="BO90" s="44"/>
      <c r="BP90" s="39"/>
      <c r="BQ90" s="45"/>
      <c r="BR90" s="44"/>
      <c r="BS90" s="39"/>
      <c r="BT90" s="45"/>
      <c r="BU90" s="44"/>
      <c r="BV90" s="39"/>
      <c r="BW90" s="45"/>
      <c r="BX90" s="44"/>
      <c r="BY90" s="39"/>
      <c r="BZ90" s="45"/>
      <c r="CA90" s="187"/>
      <c r="CB90" s="260"/>
      <c r="CC90" s="257"/>
      <c r="CD90" s="187"/>
      <c r="CE90" s="260"/>
      <c r="CF90" s="45"/>
      <c r="CG90" s="187"/>
      <c r="CH90" s="260"/>
      <c r="CI90" s="45"/>
      <c r="CJ90" s="187"/>
      <c r="CK90" s="260"/>
      <c r="CL90" s="45"/>
      <c r="CM90" s="187"/>
      <c r="CN90" s="31"/>
      <c r="CO90" s="31"/>
      <c r="CP90" s="187"/>
      <c r="CQ90" s="31"/>
      <c r="CR90" s="31"/>
      <c r="CS90" s="187"/>
      <c r="CT90" s="31"/>
      <c r="CU90" s="31"/>
      <c r="CV90" s="44"/>
      <c r="CW90" s="39"/>
      <c r="CX90" s="31"/>
      <c r="CY90" s="612">
        <f t="shared" si="6"/>
        <v>0</v>
      </c>
      <c r="CZ90" s="204">
        <f t="shared" si="7"/>
        <v>0</v>
      </c>
      <c r="DA90" s="36">
        <f>COUNT(BT90,BW90,BZ90,CI90,CL90,CO90,CR90,CU90,F90,I90,L90,O90,R90,U90,X90,AA90,AD90,AG90,AJ90,AM90,AP90,#REF!,AS90,AV90,AY90,BB90,BE90,BH90,BK90,BN90,BQ90,CC90,CF90,CX90,#REF!,#REF!,#REF!)</f>
        <v>0</v>
      </c>
      <c r="DB90" s="41"/>
      <c r="DD90" s="42"/>
    </row>
    <row r="91" spans="1:108" ht="16.5" thickBot="1" x14ac:dyDescent="0.3">
      <c r="A91" s="29"/>
      <c r="B91" s="194"/>
      <c r="C91" s="167" t="s">
        <v>1</v>
      </c>
      <c r="D91" s="57"/>
      <c r="E91" s="193"/>
      <c r="F91" s="148"/>
      <c r="G91" s="57"/>
      <c r="H91" s="193"/>
      <c r="I91" s="148"/>
      <c r="J91" s="57"/>
      <c r="K91" s="193"/>
      <c r="L91" s="148"/>
      <c r="M91" s="57"/>
      <c r="N91" s="193"/>
      <c r="O91" s="148"/>
      <c r="P91" s="57"/>
      <c r="Q91" s="193"/>
      <c r="R91" s="148"/>
      <c r="S91" s="57">
        <v>56.92</v>
      </c>
      <c r="T91" s="193">
        <v>2</v>
      </c>
      <c r="U91" s="148">
        <f>S91*1.28*1.2</f>
        <v>87.429119999999998</v>
      </c>
      <c r="V91" s="57"/>
      <c r="W91" s="193"/>
      <c r="X91" s="148"/>
      <c r="Y91" s="57">
        <v>111.02</v>
      </c>
      <c r="Z91" s="362">
        <v>1</v>
      </c>
      <c r="AA91" s="363">
        <v>60.9</v>
      </c>
      <c r="AB91" s="57"/>
      <c r="AC91" s="193"/>
      <c r="AD91" s="148"/>
      <c r="AE91" s="57"/>
      <c r="AF91" s="193"/>
      <c r="AG91" s="148"/>
      <c r="AH91" s="57"/>
      <c r="AI91" s="193"/>
      <c r="AJ91" s="148"/>
      <c r="AK91" s="57"/>
      <c r="AL91" s="193"/>
      <c r="AM91" s="148"/>
      <c r="AN91" s="57"/>
      <c r="AO91" s="193"/>
      <c r="AP91" s="148"/>
      <c r="AQ91" s="57"/>
      <c r="AR91" s="193"/>
      <c r="AS91" s="148"/>
      <c r="AT91" s="194">
        <v>78.3</v>
      </c>
      <c r="AU91" s="440">
        <v>3</v>
      </c>
      <c r="AV91" s="439">
        <f>AT91*1.09*1.2</f>
        <v>102.41640000000001</v>
      </c>
      <c r="AW91" s="48"/>
      <c r="AX91" s="55"/>
      <c r="AY91" s="50"/>
      <c r="AZ91" s="244"/>
      <c r="BA91" s="113"/>
      <c r="BB91" s="146"/>
      <c r="BC91" s="194"/>
      <c r="BD91" s="113"/>
      <c r="BE91" s="173"/>
      <c r="BF91" s="194"/>
      <c r="BG91" s="113"/>
      <c r="BH91" s="173"/>
      <c r="BI91" s="48"/>
      <c r="BJ91" s="55"/>
      <c r="BK91" s="50"/>
      <c r="BL91" s="194"/>
      <c r="BM91" s="113"/>
      <c r="BN91" s="173"/>
      <c r="BO91" s="48"/>
      <c r="BP91" s="55"/>
      <c r="BQ91" s="50"/>
      <c r="BR91" s="48"/>
      <c r="BS91" s="55"/>
      <c r="BT91" s="50"/>
      <c r="BU91" s="48"/>
      <c r="BV91" s="55"/>
      <c r="BW91" s="50"/>
      <c r="BX91" s="48"/>
      <c r="BY91" s="55"/>
      <c r="BZ91" s="50"/>
      <c r="CA91" s="194"/>
      <c r="CB91" s="113"/>
      <c r="CC91" s="273"/>
      <c r="CD91" s="194"/>
      <c r="CE91" s="113"/>
      <c r="CF91" s="50"/>
      <c r="CG91" s="194"/>
      <c r="CH91" s="113"/>
      <c r="CI91" s="50"/>
      <c r="CJ91" s="194"/>
      <c r="CK91" s="113"/>
      <c r="CL91" s="50"/>
      <c r="CM91" s="194"/>
      <c r="CN91" s="49"/>
      <c r="CO91" s="49"/>
      <c r="CP91" s="194"/>
      <c r="CQ91" s="49"/>
      <c r="CR91" s="49"/>
      <c r="CS91" s="194"/>
      <c r="CT91" s="49"/>
      <c r="CU91" s="49"/>
      <c r="CV91" s="48"/>
      <c r="CW91" s="55"/>
      <c r="CX91" s="49"/>
      <c r="CY91" s="613">
        <f t="shared" ref="CY91:CY100" si="8">D91+G91+J91+M91+P91+V91+Y91+AB91+AE91+AH91+AK91+AN91+AQ91+AT91+AW91+AZ91+BC91+BF91+BI91+BL91+BO91+BR91+BU91+BX91+CA91+CD91+CG91+CJ91+CM91+CP91+CS91+CV91+S91</f>
        <v>246.24</v>
      </c>
      <c r="CZ91" s="148">
        <f t="shared" si="7"/>
        <v>250.74552</v>
      </c>
      <c r="DA91" s="36">
        <f>COUNT(BT91,BW91,BZ91,CI91,CL91,CO91,CR91,CU91,F91,I91,L91,O91,R91,U91,X91,AA91,AD91,AG91,AJ91,AM91,AP91,#REF!,AS91,AV91,AY91,BB91,BE91,BH91,BK91,BN91,BQ91,CC91,CF91,CX91,#REF!,#REF!,#REF!)</f>
        <v>3</v>
      </c>
      <c r="DB91" s="41">
        <f>SUM(CZ89:CZ91)</f>
        <v>250.74552</v>
      </c>
      <c r="DD91" s="42"/>
    </row>
    <row r="92" spans="1:108" x14ac:dyDescent="0.25">
      <c r="B92" s="186" t="s">
        <v>188</v>
      </c>
      <c r="C92" s="163" t="s">
        <v>0</v>
      </c>
      <c r="D92" s="137"/>
      <c r="E92" s="189"/>
      <c r="F92" s="164"/>
      <c r="G92" s="137"/>
      <c r="H92" s="189"/>
      <c r="I92" s="164"/>
      <c r="J92" s="137"/>
      <c r="K92" s="189"/>
      <c r="L92" s="164"/>
      <c r="M92" s="137"/>
      <c r="N92" s="189"/>
      <c r="O92" s="164"/>
      <c r="P92" s="137"/>
      <c r="Q92" s="189"/>
      <c r="R92" s="164"/>
      <c r="S92" s="137"/>
      <c r="T92" s="189"/>
      <c r="U92" s="164"/>
      <c r="V92" s="137"/>
      <c r="W92" s="189"/>
      <c r="X92" s="164"/>
      <c r="Y92" s="137"/>
      <c r="Z92" s="189"/>
      <c r="AA92" s="164"/>
      <c r="AB92" s="137"/>
      <c r="AC92" s="189"/>
      <c r="AD92" s="164"/>
      <c r="AE92" s="137"/>
      <c r="AF92" s="189"/>
      <c r="AG92" s="164"/>
      <c r="AH92" s="137"/>
      <c r="AI92" s="189"/>
      <c r="AJ92" s="164"/>
      <c r="AK92" s="137"/>
      <c r="AL92" s="189"/>
      <c r="AM92" s="164"/>
      <c r="AN92" s="137"/>
      <c r="AO92" s="189"/>
      <c r="AP92" s="164"/>
      <c r="AQ92" s="137"/>
      <c r="AR92" s="189"/>
      <c r="AS92" s="164"/>
      <c r="AT92" s="240"/>
      <c r="AU92" s="234"/>
      <c r="AV92" s="168"/>
      <c r="AW92" s="240"/>
      <c r="AX92" s="185"/>
      <c r="AY92" s="235"/>
      <c r="AZ92" s="168"/>
      <c r="BA92" s="185"/>
      <c r="BB92" s="168"/>
      <c r="BC92" s="233"/>
      <c r="BD92" s="185"/>
      <c r="BE92" s="263"/>
      <c r="BF92" s="233"/>
      <c r="BG92" s="185"/>
      <c r="BH92" s="235"/>
      <c r="BI92" s="240"/>
      <c r="BJ92" s="185"/>
      <c r="BK92" s="235"/>
      <c r="BL92" s="240"/>
      <c r="BM92" s="185"/>
      <c r="BN92" s="235"/>
      <c r="BO92" s="233"/>
      <c r="BP92" s="185"/>
      <c r="BQ92" s="235"/>
      <c r="BR92" s="233"/>
      <c r="BS92" s="185"/>
      <c r="BT92" s="235"/>
      <c r="BU92" s="233"/>
      <c r="BV92" s="185"/>
      <c r="BW92" s="235"/>
      <c r="BX92" s="233"/>
      <c r="BY92" s="185"/>
      <c r="BZ92" s="235"/>
      <c r="CA92" s="240"/>
      <c r="CB92" s="275"/>
      <c r="CC92" s="251"/>
      <c r="CD92" s="240"/>
      <c r="CE92" s="275"/>
      <c r="CF92" s="235"/>
      <c r="CG92" s="240"/>
      <c r="CH92" s="275"/>
      <c r="CI92" s="235"/>
      <c r="CJ92" s="240"/>
      <c r="CK92" s="275"/>
      <c r="CL92" s="235"/>
      <c r="CM92" s="240"/>
      <c r="CN92" s="168"/>
      <c r="CO92" s="168"/>
      <c r="CP92" s="240"/>
      <c r="CQ92" s="168"/>
      <c r="CR92" s="168"/>
      <c r="CS92" s="240"/>
      <c r="CT92" s="168"/>
      <c r="CU92" s="168"/>
      <c r="CV92" s="233"/>
      <c r="CW92" s="185"/>
      <c r="CX92" s="168"/>
      <c r="CY92" s="611">
        <f t="shared" si="8"/>
        <v>0</v>
      </c>
      <c r="CZ92" s="607">
        <f t="shared" si="7"/>
        <v>0</v>
      </c>
      <c r="DA92" s="36">
        <f>COUNT(BT92,BW92,BZ92,CI92,CL92,CO92,CR92,CU92,F92,I92,L92,O92,R92,U92,X92,AA92,AD92,AG92,AJ92,AM92,AP92,#REF!,AS92,AV92,AY92,BB92,BE92,BH92,BK92,BN92,BQ92,CC92,CF92,CX92,#REF!,#REF!,#REF!)</f>
        <v>0</v>
      </c>
    </row>
    <row r="93" spans="1:108" x14ac:dyDescent="0.25">
      <c r="B93" s="187"/>
      <c r="C93" s="111" t="s">
        <v>34</v>
      </c>
      <c r="D93" s="29"/>
      <c r="E93" s="188"/>
      <c r="F93" s="33"/>
      <c r="G93" s="29"/>
      <c r="H93" s="188"/>
      <c r="I93" s="33"/>
      <c r="J93" s="29"/>
      <c r="K93" s="188"/>
      <c r="L93" s="33"/>
      <c r="M93" s="29"/>
      <c r="N93" s="188"/>
      <c r="O93" s="33"/>
      <c r="P93" s="29"/>
      <c r="Q93" s="188"/>
      <c r="R93" s="33"/>
      <c r="S93" s="29"/>
      <c r="T93" s="188"/>
      <c r="U93" s="33"/>
      <c r="V93" s="29"/>
      <c r="W93" s="188"/>
      <c r="X93" s="33"/>
      <c r="Y93" s="29"/>
      <c r="Z93" s="188"/>
      <c r="AA93" s="33"/>
      <c r="AB93" s="29"/>
      <c r="AC93" s="188"/>
      <c r="AD93" s="33"/>
      <c r="AE93" s="29"/>
      <c r="AF93" s="188"/>
      <c r="AG93" s="33"/>
      <c r="AH93" s="29"/>
      <c r="AI93" s="188"/>
      <c r="AJ93" s="33"/>
      <c r="AK93" s="29"/>
      <c r="AL93" s="188"/>
      <c r="AM93" s="33"/>
      <c r="AN93" s="29"/>
      <c r="AO93" s="188"/>
      <c r="AP93" s="33"/>
      <c r="AQ93" s="29"/>
      <c r="AR93" s="188"/>
      <c r="AS93" s="33"/>
      <c r="AT93" s="187"/>
      <c r="AU93" s="51"/>
      <c r="AV93" s="31"/>
      <c r="AW93" s="44"/>
      <c r="AX93" s="39"/>
      <c r="AY93" s="45"/>
      <c r="AZ93" s="449">
        <v>98.6</v>
      </c>
      <c r="BA93" s="450">
        <v>7</v>
      </c>
      <c r="BB93" s="449">
        <v>181.03</v>
      </c>
      <c r="BC93" s="187"/>
      <c r="BD93" s="260"/>
      <c r="BE93" s="264"/>
      <c r="BF93" s="187"/>
      <c r="BG93" s="260"/>
      <c r="BH93" s="257"/>
      <c r="BI93" s="44"/>
      <c r="BJ93" s="39"/>
      <c r="BK93" s="45"/>
      <c r="BL93" s="187"/>
      <c r="BM93" s="39"/>
      <c r="BN93" s="45"/>
      <c r="BO93" s="44"/>
      <c r="BP93" s="39"/>
      <c r="BQ93" s="45"/>
      <c r="BR93" s="44"/>
      <c r="BS93" s="39"/>
      <c r="BT93" s="45"/>
      <c r="BU93" s="44"/>
      <c r="BV93" s="39"/>
      <c r="BW93" s="45"/>
      <c r="BX93" s="44"/>
      <c r="BY93" s="39"/>
      <c r="BZ93" s="45"/>
      <c r="CA93" s="187"/>
      <c r="CB93" s="260"/>
      <c r="CC93" s="257"/>
      <c r="CD93" s="187"/>
      <c r="CE93" s="260"/>
      <c r="CF93" s="45"/>
      <c r="CG93" s="187"/>
      <c r="CH93" s="260"/>
      <c r="CI93" s="45"/>
      <c r="CJ93" s="187"/>
      <c r="CK93" s="260"/>
      <c r="CL93" s="45"/>
      <c r="CM93" s="187"/>
      <c r="CN93" s="31"/>
      <c r="CO93" s="31"/>
      <c r="CP93" s="187"/>
      <c r="CQ93" s="31"/>
      <c r="CR93" s="31"/>
      <c r="CS93" s="187"/>
      <c r="CT93" s="31"/>
      <c r="CU93" s="31"/>
      <c r="CV93" s="44"/>
      <c r="CW93" s="39"/>
      <c r="CX93" s="31"/>
      <c r="CY93" s="612">
        <f t="shared" si="8"/>
        <v>98.6</v>
      </c>
      <c r="CZ93" s="204">
        <f t="shared" ref="CZ93:CZ100" si="9">F93+I93+L93+O93+R93+U93+X93+AA93+AD93+AG93+AJ93+AM93+AP93+AS93+AV93+AY93+BB93+BE93+BH93+BK93+BN93+BQ93+BT93+BW93+BZ93+CC93+CF93+CI93+CL93+CO93+CR93+CU93+CX93</f>
        <v>181.03</v>
      </c>
      <c r="DA93" s="36">
        <f>COUNT(BT93,BW93,BZ93,CI93,CL93,CO93,CR93,CU93,F93,I93,L93,O93,R93,U93,X93,AA93,AD93,AG93,AJ93,AM93,AP93,#REF!,AS93,AV93,AY93,BB93,BE93,BH93,BK93,BN93,BQ93,CC93,CF93,CX93,#REF!,#REF!,#REF!)</f>
        <v>1</v>
      </c>
    </row>
    <row r="94" spans="1:108" ht="16.5" thickBot="1" x14ac:dyDescent="0.3">
      <c r="B94" s="194"/>
      <c r="C94" s="167" t="s">
        <v>1</v>
      </c>
      <c r="D94" s="57"/>
      <c r="E94" s="193"/>
      <c r="F94" s="148"/>
      <c r="G94" s="57"/>
      <c r="H94" s="193"/>
      <c r="I94" s="148"/>
      <c r="J94" s="57"/>
      <c r="K94" s="193"/>
      <c r="L94" s="148"/>
      <c r="M94" s="57"/>
      <c r="N94" s="193"/>
      <c r="O94" s="148"/>
      <c r="P94" s="57"/>
      <c r="Q94" s="193"/>
      <c r="R94" s="148"/>
      <c r="S94" s="57"/>
      <c r="T94" s="193"/>
      <c r="U94" s="148"/>
      <c r="V94" s="57"/>
      <c r="W94" s="193"/>
      <c r="X94" s="148"/>
      <c r="Y94" s="57"/>
      <c r="Z94" s="512"/>
      <c r="AA94" s="513"/>
      <c r="AB94" s="57"/>
      <c r="AC94" s="193"/>
      <c r="AD94" s="148"/>
      <c r="AE94" s="57"/>
      <c r="AF94" s="193"/>
      <c r="AG94" s="148"/>
      <c r="AH94" s="57"/>
      <c r="AI94" s="193"/>
      <c r="AJ94" s="148"/>
      <c r="AK94" s="57"/>
      <c r="AL94" s="193"/>
      <c r="AM94" s="148"/>
      <c r="AN94" s="57"/>
      <c r="AO94" s="193"/>
      <c r="AP94" s="148"/>
      <c r="AQ94" s="57"/>
      <c r="AR94" s="193"/>
      <c r="AS94" s="148"/>
      <c r="AT94" s="194"/>
      <c r="AU94" s="237"/>
      <c r="AV94" s="173"/>
      <c r="AW94" s="48"/>
      <c r="AX94" s="55"/>
      <c r="AY94" s="50"/>
      <c r="AZ94" s="244"/>
      <c r="BA94" s="113"/>
      <c r="BB94" s="146"/>
      <c r="BC94" s="194"/>
      <c r="BD94" s="113"/>
      <c r="BE94" s="173"/>
      <c r="BF94" s="194"/>
      <c r="BG94" s="113"/>
      <c r="BH94" s="173"/>
      <c r="BI94" s="48"/>
      <c r="BJ94" s="55"/>
      <c r="BK94" s="50"/>
      <c r="BL94" s="194"/>
      <c r="BM94" s="113"/>
      <c r="BN94" s="173"/>
      <c r="BO94" s="48"/>
      <c r="BP94" s="55"/>
      <c r="BQ94" s="50"/>
      <c r="BR94" s="48"/>
      <c r="BS94" s="55"/>
      <c r="BT94" s="50"/>
      <c r="BU94" s="48"/>
      <c r="BV94" s="55"/>
      <c r="BW94" s="50"/>
      <c r="BX94" s="48"/>
      <c r="BY94" s="55"/>
      <c r="BZ94" s="50"/>
      <c r="CA94" s="194"/>
      <c r="CB94" s="113"/>
      <c r="CC94" s="273"/>
      <c r="CD94" s="194"/>
      <c r="CE94" s="113"/>
      <c r="CF94" s="50"/>
      <c r="CG94" s="194"/>
      <c r="CH94" s="113"/>
      <c r="CI94" s="50"/>
      <c r="CJ94" s="194"/>
      <c r="CK94" s="113"/>
      <c r="CL94" s="50"/>
      <c r="CM94" s="194"/>
      <c r="CN94" s="49"/>
      <c r="CO94" s="49"/>
      <c r="CP94" s="194"/>
      <c r="CQ94" s="49"/>
      <c r="CR94" s="49"/>
      <c r="CS94" s="194"/>
      <c r="CT94" s="49"/>
      <c r="CU94" s="49"/>
      <c r="CV94" s="48"/>
      <c r="CW94" s="55"/>
      <c r="CX94" s="49"/>
      <c r="CY94" s="613">
        <f t="shared" si="8"/>
        <v>0</v>
      </c>
      <c r="CZ94" s="148">
        <f t="shared" si="9"/>
        <v>0</v>
      </c>
      <c r="DA94" s="36">
        <f>COUNT(BT94,BW94,BZ94,CI94,CL94,CO94,CR94,CU94,F94,I94,L94,O94,R94,U94,X94,AA94,AD94,AG94,AJ94,AM94,AP94,#REF!,AS94,AV94,AY94,BB94,BE94,BH94,BK94,BN94,BQ94,CC94,CF94,CX94,#REF!,#REF!,#REF!)</f>
        <v>0</v>
      </c>
      <c r="DB94" s="41">
        <f>SUM(CZ92:CZ94)</f>
        <v>181.03</v>
      </c>
    </row>
    <row r="95" spans="1:108" x14ac:dyDescent="0.25">
      <c r="B95" s="186" t="s">
        <v>189</v>
      </c>
      <c r="C95" s="163" t="s">
        <v>0</v>
      </c>
      <c r="D95" s="137"/>
      <c r="E95" s="189"/>
      <c r="F95" s="164"/>
      <c r="G95" s="137"/>
      <c r="H95" s="189"/>
      <c r="I95" s="164"/>
      <c r="J95" s="137"/>
      <c r="K95" s="189"/>
      <c r="L95" s="164"/>
      <c r="M95" s="137"/>
      <c r="N95" s="189"/>
      <c r="O95" s="164"/>
      <c r="P95" s="137"/>
      <c r="Q95" s="189"/>
      <c r="R95" s="164"/>
      <c r="S95" s="137"/>
      <c r="T95" s="189"/>
      <c r="U95" s="164"/>
      <c r="V95" s="137"/>
      <c r="W95" s="189"/>
      <c r="X95" s="164"/>
      <c r="Y95" s="137"/>
      <c r="Z95" s="514"/>
      <c r="AA95" s="515"/>
      <c r="AB95" s="137"/>
      <c r="AC95" s="189"/>
      <c r="AD95" s="164"/>
      <c r="AE95" s="137"/>
      <c r="AF95" s="189"/>
      <c r="AG95" s="164"/>
      <c r="AH95" s="137"/>
      <c r="AI95" s="189"/>
      <c r="AJ95" s="164"/>
      <c r="AK95" s="137"/>
      <c r="AL95" s="189"/>
      <c r="AM95" s="164"/>
      <c r="AN95" s="137"/>
      <c r="AO95" s="189"/>
      <c r="AP95" s="164"/>
      <c r="AQ95" s="137"/>
      <c r="AR95" s="189"/>
      <c r="AS95" s="164"/>
      <c r="AT95" s="240"/>
      <c r="AU95" s="234"/>
      <c r="AV95" s="168"/>
      <c r="AW95" s="240"/>
      <c r="AX95" s="185"/>
      <c r="AY95" s="235"/>
      <c r="AZ95" s="168"/>
      <c r="BA95" s="185"/>
      <c r="BB95" s="168"/>
      <c r="BC95" s="233"/>
      <c r="BD95" s="185"/>
      <c r="BE95" s="263"/>
      <c r="BF95" s="233"/>
      <c r="BG95" s="185"/>
      <c r="BH95" s="235"/>
      <c r="BI95" s="240"/>
      <c r="BJ95" s="185"/>
      <c r="BK95" s="235"/>
      <c r="BL95" s="240"/>
      <c r="BM95" s="185"/>
      <c r="BN95" s="235"/>
      <c r="BO95" s="233"/>
      <c r="BP95" s="185"/>
      <c r="BQ95" s="235"/>
      <c r="BR95" s="233"/>
      <c r="BS95" s="185"/>
      <c r="BT95" s="235"/>
      <c r="BU95" s="233"/>
      <c r="BV95" s="185"/>
      <c r="BW95" s="235"/>
      <c r="BX95" s="233"/>
      <c r="BY95" s="185"/>
      <c r="BZ95" s="235"/>
      <c r="CA95" s="240"/>
      <c r="CB95" s="275"/>
      <c r="CC95" s="251"/>
      <c r="CD95" s="240"/>
      <c r="CE95" s="275"/>
      <c r="CF95" s="235"/>
      <c r="CG95" s="240"/>
      <c r="CH95" s="275"/>
      <c r="CI95" s="235"/>
      <c r="CJ95" s="240"/>
      <c r="CK95" s="275"/>
      <c r="CL95" s="235"/>
      <c r="CM95" s="240"/>
      <c r="CN95" s="168"/>
      <c r="CO95" s="168"/>
      <c r="CP95" s="240"/>
      <c r="CQ95" s="168"/>
      <c r="CR95" s="168"/>
      <c r="CS95" s="240"/>
      <c r="CT95" s="168"/>
      <c r="CU95" s="168"/>
      <c r="CV95" s="233"/>
      <c r="CW95" s="185"/>
      <c r="CX95" s="168"/>
      <c r="CY95" s="611">
        <f t="shared" si="8"/>
        <v>0</v>
      </c>
      <c r="CZ95" s="607">
        <f t="shared" si="9"/>
        <v>0</v>
      </c>
      <c r="DA95" s="36">
        <f>COUNT(BT95,BW95,BZ95,CI95,CL95,CO95,CR95,CU95,F95,I95,L95,O95,R95,U95,X95,AA95,AD95,AG95,AJ95,AM95,AP95,#REF!,AS95,AV95,AY95,BB95,BE95,BH95,BK95,BN95,BQ95,CC95,CF95,CX95,#REF!,#REF!,#REF!)</f>
        <v>0</v>
      </c>
    </row>
    <row r="96" spans="1:108" x14ac:dyDescent="0.25">
      <c r="B96" s="187"/>
      <c r="C96" s="111" t="s">
        <v>34</v>
      </c>
      <c r="D96" s="29"/>
      <c r="E96" s="188"/>
      <c r="F96" s="33"/>
      <c r="G96" s="29"/>
      <c r="H96" s="188"/>
      <c r="I96" s="33"/>
      <c r="J96" s="29"/>
      <c r="K96" s="188"/>
      <c r="L96" s="33"/>
      <c r="M96" s="29"/>
      <c r="N96" s="188"/>
      <c r="O96" s="33"/>
      <c r="P96" s="29"/>
      <c r="Q96" s="188"/>
      <c r="R96" s="33"/>
      <c r="S96" s="29"/>
      <c r="T96" s="188"/>
      <c r="U96" s="33"/>
      <c r="V96" s="29"/>
      <c r="W96" s="188"/>
      <c r="X96" s="33"/>
      <c r="Y96" s="29"/>
      <c r="Z96" s="516"/>
      <c r="AA96" s="517"/>
      <c r="AB96" s="29"/>
      <c r="AC96" s="188"/>
      <c r="AD96" s="33"/>
      <c r="AE96" s="29"/>
      <c r="AF96" s="188"/>
      <c r="AG96" s="33"/>
      <c r="AH96" s="29"/>
      <c r="AI96" s="188"/>
      <c r="AJ96" s="33"/>
      <c r="AK96" s="29"/>
      <c r="AL96" s="188"/>
      <c r="AM96" s="33"/>
      <c r="AN96" s="29"/>
      <c r="AO96" s="188"/>
      <c r="AP96" s="33"/>
      <c r="AQ96" s="29"/>
      <c r="AR96" s="188"/>
      <c r="AS96" s="33"/>
      <c r="AT96" s="187"/>
      <c r="AU96" s="51"/>
      <c r="AV96" s="31"/>
      <c r="AW96" s="44"/>
      <c r="AX96" s="39"/>
      <c r="AY96" s="45"/>
      <c r="AZ96" s="245"/>
      <c r="BA96" s="260"/>
      <c r="BB96" s="245"/>
      <c r="BC96" s="187"/>
      <c r="BD96" s="260"/>
      <c r="BE96" s="264"/>
      <c r="BF96" s="187"/>
      <c r="BG96" s="260"/>
      <c r="BH96" s="257"/>
      <c r="BI96" s="44"/>
      <c r="BJ96" s="39"/>
      <c r="BK96" s="45"/>
      <c r="BL96" s="187"/>
      <c r="BM96" s="39"/>
      <c r="BN96" s="45"/>
      <c r="BO96" s="44"/>
      <c r="BP96" s="39"/>
      <c r="BQ96" s="45"/>
      <c r="BR96" s="44"/>
      <c r="BS96" s="39"/>
      <c r="BT96" s="45"/>
      <c r="BU96" s="44"/>
      <c r="BV96" s="39"/>
      <c r="BW96" s="45"/>
      <c r="BX96" s="44"/>
      <c r="BY96" s="39"/>
      <c r="BZ96" s="45"/>
      <c r="CA96" s="187"/>
      <c r="CB96" s="260"/>
      <c r="CC96" s="257"/>
      <c r="CD96" s="187"/>
      <c r="CE96" s="260"/>
      <c r="CF96" s="45"/>
      <c r="CG96" s="187"/>
      <c r="CH96" s="260"/>
      <c r="CI96" s="45"/>
      <c r="CJ96" s="187"/>
      <c r="CK96" s="260"/>
      <c r="CL96" s="45"/>
      <c r="CM96" s="187"/>
      <c r="CN96" s="31"/>
      <c r="CO96" s="31"/>
      <c r="CP96" s="187"/>
      <c r="CQ96" s="31"/>
      <c r="CR96" s="31"/>
      <c r="CS96" s="187"/>
      <c r="CT96" s="31"/>
      <c r="CU96" s="31"/>
      <c r="CV96" s="44"/>
      <c r="CW96" s="39"/>
      <c r="CX96" s="31"/>
      <c r="CY96" s="612">
        <f t="shared" si="8"/>
        <v>0</v>
      </c>
      <c r="CZ96" s="204">
        <f t="shared" si="9"/>
        <v>0</v>
      </c>
      <c r="DA96" s="36">
        <f>COUNT(BT96,BW96,BZ96,CI96,CL96,CO96,CR96,CU96,F96,I96,L96,O96,R96,U96,X96,AA96,AD96,AG96,AJ96,AM96,AP96,#REF!,AS96,AV96,AY96,BB96,BE96,BH96,BK96,BN96,BQ96,CC96,CF96,CX96,#REF!,#REF!,#REF!)</f>
        <v>0</v>
      </c>
    </row>
    <row r="97" spans="1:106" ht="16.5" thickBot="1" x14ac:dyDescent="0.3">
      <c r="B97" s="202"/>
      <c r="C97" s="167" t="s">
        <v>1</v>
      </c>
      <c r="D97" s="57"/>
      <c r="E97" s="193"/>
      <c r="F97" s="148"/>
      <c r="G97" s="57"/>
      <c r="H97" s="193"/>
      <c r="I97" s="148"/>
      <c r="J97" s="57"/>
      <c r="K97" s="193"/>
      <c r="L97" s="148"/>
      <c r="M97" s="57"/>
      <c r="N97" s="193"/>
      <c r="O97" s="148"/>
      <c r="P97" s="57"/>
      <c r="Q97" s="193"/>
      <c r="R97" s="148"/>
      <c r="S97" s="57"/>
      <c r="T97" s="193"/>
      <c r="U97" s="148"/>
      <c r="V97" s="57"/>
      <c r="W97" s="193"/>
      <c r="X97" s="148"/>
      <c r="Y97" s="57"/>
      <c r="Z97" s="512"/>
      <c r="AA97" s="513"/>
      <c r="AB97" s="57"/>
      <c r="AC97" s="193"/>
      <c r="AD97" s="148"/>
      <c r="AE97" s="57"/>
      <c r="AF97" s="193"/>
      <c r="AG97" s="148"/>
      <c r="AH97" s="57"/>
      <c r="AI97" s="193"/>
      <c r="AJ97" s="148"/>
      <c r="AK97" s="57"/>
      <c r="AL97" s="193"/>
      <c r="AM97" s="148"/>
      <c r="AN97" s="57"/>
      <c r="AO97" s="193"/>
      <c r="AP97" s="148"/>
      <c r="AQ97" s="57"/>
      <c r="AR97" s="193"/>
      <c r="AS97" s="148"/>
      <c r="AT97" s="194"/>
      <c r="AU97" s="237"/>
      <c r="AV97" s="173"/>
      <c r="AW97" s="194">
        <v>39.200000000000003</v>
      </c>
      <c r="AX97" s="435">
        <v>3</v>
      </c>
      <c r="AY97" s="436">
        <v>51.3</v>
      </c>
      <c r="AZ97" s="244"/>
      <c r="BA97" s="113"/>
      <c r="BB97" s="146"/>
      <c r="BC97" s="194"/>
      <c r="BD97" s="113"/>
      <c r="BE97" s="173"/>
      <c r="BF97" s="194">
        <v>65.319999999999993</v>
      </c>
      <c r="BG97" s="113">
        <v>5</v>
      </c>
      <c r="BH97" s="173">
        <f>BF97*0.99*1.2</f>
        <v>77.600159999999988</v>
      </c>
      <c r="BI97" s="48">
        <v>52.26</v>
      </c>
      <c r="BJ97" s="55">
        <v>5</v>
      </c>
      <c r="BK97" s="173">
        <f>(31.38*1.41+13.02*1.2)*1.2</f>
        <v>71.843759999999989</v>
      </c>
      <c r="BL97" s="194">
        <v>44.4</v>
      </c>
      <c r="BM97" s="113">
        <v>3</v>
      </c>
      <c r="BN97" s="173">
        <f>(31.38*1.41+13.2*1.2)*1.2</f>
        <v>72.102959999999982</v>
      </c>
      <c r="BO97" s="48">
        <v>88.34</v>
      </c>
      <c r="BP97" s="55">
        <v>7</v>
      </c>
      <c r="BQ97" s="173">
        <f>(47.22*0.99+41.12*0.74)*1.2</f>
        <v>92.611919999999984</v>
      </c>
      <c r="BR97" s="48">
        <v>64.78</v>
      </c>
      <c r="BS97" s="55">
        <v>4</v>
      </c>
      <c r="BT97" s="173">
        <f>(59.52*0.99+5.26*1.41)*1.2</f>
        <v>79.609680000000012</v>
      </c>
      <c r="BU97" s="48">
        <v>24.56</v>
      </c>
      <c r="BV97" s="55">
        <v>2</v>
      </c>
      <c r="BW97" s="173">
        <f>BU97*1.41*1.2</f>
        <v>41.555519999999994</v>
      </c>
      <c r="BX97" s="48">
        <v>51.52</v>
      </c>
      <c r="BY97" s="55">
        <v>4</v>
      </c>
      <c r="BZ97" s="173">
        <f>BX97*1.2*1.2</f>
        <v>74.188800000000001</v>
      </c>
      <c r="CA97" s="194">
        <v>43.94</v>
      </c>
      <c r="CB97" s="113">
        <v>4</v>
      </c>
      <c r="CC97" s="258">
        <f>CA97*1.41*1.2</f>
        <v>74.346479999999985</v>
      </c>
      <c r="CD97" s="194">
        <v>36.5</v>
      </c>
      <c r="CE97" s="113">
        <v>4</v>
      </c>
      <c r="CF97" s="50">
        <f>CD97*1.2*1.2</f>
        <v>52.559999999999995</v>
      </c>
      <c r="CG97" s="536">
        <v>13.69</v>
      </c>
      <c r="CH97" s="113">
        <v>1</v>
      </c>
      <c r="CI97" s="50">
        <f>13.69*1.41*1.2</f>
        <v>23.163479999999996</v>
      </c>
      <c r="CJ97" s="194">
        <v>69.239999999999995</v>
      </c>
      <c r="CK97" s="113">
        <v>5</v>
      </c>
      <c r="CL97" s="50">
        <f>CJ97*0.68*1.2</f>
        <v>56.499839999999999</v>
      </c>
      <c r="CM97" s="194"/>
      <c r="CN97" s="49"/>
      <c r="CO97" s="49"/>
      <c r="CP97" s="194"/>
      <c r="CQ97" s="49"/>
      <c r="CR97" s="49"/>
      <c r="CS97" s="194"/>
      <c r="CT97" s="49"/>
      <c r="CU97" s="49"/>
      <c r="CV97" s="48"/>
      <c r="CW97" s="55"/>
      <c r="CX97" s="49"/>
      <c r="CY97" s="613">
        <f t="shared" si="8"/>
        <v>593.75</v>
      </c>
      <c r="CZ97" s="148">
        <f t="shared" si="9"/>
        <v>767.3825999999998</v>
      </c>
      <c r="DA97" s="36">
        <f>COUNT(BT97,BW97,BZ97,CI97,CL97,CO97,CR97,CU97,F97,I97,L97,O97,R97,U97,X97,AA97,AD97,AG97,AJ97,AM97,AP97,#REF!,AS97,AV97,AY97,BB97,BE97,BH97,BK97,BN97,BQ97,CC97,CF97,CX97,#REF!,#REF!,#REF!)</f>
        <v>12</v>
      </c>
      <c r="DB97" s="41">
        <f>SUM(CZ95:CZ97)</f>
        <v>767.3825999999998</v>
      </c>
    </row>
    <row r="98" spans="1:106" x14ac:dyDescent="0.25">
      <c r="A98" s="35">
        <v>871</v>
      </c>
      <c r="B98" s="137" t="s">
        <v>198</v>
      </c>
      <c r="C98" s="163" t="s">
        <v>0</v>
      </c>
      <c r="D98" s="137"/>
      <c r="E98" s="189"/>
      <c r="F98" s="164"/>
      <c r="G98" s="137"/>
      <c r="H98" s="189"/>
      <c r="I98" s="164"/>
      <c r="J98" s="137"/>
      <c r="K98" s="189"/>
      <c r="L98" s="164"/>
      <c r="M98" s="137"/>
      <c r="N98" s="189"/>
      <c r="O98" s="164"/>
      <c r="P98" s="137"/>
      <c r="Q98" s="189"/>
      <c r="R98" s="164"/>
      <c r="S98" s="137"/>
      <c r="T98" s="189"/>
      <c r="U98" s="164"/>
      <c r="V98" s="137"/>
      <c r="W98" s="189"/>
      <c r="X98" s="164"/>
      <c r="Y98" s="137"/>
      <c r="Z98" s="189"/>
      <c r="AA98" s="164"/>
      <c r="AB98" s="137"/>
      <c r="AC98" s="189"/>
      <c r="AD98" s="164"/>
      <c r="AE98" s="137"/>
      <c r="AF98" s="189"/>
      <c r="AG98" s="164"/>
      <c r="AH98" s="137"/>
      <c r="AI98" s="189"/>
      <c r="AJ98" s="164"/>
      <c r="AK98" s="137"/>
      <c r="AL98" s="189"/>
      <c r="AM98" s="164"/>
      <c r="AN98" s="137"/>
      <c r="AO98" s="189"/>
      <c r="AP98" s="164"/>
      <c r="AQ98" s="137"/>
      <c r="AR98" s="189"/>
      <c r="AS98" s="164"/>
      <c r="AT98" s="137"/>
      <c r="AU98" s="189"/>
      <c r="AV98" s="164"/>
      <c r="AW98" s="137"/>
      <c r="AX98" s="189"/>
      <c r="AY98" s="164"/>
      <c r="AZ98" s="137"/>
      <c r="BA98" s="189"/>
      <c r="BB98" s="164"/>
      <c r="BC98" s="137"/>
      <c r="BD98" s="189"/>
      <c r="BE98" s="164"/>
      <c r="BF98" s="137"/>
      <c r="BG98" s="189"/>
      <c r="BH98" s="164"/>
      <c r="BI98" s="137"/>
      <c r="BJ98" s="189"/>
      <c r="BK98" s="164"/>
      <c r="BL98" s="137"/>
      <c r="BM98" s="189"/>
      <c r="BN98" s="164"/>
      <c r="BO98" s="137"/>
      <c r="BP98" s="189"/>
      <c r="BQ98" s="164"/>
      <c r="BR98" s="137"/>
      <c r="BS98" s="189"/>
      <c r="BT98" s="164"/>
      <c r="BU98" s="137"/>
      <c r="BV98" s="189"/>
      <c r="BW98" s="164"/>
      <c r="BX98" s="137"/>
      <c r="BY98" s="189"/>
      <c r="BZ98" s="164"/>
      <c r="CA98" s="137"/>
      <c r="CB98" s="189"/>
      <c r="CC98" s="164"/>
      <c r="CD98" s="137"/>
      <c r="CE98" s="189"/>
      <c r="CF98" s="164"/>
      <c r="CG98" s="137"/>
      <c r="CH98" s="189"/>
      <c r="CI98" s="164"/>
      <c r="CJ98" s="137"/>
      <c r="CK98" s="189"/>
      <c r="CL98" s="164"/>
      <c r="CM98" s="137"/>
      <c r="CN98" s="168"/>
      <c r="CO98" s="168"/>
      <c r="CP98" s="137"/>
      <c r="CQ98" s="168"/>
      <c r="CR98" s="168"/>
      <c r="CS98" s="137"/>
      <c r="CT98" s="168"/>
      <c r="CU98" s="168"/>
      <c r="CV98" s="137"/>
      <c r="CW98" s="189"/>
      <c r="CX98" s="185"/>
      <c r="CY98" s="611">
        <f t="shared" si="8"/>
        <v>0</v>
      </c>
      <c r="CZ98" s="607">
        <f t="shared" si="9"/>
        <v>0</v>
      </c>
      <c r="DA98" s="36">
        <f>COUNT(BT98,BW98,BZ98,CI98,CL98,CO98,CR98,CU98,F98,I98,L98,O98,R98,U98,X98,AA98,AD98,AG98,AJ98,AM98,AP98,#REF!,AS98,AV98,AY98,BB98,BE98,BH98,BK98,BN98,BQ98,CC98,CF98,CX98,#REF!,#REF!,#REF!)</f>
        <v>0</v>
      </c>
    </row>
    <row r="99" spans="1:106" x14ac:dyDescent="0.25">
      <c r="B99" s="187"/>
      <c r="C99" s="111" t="s">
        <v>34</v>
      </c>
      <c r="D99" s="29"/>
      <c r="E99" s="188"/>
      <c r="F99" s="33"/>
      <c r="G99" s="29"/>
      <c r="H99" s="188"/>
      <c r="I99" s="33"/>
      <c r="J99" s="29"/>
      <c r="K99" s="188"/>
      <c r="L99" s="33"/>
      <c r="M99" s="29"/>
      <c r="N99" s="188"/>
      <c r="O99" s="33"/>
      <c r="P99" s="29"/>
      <c r="Q99" s="188"/>
      <c r="R99" s="33"/>
      <c r="S99" s="29"/>
      <c r="T99" s="188"/>
      <c r="U99" s="33"/>
      <c r="V99" s="29"/>
      <c r="W99" s="188"/>
      <c r="X99" s="33"/>
      <c r="Y99" s="29"/>
      <c r="Z99" s="188"/>
      <c r="AA99" s="33"/>
      <c r="AB99" s="29"/>
      <c r="AC99" s="188"/>
      <c r="AD99" s="33"/>
      <c r="AE99" s="29"/>
      <c r="AF99" s="188"/>
      <c r="AG99" s="33"/>
      <c r="AH99" s="29"/>
      <c r="AI99" s="188"/>
      <c r="AJ99" s="33"/>
      <c r="AK99" s="29"/>
      <c r="AL99" s="188"/>
      <c r="AM99" s="33"/>
      <c r="AN99" s="29"/>
      <c r="AO99" s="188"/>
      <c r="AP99" s="33"/>
      <c r="AQ99" s="29"/>
      <c r="AR99" s="188"/>
      <c r="AS99" s="33"/>
      <c r="AT99" s="29"/>
      <c r="AU99" s="188"/>
      <c r="AV99" s="33"/>
      <c r="AW99" s="29"/>
      <c r="AX99" s="188"/>
      <c r="AY99" s="33"/>
      <c r="AZ99" s="29"/>
      <c r="BA99" s="188"/>
      <c r="BB99" s="33"/>
      <c r="BC99" s="29"/>
      <c r="BD99" s="188"/>
      <c r="BE99" s="33"/>
      <c r="BF99" s="29"/>
      <c r="BG99" s="188"/>
      <c r="BH99" s="33"/>
      <c r="BI99" s="29"/>
      <c r="BJ99" s="188"/>
      <c r="BK99" s="33"/>
      <c r="BL99" s="29"/>
      <c r="BM99" s="188"/>
      <c r="BN99" s="33"/>
      <c r="BO99" s="29"/>
      <c r="BP99" s="188"/>
      <c r="BQ99" s="33"/>
      <c r="BR99" s="29"/>
      <c r="BS99" s="188"/>
      <c r="BT99" s="33"/>
      <c r="BU99" s="29"/>
      <c r="BV99" s="188"/>
      <c r="BW99" s="33"/>
      <c r="BX99" s="29"/>
      <c r="BY99" s="188"/>
      <c r="BZ99" s="33"/>
      <c r="CA99" s="29"/>
      <c r="CB99" s="188"/>
      <c r="CC99" s="33"/>
      <c r="CD99" s="29"/>
      <c r="CE99" s="188"/>
      <c r="CF99" s="33"/>
      <c r="CG99" s="29"/>
      <c r="CH99" s="188"/>
      <c r="CI99" s="33"/>
      <c r="CJ99" s="29"/>
      <c r="CK99" s="188"/>
      <c r="CL99" s="33"/>
      <c r="CM99" s="29"/>
      <c r="CN99" s="34"/>
      <c r="CO99" s="34"/>
      <c r="CP99" s="29"/>
      <c r="CQ99" s="34"/>
      <c r="CR99" s="34"/>
      <c r="CS99" s="29"/>
      <c r="CT99" s="34"/>
      <c r="CU99" s="34"/>
      <c r="CV99" s="29"/>
      <c r="CW99" s="188"/>
      <c r="CX99" s="43"/>
      <c r="CY99" s="612">
        <f t="shared" si="8"/>
        <v>0</v>
      </c>
      <c r="CZ99" s="204">
        <f t="shared" si="9"/>
        <v>0</v>
      </c>
      <c r="DA99" s="36">
        <f>COUNT(BT99,BW99,BZ99,CI99,CL99,CO99,CR99,CU99,F99,I99,L99,O99,R99,U99,X99,AA99,AD99,AG99,AJ99,AM99,AP99,#REF!,AS99,AV99,AY99,BB99,BE99,BH99,BK99,BN99,BQ99,CC99,CF99,CX99,#REF!,#REF!,#REF!)</f>
        <v>0</v>
      </c>
    </row>
    <row r="100" spans="1:106" ht="16.5" thickBot="1" x14ac:dyDescent="0.3">
      <c r="B100" s="57"/>
      <c r="C100" s="167" t="s">
        <v>1</v>
      </c>
      <c r="D100" s="57"/>
      <c r="E100" s="193"/>
      <c r="F100" s="148"/>
      <c r="G100" s="57"/>
      <c r="H100" s="193"/>
      <c r="I100" s="148"/>
      <c r="J100" s="57"/>
      <c r="K100" s="193"/>
      <c r="L100" s="148"/>
      <c r="M100" s="57"/>
      <c r="N100" s="193"/>
      <c r="O100" s="148"/>
      <c r="P100" s="57"/>
      <c r="Q100" s="193"/>
      <c r="R100" s="148"/>
      <c r="S100" s="57"/>
      <c r="T100" s="193"/>
      <c r="U100" s="148"/>
      <c r="V100" s="57"/>
      <c r="W100" s="193"/>
      <c r="X100" s="148"/>
      <c r="Y100" s="57"/>
      <c r="Z100" s="193"/>
      <c r="AA100" s="148"/>
      <c r="AB100" s="57"/>
      <c r="AC100" s="193"/>
      <c r="AD100" s="148"/>
      <c r="AE100" s="57"/>
      <c r="AF100" s="193"/>
      <c r="AG100" s="148"/>
      <c r="AH100" s="57"/>
      <c r="AI100" s="193"/>
      <c r="AJ100" s="148"/>
      <c r="AK100" s="57"/>
      <c r="AL100" s="193"/>
      <c r="AM100" s="148"/>
      <c r="AN100" s="57"/>
      <c r="AO100" s="193"/>
      <c r="AP100" s="148"/>
      <c r="AQ100" s="57"/>
      <c r="AR100" s="193"/>
      <c r="AS100" s="148"/>
      <c r="AT100" s="57"/>
      <c r="AU100" s="193"/>
      <c r="AV100" s="148"/>
      <c r="AW100" s="57"/>
      <c r="AX100" s="193"/>
      <c r="AY100" s="148"/>
      <c r="AZ100" s="57"/>
      <c r="BA100" s="193"/>
      <c r="BB100" s="148"/>
      <c r="BC100" s="57"/>
      <c r="BD100" s="193"/>
      <c r="BE100" s="148"/>
      <c r="BF100" s="57"/>
      <c r="BG100" s="193"/>
      <c r="BH100" s="148"/>
      <c r="BI100" s="57"/>
      <c r="BJ100" s="193"/>
      <c r="BK100" s="148"/>
      <c r="BL100" s="57"/>
      <c r="BM100" s="193"/>
      <c r="BN100" s="148"/>
      <c r="BO100" s="57"/>
      <c r="BP100" s="193"/>
      <c r="BQ100" s="148"/>
      <c r="BR100" s="57"/>
      <c r="BS100" s="193"/>
      <c r="BT100" s="148"/>
      <c r="BU100" s="57"/>
      <c r="BV100" s="193"/>
      <c r="BW100" s="148"/>
      <c r="BX100" s="57"/>
      <c r="BY100" s="193"/>
      <c r="BZ100" s="148"/>
      <c r="CA100" s="57"/>
      <c r="CB100" s="193"/>
      <c r="CC100" s="148"/>
      <c r="CD100" s="57">
        <v>3.3</v>
      </c>
      <c r="CE100" s="193">
        <v>1</v>
      </c>
      <c r="CF100" s="148">
        <f>CD100*2.62</f>
        <v>8.645999999999999</v>
      </c>
      <c r="CG100" s="57"/>
      <c r="CH100" s="193"/>
      <c r="CI100" s="148"/>
      <c r="CJ100" s="57"/>
      <c r="CK100" s="193"/>
      <c r="CL100" s="148"/>
      <c r="CM100" s="57"/>
      <c r="CN100" s="146"/>
      <c r="CO100" s="146"/>
      <c r="CP100" s="57"/>
      <c r="CQ100" s="146"/>
      <c r="CR100" s="146"/>
      <c r="CS100" s="57"/>
      <c r="CT100" s="146"/>
      <c r="CU100" s="146"/>
      <c r="CV100" s="57"/>
      <c r="CW100" s="193"/>
      <c r="CX100" s="238"/>
      <c r="CY100" s="613">
        <f t="shared" si="8"/>
        <v>3.3</v>
      </c>
      <c r="CZ100" s="148">
        <f t="shared" si="9"/>
        <v>8.645999999999999</v>
      </c>
      <c r="DA100" s="36">
        <f>COUNT(BT100,BW100,BZ100,CI100,CL100,CO100,CR100,CU100,F100,I100,L100,O100,R100,U100,X100,AA100,AD100,AG100,AJ100,AM100,AP100,#REF!,AS100,AV100,AY100,BB100,BE100,BH100,BK100,BN100,BQ100,CC100,CF100,CX100,#REF!,#REF!,#REF!)</f>
        <v>1</v>
      </c>
      <c r="DB100" s="41">
        <f>SUM(CZ98:CZ100)</f>
        <v>8.645999999999999</v>
      </c>
    </row>
    <row r="102" spans="1:106" s="585" customFormat="1" ht="11.25" x14ac:dyDescent="0.2">
      <c r="A102" s="586"/>
      <c r="B102" s="587" t="s">
        <v>192</v>
      </c>
      <c r="C102" s="586"/>
      <c r="D102" s="588">
        <v>44747</v>
      </c>
      <c r="E102" s="589">
        <v>11</v>
      </c>
      <c r="F102" s="588">
        <v>44754</v>
      </c>
      <c r="G102" s="588">
        <v>44755</v>
      </c>
      <c r="H102" s="589" t="s">
        <v>235</v>
      </c>
      <c r="I102" s="588">
        <v>44757</v>
      </c>
      <c r="J102" s="589">
        <v>16</v>
      </c>
      <c r="K102" s="589" t="s">
        <v>234</v>
      </c>
      <c r="L102" s="588">
        <v>44760</v>
      </c>
      <c r="M102" s="589" t="s">
        <v>222</v>
      </c>
      <c r="N102" s="589" t="s">
        <v>236</v>
      </c>
      <c r="O102" s="588">
        <v>44763</v>
      </c>
      <c r="P102" s="589" t="s">
        <v>223</v>
      </c>
      <c r="Q102" s="589" t="s">
        <v>237</v>
      </c>
      <c r="R102" s="588">
        <v>44766</v>
      </c>
      <c r="S102" s="589" t="s">
        <v>224</v>
      </c>
      <c r="T102" s="589" t="s">
        <v>238</v>
      </c>
      <c r="U102" s="588">
        <v>44769</v>
      </c>
      <c r="V102" s="589" t="s">
        <v>225</v>
      </c>
      <c r="W102" s="589" t="s">
        <v>239</v>
      </c>
      <c r="X102" s="588">
        <v>44772</v>
      </c>
      <c r="Y102" s="589" t="s">
        <v>226</v>
      </c>
      <c r="Z102" s="589" t="s">
        <v>240</v>
      </c>
      <c r="AA102" s="588">
        <v>44775</v>
      </c>
      <c r="AB102" s="589" t="s">
        <v>227</v>
      </c>
      <c r="AC102" s="589" t="s">
        <v>241</v>
      </c>
      <c r="AD102" s="588">
        <v>44778</v>
      </c>
      <c r="AE102" s="589" t="s">
        <v>228</v>
      </c>
      <c r="AF102" s="589" t="s">
        <v>242</v>
      </c>
      <c r="AG102" s="588">
        <v>44781</v>
      </c>
      <c r="AH102" s="589" t="s">
        <v>229</v>
      </c>
      <c r="AI102" s="589" t="s">
        <v>243</v>
      </c>
      <c r="AJ102" s="589" t="s">
        <v>244</v>
      </c>
      <c r="AK102" s="589" t="s">
        <v>230</v>
      </c>
      <c r="AL102" s="589" t="s">
        <v>231</v>
      </c>
      <c r="AM102" s="588">
        <v>44789</v>
      </c>
      <c r="AN102" s="589" t="s">
        <v>234</v>
      </c>
      <c r="AO102" s="589" t="s">
        <v>232</v>
      </c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</row>
    <row r="103" spans="1:106" x14ac:dyDescent="0.25">
      <c r="A103" s="590">
        <v>191</v>
      </c>
      <c r="B103" s="593" t="s">
        <v>193</v>
      </c>
      <c r="C103" s="590"/>
      <c r="D103" s="591"/>
      <c r="E103" s="592"/>
      <c r="F103" s="591"/>
      <c r="G103" s="591"/>
      <c r="H103" s="592"/>
      <c r="I103" s="591"/>
      <c r="J103" s="592"/>
      <c r="K103" s="591"/>
      <c r="L103" s="591"/>
      <c r="M103" s="592"/>
      <c r="N103" s="591"/>
      <c r="O103" s="591"/>
      <c r="P103" s="592"/>
      <c r="Q103" s="591"/>
      <c r="R103" s="591"/>
      <c r="S103" s="592"/>
      <c r="T103" s="591"/>
      <c r="U103" s="591"/>
      <c r="V103" s="592"/>
      <c r="W103" s="591">
        <v>7</v>
      </c>
      <c r="X103" s="591">
        <v>7</v>
      </c>
      <c r="Y103" s="592"/>
      <c r="Z103" s="591"/>
      <c r="AA103" s="591"/>
      <c r="AB103" s="592"/>
      <c r="AC103" s="591"/>
      <c r="AD103" s="591"/>
      <c r="AE103" s="592"/>
      <c r="AF103" s="591"/>
      <c r="AG103" s="591"/>
      <c r="AH103" s="592">
        <v>9</v>
      </c>
      <c r="AI103" s="591"/>
      <c r="AJ103" s="591"/>
      <c r="AK103" s="592"/>
      <c r="AL103" s="592"/>
      <c r="AM103" s="591"/>
      <c r="AN103" s="591"/>
      <c r="AO103" s="592"/>
      <c r="AP103" s="36">
        <f>SUM(D103:AO103)</f>
        <v>23</v>
      </c>
      <c r="AQ103" s="36">
        <f>COUNT(D103:AO103)</f>
        <v>3</v>
      </c>
    </row>
    <row r="104" spans="1:106" x14ac:dyDescent="0.25">
      <c r="A104" s="590">
        <v>699</v>
      </c>
      <c r="B104" s="593" t="s">
        <v>194</v>
      </c>
      <c r="C104" s="590"/>
      <c r="D104" s="591"/>
      <c r="E104" s="592"/>
      <c r="F104" s="591"/>
      <c r="G104" s="591"/>
      <c r="H104" s="592"/>
      <c r="I104" s="591"/>
      <c r="J104" s="592"/>
      <c r="K104" s="591"/>
      <c r="L104" s="591"/>
      <c r="M104" s="592"/>
      <c r="N104" s="591"/>
      <c r="O104" s="591"/>
      <c r="P104" s="592"/>
      <c r="Q104" s="591">
        <v>11</v>
      </c>
      <c r="R104" s="591"/>
      <c r="S104" s="592"/>
      <c r="T104" s="591"/>
      <c r="U104" s="591"/>
      <c r="V104" s="592"/>
      <c r="W104" s="591"/>
      <c r="X104" s="591"/>
      <c r="Y104" s="592"/>
      <c r="Z104" s="591"/>
      <c r="AA104" s="591"/>
      <c r="AB104" s="592"/>
      <c r="AC104" s="591"/>
      <c r="AD104" s="591"/>
      <c r="AE104" s="592"/>
      <c r="AF104" s="591"/>
      <c r="AG104" s="591"/>
      <c r="AH104" s="592"/>
      <c r="AI104" s="591"/>
      <c r="AJ104" s="591"/>
      <c r="AK104" s="592"/>
      <c r="AL104" s="592"/>
      <c r="AM104" s="591"/>
      <c r="AN104" s="591"/>
      <c r="AO104" s="592"/>
      <c r="AP104" s="36">
        <f t="shared" ref="AP104:AP114" si="10">SUM(D104:AO104)</f>
        <v>11</v>
      </c>
      <c r="AQ104" s="36">
        <f t="shared" ref="AQ104:AQ114" si="11">COUNT(D104:AO104)</f>
        <v>1</v>
      </c>
    </row>
    <row r="105" spans="1:106" x14ac:dyDescent="0.25">
      <c r="A105" s="590">
        <v>135</v>
      </c>
      <c r="B105" s="593" t="s">
        <v>195</v>
      </c>
      <c r="C105" s="590"/>
      <c r="D105" s="591"/>
      <c r="E105" s="592"/>
      <c r="F105" s="591"/>
      <c r="G105" s="591"/>
      <c r="H105" s="592"/>
      <c r="I105" s="591">
        <v>5</v>
      </c>
      <c r="J105" s="592">
        <v>9</v>
      </c>
      <c r="K105" s="591"/>
      <c r="L105" s="591">
        <v>8</v>
      </c>
      <c r="M105" s="592">
        <v>9</v>
      </c>
      <c r="N105" s="591"/>
      <c r="O105" s="591"/>
      <c r="P105" s="592"/>
      <c r="Q105" s="591"/>
      <c r="R105" s="591"/>
      <c r="S105" s="592"/>
      <c r="T105" s="591"/>
      <c r="U105" s="591"/>
      <c r="V105" s="592"/>
      <c r="W105" s="591"/>
      <c r="X105" s="591"/>
      <c r="Y105" s="592"/>
      <c r="Z105" s="591"/>
      <c r="AA105" s="591"/>
      <c r="AB105" s="592"/>
      <c r="AC105" s="591">
        <v>12</v>
      </c>
      <c r="AD105" s="591">
        <v>12</v>
      </c>
      <c r="AE105" s="591">
        <v>12</v>
      </c>
      <c r="AF105" s="591">
        <v>12</v>
      </c>
      <c r="AG105" s="591">
        <v>6</v>
      </c>
      <c r="AH105" s="592"/>
      <c r="AI105" s="591"/>
      <c r="AJ105" s="591"/>
      <c r="AK105" s="592"/>
      <c r="AL105" s="592"/>
      <c r="AM105" s="591"/>
      <c r="AN105" s="591"/>
      <c r="AO105" s="592"/>
      <c r="AP105" s="36">
        <f t="shared" si="10"/>
        <v>85</v>
      </c>
      <c r="AQ105" s="36">
        <f t="shared" si="11"/>
        <v>9</v>
      </c>
    </row>
    <row r="106" spans="1:106" x14ac:dyDescent="0.25">
      <c r="A106" s="590"/>
      <c r="B106" s="593" t="s">
        <v>247</v>
      </c>
      <c r="C106" s="590"/>
      <c r="D106" s="591">
        <v>5</v>
      </c>
      <c r="E106" s="592"/>
      <c r="F106" s="591"/>
      <c r="G106" s="591"/>
      <c r="H106" s="592"/>
      <c r="I106" s="591"/>
      <c r="J106" s="592"/>
      <c r="K106" s="591"/>
      <c r="L106" s="591"/>
      <c r="M106" s="592"/>
      <c r="N106" s="591"/>
      <c r="O106" s="591"/>
      <c r="P106" s="592"/>
      <c r="Q106" s="591"/>
      <c r="R106" s="591"/>
      <c r="S106" s="592"/>
      <c r="T106" s="591"/>
      <c r="U106" s="591"/>
      <c r="V106" s="592"/>
      <c r="W106" s="591"/>
      <c r="X106" s="591"/>
      <c r="Y106" s="592"/>
      <c r="Z106" s="591"/>
      <c r="AA106" s="591"/>
      <c r="AB106" s="592"/>
      <c r="AC106" s="591"/>
      <c r="AD106" s="591"/>
      <c r="AE106" s="592"/>
      <c r="AF106" s="591"/>
      <c r="AG106" s="591"/>
      <c r="AH106" s="592"/>
      <c r="AI106" s="591"/>
      <c r="AJ106" s="591"/>
      <c r="AK106" s="592"/>
      <c r="AL106" s="592"/>
      <c r="AM106" s="591"/>
      <c r="AN106" s="591"/>
      <c r="AO106" s="592"/>
      <c r="AP106" s="36">
        <f t="shared" si="10"/>
        <v>5</v>
      </c>
      <c r="AQ106" s="36">
        <f t="shared" si="11"/>
        <v>1</v>
      </c>
    </row>
    <row r="107" spans="1:106" x14ac:dyDescent="0.25">
      <c r="A107" s="590"/>
      <c r="B107" s="593" t="s">
        <v>245</v>
      </c>
      <c r="C107" s="590"/>
      <c r="D107" s="591"/>
      <c r="E107" s="592"/>
      <c r="F107" s="591"/>
      <c r="G107" s="591"/>
      <c r="H107" s="592"/>
      <c r="I107" s="591"/>
      <c r="J107" s="592"/>
      <c r="K107" s="591"/>
      <c r="L107" s="591"/>
      <c r="M107" s="592"/>
      <c r="N107" s="591">
        <v>11</v>
      </c>
      <c r="O107" s="591"/>
      <c r="P107" s="592"/>
      <c r="Q107" s="591">
        <v>12</v>
      </c>
      <c r="R107" s="591"/>
      <c r="S107" s="592"/>
      <c r="T107" s="591"/>
      <c r="U107" s="591"/>
      <c r="V107" s="592"/>
      <c r="W107" s="591"/>
      <c r="X107" s="591"/>
      <c r="Y107" s="592"/>
      <c r="Z107" s="591"/>
      <c r="AA107" s="591"/>
      <c r="AB107" s="592"/>
      <c r="AC107" s="591"/>
      <c r="AD107" s="591"/>
      <c r="AE107" s="592"/>
      <c r="AF107" s="591"/>
      <c r="AG107" s="591"/>
      <c r="AH107" s="592"/>
      <c r="AI107" s="591"/>
      <c r="AJ107" s="591"/>
      <c r="AK107" s="592"/>
      <c r="AL107" s="592"/>
      <c r="AM107" s="591"/>
      <c r="AN107" s="591"/>
      <c r="AO107" s="592"/>
      <c r="AP107" s="36">
        <f t="shared" si="10"/>
        <v>23</v>
      </c>
      <c r="AQ107" s="36">
        <f t="shared" si="11"/>
        <v>2</v>
      </c>
    </row>
    <row r="108" spans="1:106" x14ac:dyDescent="0.25">
      <c r="A108" s="590"/>
      <c r="B108" s="593" t="s">
        <v>246</v>
      </c>
      <c r="C108" s="590"/>
      <c r="D108" s="591"/>
      <c r="E108" s="592"/>
      <c r="F108" s="591"/>
      <c r="G108" s="591"/>
      <c r="H108" s="592"/>
      <c r="I108" s="591">
        <v>12</v>
      </c>
      <c r="J108" s="592">
        <v>9</v>
      </c>
      <c r="K108" s="591"/>
      <c r="L108" s="591"/>
      <c r="M108" s="592"/>
      <c r="N108" s="591"/>
      <c r="O108" s="591"/>
      <c r="P108" s="592"/>
      <c r="Q108" s="591"/>
      <c r="R108" s="591"/>
      <c r="S108" s="592"/>
      <c r="T108" s="591"/>
      <c r="U108" s="591"/>
      <c r="V108" s="592"/>
      <c r="W108" s="591"/>
      <c r="X108" s="591"/>
      <c r="Y108" s="592"/>
      <c r="Z108" s="591"/>
      <c r="AA108" s="591"/>
      <c r="AB108" s="592"/>
      <c r="AC108" s="591"/>
      <c r="AD108" s="591"/>
      <c r="AE108" s="592"/>
      <c r="AF108" s="591"/>
      <c r="AG108" s="591"/>
      <c r="AH108" s="592"/>
      <c r="AI108" s="591"/>
      <c r="AJ108" s="591"/>
      <c r="AK108" s="592"/>
      <c r="AL108" s="592"/>
      <c r="AM108" s="591"/>
      <c r="AN108" s="591"/>
      <c r="AO108" s="592"/>
      <c r="AP108" s="36">
        <f t="shared" si="10"/>
        <v>21</v>
      </c>
      <c r="AQ108" s="36">
        <f t="shared" si="11"/>
        <v>2</v>
      </c>
    </row>
    <row r="109" spans="1:106" x14ac:dyDescent="0.25">
      <c r="A109" s="590">
        <v>1585</v>
      </c>
      <c r="B109" s="593" t="s">
        <v>196</v>
      </c>
      <c r="C109" s="590"/>
      <c r="D109" s="591"/>
      <c r="E109" s="592"/>
      <c r="F109" s="591"/>
      <c r="G109" s="591"/>
      <c r="H109" s="592"/>
      <c r="I109" s="591"/>
      <c r="J109" s="592"/>
      <c r="K109" s="591"/>
      <c r="L109" s="591"/>
      <c r="M109" s="592"/>
      <c r="N109" s="591"/>
      <c r="O109" s="591"/>
      <c r="P109" s="591"/>
      <c r="Q109" s="591">
        <v>8</v>
      </c>
      <c r="R109" s="591"/>
      <c r="S109" s="592">
        <v>12</v>
      </c>
      <c r="T109" s="591">
        <v>12</v>
      </c>
      <c r="U109" s="591">
        <v>8</v>
      </c>
      <c r="V109" s="592">
        <v>8</v>
      </c>
      <c r="W109" s="591">
        <v>11</v>
      </c>
      <c r="X109" s="591">
        <v>11</v>
      </c>
      <c r="Y109" s="592"/>
      <c r="Z109" s="591"/>
      <c r="AA109" s="591">
        <v>11</v>
      </c>
      <c r="AB109" s="592">
        <v>11</v>
      </c>
      <c r="AC109" s="591"/>
      <c r="AD109" s="591">
        <v>7</v>
      </c>
      <c r="AE109" s="592">
        <v>7</v>
      </c>
      <c r="AF109" s="591">
        <v>9</v>
      </c>
      <c r="AG109" s="591">
        <v>7</v>
      </c>
      <c r="AH109" s="591">
        <v>11</v>
      </c>
      <c r="AI109" s="591">
        <v>9</v>
      </c>
      <c r="AJ109" s="591">
        <v>7</v>
      </c>
      <c r="AK109" s="592">
        <v>7</v>
      </c>
      <c r="AL109" s="592"/>
      <c r="AM109" s="591"/>
      <c r="AN109" s="591"/>
      <c r="AO109" s="592"/>
      <c r="AP109" s="36">
        <f t="shared" si="10"/>
        <v>156</v>
      </c>
      <c r="AQ109" s="36">
        <f t="shared" si="11"/>
        <v>17</v>
      </c>
      <c r="BQ109" s="36">
        <v>0</v>
      </c>
    </row>
    <row r="110" spans="1:106" x14ac:dyDescent="0.25">
      <c r="A110" s="590">
        <v>978</v>
      </c>
      <c r="B110" s="593" t="s">
        <v>233</v>
      </c>
      <c r="C110" s="590"/>
      <c r="D110" s="591"/>
      <c r="E110" s="592"/>
      <c r="F110" s="591"/>
      <c r="G110" s="591"/>
      <c r="H110" s="592"/>
      <c r="I110" s="591">
        <v>5</v>
      </c>
      <c r="J110" s="592"/>
      <c r="K110" s="591"/>
      <c r="L110" s="591">
        <v>6</v>
      </c>
      <c r="M110" s="592"/>
      <c r="N110" s="591"/>
      <c r="O110" s="591">
        <v>4</v>
      </c>
      <c r="P110" s="592">
        <v>8</v>
      </c>
      <c r="Q110" s="591">
        <v>6</v>
      </c>
      <c r="R110" s="591"/>
      <c r="S110" s="592">
        <v>12</v>
      </c>
      <c r="T110" s="591">
        <v>12</v>
      </c>
      <c r="U110" s="591">
        <v>12</v>
      </c>
      <c r="V110" s="592">
        <v>12</v>
      </c>
      <c r="W110" s="591">
        <v>11</v>
      </c>
      <c r="X110" s="591">
        <v>11</v>
      </c>
      <c r="Y110" s="592"/>
      <c r="Z110" s="591">
        <v>3</v>
      </c>
      <c r="AA110" s="591">
        <v>11</v>
      </c>
      <c r="AB110" s="592">
        <v>11</v>
      </c>
      <c r="AC110" s="591">
        <v>12</v>
      </c>
      <c r="AD110" s="591">
        <v>11</v>
      </c>
      <c r="AE110" s="592">
        <v>10</v>
      </c>
      <c r="AF110" s="591"/>
      <c r="AG110" s="591"/>
      <c r="AH110" s="591">
        <v>11</v>
      </c>
      <c r="AI110" s="591"/>
      <c r="AJ110" s="591">
        <v>7</v>
      </c>
      <c r="AK110" s="592">
        <v>11</v>
      </c>
      <c r="AL110" s="592"/>
      <c r="AM110" s="591"/>
      <c r="AN110" s="591">
        <v>7</v>
      </c>
      <c r="AO110" s="592"/>
      <c r="AP110" s="36">
        <f t="shared" si="10"/>
        <v>193</v>
      </c>
      <c r="AQ110" s="36">
        <f t="shared" si="11"/>
        <v>21</v>
      </c>
    </row>
    <row r="111" spans="1:106" x14ac:dyDescent="0.25">
      <c r="A111" s="590"/>
      <c r="B111" s="593" t="s">
        <v>248</v>
      </c>
      <c r="C111" s="590"/>
      <c r="D111" s="591">
        <v>9</v>
      </c>
      <c r="E111" s="592"/>
      <c r="F111" s="591"/>
      <c r="G111" s="591"/>
      <c r="H111" s="592">
        <v>7</v>
      </c>
      <c r="I111" s="591"/>
      <c r="J111" s="592"/>
      <c r="K111" s="591"/>
      <c r="L111" s="591"/>
      <c r="M111" s="592"/>
      <c r="N111" s="591">
        <v>11</v>
      </c>
      <c r="O111" s="591">
        <v>7</v>
      </c>
      <c r="P111" s="592"/>
      <c r="Q111" s="591">
        <v>12</v>
      </c>
      <c r="R111" s="591"/>
      <c r="S111" s="592">
        <v>12</v>
      </c>
      <c r="T111" s="591">
        <v>12</v>
      </c>
      <c r="U111" s="591"/>
      <c r="V111" s="592">
        <v>12</v>
      </c>
      <c r="W111" s="591">
        <v>12</v>
      </c>
      <c r="X111" s="591">
        <v>11</v>
      </c>
      <c r="Y111" s="592"/>
      <c r="Z111" s="591"/>
      <c r="AA111" s="591"/>
      <c r="AB111" s="592"/>
      <c r="AC111" s="591"/>
      <c r="AD111" s="591"/>
      <c r="AE111" s="592"/>
      <c r="AF111" s="591"/>
      <c r="AG111" s="591"/>
      <c r="AH111" s="591"/>
      <c r="AI111" s="591"/>
      <c r="AJ111" s="591"/>
      <c r="AK111" s="592"/>
      <c r="AL111" s="592"/>
      <c r="AM111" s="591"/>
      <c r="AN111" s="591"/>
      <c r="AO111" s="592"/>
      <c r="AP111" s="36">
        <f t="shared" si="10"/>
        <v>105</v>
      </c>
      <c r="AQ111" s="36">
        <f t="shared" si="11"/>
        <v>10</v>
      </c>
    </row>
    <row r="112" spans="1:106" x14ac:dyDescent="0.25">
      <c r="A112" s="590"/>
      <c r="B112" s="593" t="s">
        <v>35</v>
      </c>
      <c r="C112" s="590"/>
      <c r="D112" s="591"/>
      <c r="E112" s="592"/>
      <c r="F112" s="591"/>
      <c r="G112" s="591"/>
      <c r="H112" s="592"/>
      <c r="I112" s="591"/>
      <c r="J112" s="592"/>
      <c r="K112" s="591"/>
      <c r="L112" s="591"/>
      <c r="M112" s="592"/>
      <c r="N112" s="591"/>
      <c r="O112" s="591"/>
      <c r="P112" s="592"/>
      <c r="Q112" s="591"/>
      <c r="R112" s="591"/>
      <c r="S112" s="592"/>
      <c r="T112" s="591"/>
      <c r="U112" s="591"/>
      <c r="V112" s="592"/>
      <c r="W112" s="591"/>
      <c r="X112" s="591"/>
      <c r="Y112" s="592"/>
      <c r="Z112" s="591"/>
      <c r="AA112" s="591"/>
      <c r="AB112" s="592"/>
      <c r="AC112" s="591"/>
      <c r="AD112" s="591"/>
      <c r="AE112" s="592"/>
      <c r="AF112" s="591"/>
      <c r="AG112" s="591"/>
      <c r="AH112" s="592">
        <v>7</v>
      </c>
      <c r="AI112" s="591"/>
      <c r="AJ112" s="591"/>
      <c r="AK112" s="592"/>
      <c r="AL112" s="592"/>
      <c r="AM112" s="591"/>
      <c r="AN112" s="591"/>
      <c r="AO112" s="592"/>
      <c r="AP112" s="36">
        <f t="shared" si="10"/>
        <v>7</v>
      </c>
      <c r="AQ112" s="36">
        <f t="shared" si="11"/>
        <v>1</v>
      </c>
    </row>
    <row r="113" spans="1:43" x14ac:dyDescent="0.25">
      <c r="A113" s="590"/>
      <c r="B113" s="593" t="s">
        <v>221</v>
      </c>
      <c r="C113" s="590"/>
      <c r="D113" s="591"/>
      <c r="E113" s="592"/>
      <c r="F113" s="591"/>
      <c r="G113" s="591"/>
      <c r="H113" s="592"/>
      <c r="I113" s="591"/>
      <c r="J113" s="592">
        <v>5</v>
      </c>
      <c r="K113" s="591"/>
      <c r="L113" s="591"/>
      <c r="M113" s="592"/>
      <c r="N113" s="591"/>
      <c r="O113" s="591"/>
      <c r="P113" s="592"/>
      <c r="Q113" s="591"/>
      <c r="R113" s="591"/>
      <c r="S113" s="592"/>
      <c r="T113" s="591"/>
      <c r="U113" s="591"/>
      <c r="V113" s="592"/>
      <c r="W113" s="591"/>
      <c r="X113" s="591"/>
      <c r="Y113" s="592"/>
      <c r="Z113" s="591">
        <v>6</v>
      </c>
      <c r="AA113" s="591"/>
      <c r="AB113" s="592"/>
      <c r="AC113" s="591"/>
      <c r="AD113" s="591"/>
      <c r="AE113" s="592"/>
      <c r="AF113" s="591"/>
      <c r="AG113" s="591"/>
      <c r="AH113" s="592"/>
      <c r="AI113" s="591"/>
      <c r="AJ113" s="591"/>
      <c r="AK113" s="592"/>
      <c r="AL113" s="592"/>
      <c r="AM113" s="591"/>
      <c r="AN113" s="591"/>
      <c r="AO113" s="592"/>
      <c r="AP113" s="36">
        <f t="shared" si="10"/>
        <v>11</v>
      </c>
      <c r="AQ113" s="36">
        <f t="shared" si="11"/>
        <v>2</v>
      </c>
    </row>
    <row r="114" spans="1:43" x14ac:dyDescent="0.25">
      <c r="A114" s="590"/>
      <c r="B114" s="593" t="s">
        <v>180</v>
      </c>
      <c r="C114" s="590"/>
      <c r="D114" s="591"/>
      <c r="E114" s="592"/>
      <c r="F114" s="591"/>
      <c r="G114" s="591"/>
      <c r="H114" s="592"/>
      <c r="I114" s="591"/>
      <c r="J114" s="592"/>
      <c r="K114" s="591"/>
      <c r="L114" s="591"/>
      <c r="M114" s="592"/>
      <c r="N114" s="591"/>
      <c r="O114" s="591"/>
      <c r="P114" s="592"/>
      <c r="Q114" s="591"/>
      <c r="R114" s="591"/>
      <c r="S114" s="592"/>
      <c r="T114" s="591"/>
      <c r="U114" s="591"/>
      <c r="V114" s="592"/>
      <c r="W114" s="591"/>
      <c r="X114" s="591"/>
      <c r="Y114" s="592"/>
      <c r="Z114" s="591"/>
      <c r="AA114" s="591"/>
      <c r="AB114" s="592"/>
      <c r="AC114" s="591"/>
      <c r="AD114" s="591"/>
      <c r="AE114" s="592"/>
      <c r="AF114" s="591"/>
      <c r="AG114" s="591"/>
      <c r="AH114" s="592"/>
      <c r="AI114" s="591"/>
      <c r="AJ114" s="591"/>
      <c r="AK114" s="592"/>
      <c r="AL114" s="592"/>
      <c r="AM114" s="591"/>
      <c r="AN114" s="591"/>
      <c r="AO114" s="592">
        <v>4</v>
      </c>
      <c r="AP114" s="36">
        <f t="shared" si="10"/>
        <v>4</v>
      </c>
      <c r="AQ114" s="36">
        <f t="shared" si="11"/>
        <v>1</v>
      </c>
    </row>
  </sheetData>
  <mergeCells count="37">
    <mergeCell ref="BO2:BQ2"/>
    <mergeCell ref="CA2:CC2"/>
    <mergeCell ref="V2:X2"/>
    <mergeCell ref="Y2:AA2"/>
    <mergeCell ref="BF2:BH2"/>
    <mergeCell ref="BI2:BK2"/>
    <mergeCell ref="BL2:BN2"/>
    <mergeCell ref="AQ2:AS2"/>
    <mergeCell ref="AT2:AV2"/>
    <mergeCell ref="AW2:AY2"/>
    <mergeCell ref="AZ2:BB2"/>
    <mergeCell ref="BC2:BE2"/>
    <mergeCell ref="BR2:BT2"/>
    <mergeCell ref="BU2:BW2"/>
    <mergeCell ref="BX2:BZ2"/>
    <mergeCell ref="D2:F2"/>
    <mergeCell ref="G2:I2"/>
    <mergeCell ref="A2:A3"/>
    <mergeCell ref="C2:C3"/>
    <mergeCell ref="CY2:CZ2"/>
    <mergeCell ref="B2:B3"/>
    <mergeCell ref="AB2:AD2"/>
    <mergeCell ref="AE2:AG2"/>
    <mergeCell ref="AH2:AJ2"/>
    <mergeCell ref="AK2:AM2"/>
    <mergeCell ref="AN2:AP2"/>
    <mergeCell ref="J2:L2"/>
    <mergeCell ref="M2:O2"/>
    <mergeCell ref="P2:R2"/>
    <mergeCell ref="S2:U2"/>
    <mergeCell ref="CD2:CF2"/>
    <mergeCell ref="CV2:CX2"/>
    <mergeCell ref="CG2:CI2"/>
    <mergeCell ref="CJ2:CL2"/>
    <mergeCell ref="CM2:CO2"/>
    <mergeCell ref="CP2:CR2"/>
    <mergeCell ref="CS2:CU2"/>
  </mergeCells>
  <phoneticPr fontId="37" type="noConversion"/>
  <pageMargins left="0.70866141732283472" right="0.70866141732283472" top="0.74803149606299213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комб 2022</vt:lpstr>
      <vt:lpstr>водит 2022</vt:lpstr>
      <vt:lpstr>спец</vt:lpstr>
      <vt:lpstr>доработка</vt:lpstr>
      <vt:lpstr>Лист1</vt:lpstr>
      <vt:lpstr>договорники</vt:lpstr>
      <vt:lpstr>комб на премию</vt:lpstr>
      <vt:lpstr>2022 комб выборка</vt:lpstr>
      <vt:lpstr>2022 водители выборка</vt:lpstr>
      <vt:lpstr>'2022 комб выборка'!Заголовки_для_печати</vt:lpstr>
      <vt:lpstr>Лист1!Заголовки_для_печати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EKO3</cp:lastModifiedBy>
  <cp:lastPrinted>2022-09-09T09:50:26Z</cp:lastPrinted>
  <dcterms:created xsi:type="dcterms:W3CDTF">2016-08-10T13:04:38Z</dcterms:created>
  <dcterms:modified xsi:type="dcterms:W3CDTF">2022-09-09T09:58:39Z</dcterms:modified>
</cp:coreProperties>
</file>