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acob\Documents\Programming Projects\InterpolationDraping\InterpolationDraping\patternSystems\Supreme System Blue Book\"/>
    </mc:Choice>
  </mc:AlternateContent>
  <xr:revisionPtr revIDLastSave="0" documentId="13_ncr:1_{3E4D2C93-E3DA-47FE-A41B-8CE8273912BF}" xr6:coauthVersionLast="47" xr6:coauthVersionMax="47" xr10:uidLastSave="{00000000-0000-0000-0000-000000000000}"/>
  <bookViews>
    <workbookView xWindow="-108" yWindow="-108" windowWidth="23256" windowHeight="13176" xr2:uid="{00000000-000D-0000-FFFF-FFFF00000000}"/>
  </bookViews>
  <sheets>
    <sheet name="Home" sheetId="1" r:id="rId1"/>
    <sheet name="Select Pattern" sheetId="6" r:id="rId2"/>
    <sheet name="Output" sheetId="2" r:id="rId3"/>
    <sheet name="Coat Equations" sheetId="4" r:id="rId4"/>
    <sheet name="Other Logic" sheetId="5" r:id="rId5"/>
  </sheets>
  <definedNames>
    <definedName name="INTERPOLATELAMBDA">LAMBDA</definedName>
    <definedName name="Measurements1">Home!$B$23:$C$31</definedName>
    <definedName name="MeasurementsCoats">Home!$B$51:$C$52</definedName>
    <definedName name="ROUNDEIGHTH" comment="Rounds an in. measurement to nearest eighth">_xlfn.LAMBDA(_xlpm.α,(ROUND(_xlpm.α*8,0)/8))</definedName>
    <definedName name="ROUNDSIXTEENTH">_xlfn.LAMBDA(_xlpm.α,(ROUND(_xlpm.α*16,0)/16))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7" i="4" l="1"/>
  <c r="P67" i="4"/>
  <c r="P45" i="4"/>
  <c r="P46" i="4"/>
  <c r="P47" i="4"/>
  <c r="P48" i="4"/>
  <c r="P49" i="4"/>
  <c r="P50" i="4"/>
  <c r="P51" i="4"/>
  <c r="P52" i="4"/>
  <c r="P53" i="4"/>
  <c r="P54" i="4"/>
  <c r="P55" i="4"/>
  <c r="P56" i="4"/>
  <c r="P57" i="4"/>
  <c r="P58" i="4"/>
  <c r="P59" i="4"/>
  <c r="P60" i="4"/>
  <c r="P61" i="4"/>
  <c r="P62" i="4"/>
  <c r="P63" i="4"/>
  <c r="P64" i="4"/>
  <c r="P65" i="4"/>
  <c r="P66" i="4"/>
  <c r="P68" i="4"/>
  <c r="O46" i="4"/>
  <c r="O47" i="4"/>
  <c r="O48" i="4"/>
  <c r="O49" i="4"/>
  <c r="O50" i="4"/>
  <c r="O51" i="4"/>
  <c r="O52" i="4"/>
  <c r="O53" i="4"/>
  <c r="O54" i="4"/>
  <c r="O55" i="4"/>
  <c r="O56" i="4"/>
  <c r="O57" i="4"/>
  <c r="O58" i="4"/>
  <c r="O59" i="4"/>
  <c r="O60" i="4"/>
  <c r="O61" i="4"/>
  <c r="O62" i="4"/>
  <c r="O63" i="4"/>
  <c r="O64" i="4"/>
  <c r="O65" i="4"/>
  <c r="O66" i="4"/>
  <c r="O67" i="4"/>
  <c r="O68" i="4"/>
  <c r="O45" i="4"/>
  <c r="L68" i="4"/>
  <c r="M41" i="4" a="1"/>
  <c r="M41" i="4" s="1"/>
  <c r="B43" i="4"/>
  <c r="L66" i="4"/>
  <c r="M63" i="4"/>
  <c r="M62" i="4"/>
  <c r="M61" i="4"/>
  <c r="F27" i="1" a="1"/>
  <c r="F27" i="1" s="1"/>
  <c r="F26" i="1"/>
  <c r="B2" i="5" a="1"/>
  <c r="B2" i="5" s="1"/>
  <c r="F25" i="1"/>
  <c r="A2" i="4" a="1"/>
  <c r="A2" i="4" s="1"/>
  <c r="M623" i="6" a="1"/>
  <c r="M623" i="6"/>
  <c r="K623" i="6" a="1"/>
  <c r="K623" i="6" s="1"/>
  <c r="L623" i="6" s="1" a="1"/>
  <c r="L623" i="6" s="1"/>
  <c r="I623" i="6" a="1"/>
  <c r="I623" i="6" s="1"/>
  <c r="J623" i="6" s="1" a="1"/>
  <c r="J623" i="6" s="1"/>
  <c r="H623" i="6" a="1"/>
  <c r="H623" i="6" s="1"/>
  <c r="M50" i="4" l="1"/>
  <c r="M49" i="4"/>
  <c r="O26" i="4"/>
  <c r="O32" i="4" s="1"/>
  <c r="M48" i="4"/>
  <c r="M55" i="4" s="1"/>
  <c r="M29" i="4"/>
  <c r="O29" i="4"/>
  <c r="E5" i="4"/>
  <c r="L63" i="4" l="1"/>
  <c r="B68" i="4"/>
  <c r="M56" i="4"/>
  <c r="B45" i="4"/>
  <c r="B44" i="4"/>
  <c r="M60" i="4"/>
  <c r="B31" i="4"/>
  <c r="M30" i="4"/>
  <c r="O30" i="4" s="1"/>
  <c r="O31" i="4" s="1"/>
  <c r="B32" i="4"/>
  <c r="B26" i="4"/>
  <c r="B33" i="4"/>
  <c r="N29" i="4"/>
  <c r="N28" i="4"/>
  <c r="L53" i="4"/>
  <c r="L54" i="4" s="1"/>
  <c r="L51" i="4"/>
  <c r="L52" i="4" s="1"/>
  <c r="O28" i="4"/>
  <c r="M28" i="4"/>
  <c r="N27" i="4"/>
  <c r="M46" i="4"/>
  <c r="L58" i="4"/>
  <c r="L59" i="4" l="1"/>
  <c r="B52" i="4"/>
  <c r="B37" i="4"/>
  <c r="B49" i="4"/>
  <c r="B38" i="4"/>
  <c r="L67" i="4"/>
  <c r="B50" i="4"/>
  <c r="B57" i="4"/>
  <c r="L64" i="4"/>
  <c r="B36" i="4"/>
  <c r="L32" i="4"/>
  <c r="N32" i="4" s="1"/>
  <c r="L65" i="4"/>
  <c r="L56" i="4"/>
  <c r="B60" i="4" s="1"/>
  <c r="L55" i="4"/>
  <c r="L57" i="4"/>
  <c r="L31" i="4"/>
  <c r="N31" i="4" s="1"/>
  <c r="N30" i="4"/>
  <c r="M47" i="4"/>
  <c r="B29" i="4"/>
  <c r="M59" i="4"/>
  <c r="M54" i="4"/>
  <c r="M51" i="4"/>
  <c r="B30" i="4" l="1"/>
  <c r="B63" i="4"/>
  <c r="L61" i="4"/>
  <c r="B51" i="4"/>
  <c r="L60" i="4"/>
  <c r="B58" i="4" s="1"/>
  <c r="B53" i="4"/>
  <c r="B47" i="4"/>
  <c r="B55" i="4"/>
  <c r="M58" i="4"/>
  <c r="M57" i="4"/>
  <c r="M65" i="4" s="1"/>
  <c r="M66" i="4" s="1"/>
  <c r="B28" i="4" s="1" a="1"/>
  <c r="B28" i="4" s="1"/>
  <c r="M52" i="4"/>
  <c r="M53" i="4"/>
  <c r="L62" i="4" l="1"/>
  <c r="B39" i="4"/>
  <c r="B34" i="4" l="1"/>
  <c r="B40" i="4"/>
  <c r="M6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author>
  </authors>
  <commentList>
    <comment ref="F27" authorId="0" shapeId="0" xr:uid="{7517368F-A0AF-4C2E-A9B7-97333AAE68DA}">
      <text>
        <r>
          <rPr>
            <b/>
            <sz val="9"/>
            <color indexed="81"/>
            <rFont val="Tahoma"/>
            <family val="2"/>
          </rPr>
          <t>Jacob:</t>
        </r>
        <r>
          <rPr>
            <sz val="9"/>
            <color indexed="81"/>
            <rFont val="Tahoma"/>
            <family val="2"/>
          </rPr>
          <t xml:space="preserve">
Uses Lambda function
"ROUNDEIGHTH" to round to nearest eighth</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<sst xmlns="http://schemas.openxmlformats.org/spreadsheetml/2006/main" count="306" uniqueCount="229">
  <si>
    <t>Document Source: Link</t>
  </si>
  <si>
    <t>Book Details:</t>
  </si>
  <si>
    <t>Control Points</t>
  </si>
  <si>
    <t>x</t>
  </si>
  <si>
    <t>y</t>
  </si>
  <si>
    <t>Name</t>
  </si>
  <si>
    <t>Connections</t>
  </si>
  <si>
    <t>User Inputs</t>
  </si>
  <si>
    <t>Length of Coat</t>
  </si>
  <si>
    <t>Width of Back</t>
  </si>
  <si>
    <t>Breast</t>
  </si>
  <si>
    <t>Waist</t>
  </si>
  <si>
    <t>Seat</t>
  </si>
  <si>
    <t>Sleeve Length</t>
  </si>
  <si>
    <t>Height</t>
  </si>
  <si>
    <t>Weight</t>
  </si>
  <si>
    <t>Regulation Sack Coat</t>
  </si>
  <si>
    <t>How to Use</t>
  </si>
  <si>
    <t>Frock Coats</t>
  </si>
  <si>
    <t>Sack Coats</t>
  </si>
  <si>
    <t>Outlines</t>
  </si>
  <si>
    <t>Sack Coat (Corpulent)</t>
  </si>
  <si>
    <t>Sack Coat (Exaggerated)</t>
  </si>
  <si>
    <t>Three Button Frock Coat</t>
  </si>
  <si>
    <t>Double Breasted Frock Coat</t>
  </si>
  <si>
    <t>Frock Coat (Corpulent)</t>
  </si>
  <si>
    <t>Frock Coat (Stout)</t>
  </si>
  <si>
    <t>Measurements:</t>
  </si>
  <si>
    <t>Shoulders</t>
  </si>
  <si>
    <t>Shoulder Blades</t>
  </si>
  <si>
    <t>Sloping to Model to Square</t>
  </si>
  <si>
    <t>Large to Model to Small</t>
  </si>
  <si>
    <t>Stooping to Model to Erect</t>
  </si>
  <si>
    <t>Overall, this is an attempt to do the math for the book automatically. The burden is on the user to pick the correct designs, although warnings may be provided.
This will be a work in progress, and an interpreted reading of the book. I advise someone repeatedly check the machine, especially with untested figures in the equation. 
 - Jacob Jones</t>
  </si>
  <si>
    <t>Posture</t>
  </si>
  <si>
    <t>Head Position</t>
  </si>
  <si>
    <t>Neck Length</t>
  </si>
  <si>
    <t>Forward to Model to Backward</t>
  </si>
  <si>
    <t>Long to Model to Short</t>
  </si>
  <si>
    <t>Slope of Shoulder</t>
  </si>
  <si>
    <t>Depth of Scye</t>
  </si>
  <si>
    <t>Waist Length</t>
  </si>
  <si>
    <t>Length to Seat</t>
  </si>
  <si>
    <t>Blade Measure</t>
  </si>
  <si>
    <t>Front Measure</t>
  </si>
  <si>
    <t>Strap Measure</t>
  </si>
  <si>
    <t>Over Shoulder Measure</t>
  </si>
  <si>
    <t># Notes</t>
  </si>
  <si>
    <t>Mainly so that exaggerations and other modification can use another indicator</t>
  </si>
  <si>
    <t>Also, r as reference</t>
  </si>
  <si>
    <t>rA, rB, rC</t>
  </si>
  <si>
    <t>Sleeves</t>
  </si>
  <si>
    <t>Hunchback</t>
  </si>
  <si>
    <t>Overcoats</t>
  </si>
  <si>
    <t>Inverness</t>
  </si>
  <si>
    <t>Evening Dress</t>
  </si>
  <si>
    <t>Full Dress Coat</t>
  </si>
  <si>
    <t>Tuxedo or Dinner Coat</t>
  </si>
  <si>
    <t>Cassock</t>
  </si>
  <si>
    <t>Coats</t>
  </si>
  <si>
    <t>Vests</t>
  </si>
  <si>
    <t>Incline</t>
  </si>
  <si>
    <t>Vest Particulars</t>
  </si>
  <si>
    <t>Opening</t>
  </si>
  <si>
    <t>Full Length</t>
  </si>
  <si>
    <t>Exaggerations</t>
  </si>
  <si>
    <t>Stout</t>
  </si>
  <si>
    <t>Double Breasted Vest With Separate Lapel</t>
  </si>
  <si>
    <t>Full Dress Vest</t>
  </si>
  <si>
    <t>Notch Collar Vest for Corpulent Figure</t>
  </si>
  <si>
    <t>Clerical Vest</t>
  </si>
  <si>
    <t>Trousers</t>
  </si>
  <si>
    <t>Length to Side</t>
  </si>
  <si>
    <t>Sleeve Particulars</t>
  </si>
  <si>
    <t>Armhole circumference</t>
  </si>
  <si>
    <t>Armpit to hand</t>
  </si>
  <si>
    <t>Trouser Particulars</t>
  </si>
  <si>
    <t>Outside seam</t>
  </si>
  <si>
    <t>Inseam</t>
  </si>
  <si>
    <t>Knee</t>
  </si>
  <si>
    <t>Bottom</t>
  </si>
  <si>
    <t>Proportionate Trousers</t>
  </si>
  <si>
    <t>Peg Top</t>
  </si>
  <si>
    <t>Dress</t>
  </si>
  <si>
    <t>Corpulent</t>
  </si>
  <si>
    <t>Long Front</t>
  </si>
  <si>
    <t>Short Front</t>
  </si>
  <si>
    <t xml:space="preserve">Open </t>
  </si>
  <si>
    <t>Closed</t>
  </si>
  <si>
    <t>Large Seat</t>
  </si>
  <si>
    <t>Flat Seat</t>
  </si>
  <si>
    <t>Bow Leg</t>
  </si>
  <si>
    <t>Knock Knee</t>
  </si>
  <si>
    <t># Overall Variations</t>
  </si>
  <si>
    <t>Knickers w Cuff Attached</t>
  </si>
  <si>
    <t>Riding Breeches</t>
  </si>
  <si>
    <t>Spring Bottom Trousers</t>
  </si>
  <si>
    <t>Broad Falls</t>
  </si>
  <si>
    <t>Split Falls</t>
  </si>
  <si>
    <t>Over Gaiters</t>
  </si>
  <si>
    <t>Leggings</t>
  </si>
  <si>
    <t>Coat Particulars</t>
  </si>
  <si>
    <t>Fashionable waist</t>
  </si>
  <si>
    <t>Capes</t>
  </si>
  <si>
    <t>Military Uniforms and Sporting Costumes</t>
  </si>
  <si>
    <t>Clerical Chaplain and Kight Templar Coat</t>
  </si>
  <si>
    <t>Regular and Military</t>
  </si>
  <si>
    <t>Coachman's Coat</t>
  </si>
  <si>
    <t>Footman's Coat</t>
  </si>
  <si>
    <t>Automobile Coat</t>
  </si>
  <si>
    <t>Chauffeur's Sack Coat</t>
  </si>
  <si>
    <t>Policemen's Blouse</t>
  </si>
  <si>
    <t>Policemen s Coat</t>
  </si>
  <si>
    <t>Norfolk Jacket</t>
  </si>
  <si>
    <t>Golf Coat</t>
  </si>
  <si>
    <t>Riding Coat</t>
  </si>
  <si>
    <t>Hunting Sack</t>
  </si>
  <si>
    <t>Garment Type</t>
  </si>
  <si>
    <t>Full  Bress Vest With Small Waisted Effect</t>
  </si>
  <si>
    <t>General Measurement</t>
  </si>
  <si>
    <t>Value</t>
  </si>
  <si>
    <t>Direct Measurement</t>
  </si>
  <si>
    <t>A to B with line</t>
  </si>
  <si>
    <t>B to C with curve</t>
  </si>
  <si>
    <t>Double Breasted Sack Overcoat</t>
  </si>
  <si>
    <t>Single Breasted Sack Overcoat</t>
  </si>
  <si>
    <t>Pattern</t>
  </si>
  <si>
    <t>Single Breasted Box Coat</t>
  </si>
  <si>
    <t>Double Breasted Box Coat</t>
  </si>
  <si>
    <t>Double Breasted Surtout</t>
  </si>
  <si>
    <t>Single Breasted Box Newmarket</t>
  </si>
  <si>
    <t>Full Dress Coat without strap or lapel seam</t>
  </si>
  <si>
    <t>Frederick T. Croonborg</t>
  </si>
  <si>
    <t>Author</t>
  </si>
  <si>
    <t>Title:</t>
  </si>
  <si>
    <t>Blue Book of Men's Tayloring, Grand Edition of Supreme System For Producing Men's Garments</t>
  </si>
  <si>
    <t>Publish Date:</t>
  </si>
  <si>
    <t>Forms</t>
  </si>
  <si>
    <t>Garmet Type</t>
  </si>
  <si>
    <t>Outline</t>
  </si>
  <si>
    <t>Variations</t>
  </si>
  <si>
    <t>Proportionate Single Breasted</t>
  </si>
  <si>
    <t>Logic</t>
  </si>
  <si>
    <t>Outlines (Unique)</t>
  </si>
  <si>
    <t>Proportional Sack Coat Outline</t>
  </si>
  <si>
    <t>Corpulent Sack Coat Outline</t>
  </si>
  <si>
    <t>Exaggerated Sack Coat Outline</t>
  </si>
  <si>
    <t>Pattern (Unique)</t>
  </si>
  <si>
    <t>Images</t>
  </si>
  <si>
    <t>Look at page</t>
  </si>
  <si>
    <t>Page</t>
  </si>
  <si>
    <t>Value (in)</t>
  </si>
  <si>
    <t>cm to in (nearest 1/8")</t>
  </si>
  <si>
    <t>Input (cm)</t>
  </si>
  <si>
    <t>Floor (in)</t>
  </si>
  <si>
    <t>Ceiling (in)</t>
  </si>
  <si>
    <t>1/8"</t>
  </si>
  <si>
    <t>1/4"</t>
  </si>
  <si>
    <t>3/8"</t>
  </si>
  <si>
    <t>1/2"</t>
  </si>
  <si>
    <t>5/8"</t>
  </si>
  <si>
    <t>Decimal inches</t>
  </si>
  <si>
    <t>Fractional Inches</t>
  </si>
  <si>
    <t>3/4"</t>
  </si>
  <si>
    <t>7/8"</t>
  </si>
  <si>
    <t>Selected Pattern (Controls output)</t>
  </si>
  <si>
    <t>Technical Particulars</t>
  </si>
  <si>
    <t>The coordinate system is mainly positive, just for sanity. In this document, they align with the book illustrations</t>
  </si>
  <si>
    <t>X+ is left</t>
  </si>
  <si>
    <t>Y+ is down</t>
  </si>
  <si>
    <t>Half Measure Table</t>
  </si>
  <si>
    <t>Half Breast</t>
  </si>
  <si>
    <t>Systematical Outline for Sack Coat</t>
  </si>
  <si>
    <t>A</t>
  </si>
  <si>
    <t>A to C through B curve</t>
  </si>
  <si>
    <t>V</t>
  </si>
  <si>
    <t>Maths / Notes</t>
  </si>
  <si>
    <t>B</t>
  </si>
  <si>
    <t>C</t>
  </si>
  <si>
    <t>D</t>
  </si>
  <si>
    <t>E</t>
  </si>
  <si>
    <t>F</t>
  </si>
  <si>
    <t>H</t>
  </si>
  <si>
    <t>S</t>
  </si>
  <si>
    <t>G</t>
  </si>
  <si>
    <t>Reference Points</t>
  </si>
  <si>
    <t>W</t>
  </si>
  <si>
    <t>N</t>
  </si>
  <si>
    <t>I</t>
  </si>
  <si>
    <t>Reference Creation</t>
  </si>
  <si>
    <t>Line</t>
  </si>
  <si>
    <t>Origin X</t>
  </si>
  <si>
    <t>Origin Y</t>
  </si>
  <si>
    <t>End X</t>
  </si>
  <si>
    <t>End Y</t>
  </si>
  <si>
    <t>A-E</t>
  </si>
  <si>
    <t>A-Q</t>
  </si>
  <si>
    <t>B-I</t>
  </si>
  <si>
    <t>C-O</t>
  </si>
  <si>
    <t>Human Readable</t>
  </si>
  <si>
    <t>(Create Main Vertical)</t>
  </si>
  <si>
    <t>Closest (in)</t>
  </si>
  <si>
    <t>D-U</t>
  </si>
  <si>
    <t>O</t>
  </si>
  <si>
    <t>L</t>
  </si>
  <si>
    <t>U</t>
  </si>
  <si>
    <t>G'-U</t>
  </si>
  <si>
    <t>H'-E'</t>
  </si>
  <si>
    <t>X</t>
  </si>
  <si>
    <t>Q</t>
  </si>
  <si>
    <t>T</t>
  </si>
  <si>
    <t>R</t>
  </si>
  <si>
    <t>K</t>
  </si>
  <si>
    <t>Z</t>
  </si>
  <si>
    <t>1/16"</t>
  </si>
  <si>
    <t>3/16"</t>
  </si>
  <si>
    <t>5/16"</t>
  </si>
  <si>
    <t>7/16"</t>
  </si>
  <si>
    <t>9/16"</t>
  </si>
  <si>
    <t>11/16"</t>
  </si>
  <si>
    <t>13/16"</t>
  </si>
  <si>
    <t>15/16"</t>
  </si>
  <si>
    <t>P</t>
  </si>
  <si>
    <t>Square down these points to the indicated length:</t>
  </si>
  <si>
    <t>Connect points W and R, and mark point K  where this line crosses the square down from H1</t>
  </si>
  <si>
    <t>Connect points X and Z, and mark point J where this line crosses the square down from G1</t>
  </si>
  <si>
    <t>Connect points P and J</t>
  </si>
  <si>
    <t>J</t>
  </si>
  <si>
    <t>Edit measurements on Main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</si>
</sst>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7">
    <border>
      <left/>
      <right/>
      <top/>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1" fillId="0" borderId="0" xfId="1"/>
    <xf numFmtId="0" fontId="2" fillId="0" borderId="0" xfId="0" applyFont="1"/>
    <xf numFmtId="0" fontId="0" fillId="0" borderId="1" xfId="0" applyBorder="1"/>
    <xf numFmtId="0" fontId="0" fillId="0" borderId="2"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16" fontId="0" fillId="0" borderId="0" xfId="0" applyNumberFormat="1"/>
    <xf numFmtId="0" fontId="0" fillId="0" borderId="0" xfId="0" applyAlignment="1">
      <alignment horizontal="right"/>
    </xf>
    <xf numFmtId="2" fontId="0" fillId="0" borderId="0" xfId="0" applyNumberFormat="1"/>
    <xf numFmtId="2" fontId="0" fillId="0" borderId="0" xfId="0" quotePrefix="1" applyNumberFormat="1" applyAlignment="1">
      <alignment wrapText="1"/>
    </xf>
    <xf numFmtId="0" fontId="0" fillId="0" borderId="0" xfId="0" applyAlignment="1">
      <alignment horizontal="left" vertical="top" wrapText="1"/>
    </xf>
    <xf numFmtId="0" fontId="0" fillId="0" borderId="0" xfId="0" applyAlignment="1">
      <alignment horizontal="left" wrapText="1"/>
    </xf>
    <xf numFmtId="0" fontId="0" fillId="2" borderId="0" xfId="0" applyFill="1"/>
    <xf numFmtId="0" fontId="0" fillId="3" borderId="3" xfId="0" applyFill="1" applyBorder="1"/>
    <xf numFmtId="0" fontId="0" fillId="3" borderId="5" xfId="0" applyFill="1" applyBorder="1"/>
    <xf numFmtId="0" fontId="0" fillId="3" borderId="7" xfId="0" applyFill="1" applyBorder="1"/>
    <xf numFmtId="0" fontId="0" fillId="3" borderId="12" xfId="0" applyFill="1" applyBorder="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Previsualization v0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2F30A523-E106-4DFE-8911-58EA24BFB1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901-42DA-B725-A71E71B7917A}"/>
                </c:ext>
              </c:extLst>
            </c:dLbl>
            <c:dLbl>
              <c:idx val="1"/>
              <c:tx>
                <c:rich>
                  <a:bodyPr/>
                  <a:lstStyle/>
                  <a:p>
                    <a:fld id="{8FA6837A-BE49-4B14-AFC5-57AC3AACD10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901-42DA-B725-A71E71B7917A}"/>
                </c:ext>
              </c:extLst>
            </c:dLbl>
            <c:dLbl>
              <c:idx val="2"/>
              <c:tx>
                <c:rich>
                  <a:bodyPr/>
                  <a:lstStyle/>
                  <a:p>
                    <a:fld id="{9AD04BE3-1739-4672-8A90-A937676C523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901-42DA-B725-A71E71B7917A}"/>
                </c:ext>
              </c:extLst>
            </c:dLbl>
            <c:dLbl>
              <c:idx val="3"/>
              <c:tx>
                <c:rich>
                  <a:bodyPr/>
                  <a:lstStyle/>
                  <a:p>
                    <a:fld id="{2EB09C2E-AE5E-4A6B-8B42-6B8D8D373F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901-42DA-B725-A71E71B7917A}"/>
                </c:ext>
              </c:extLst>
            </c:dLbl>
            <c:dLbl>
              <c:idx val="4"/>
              <c:tx>
                <c:rich>
                  <a:bodyPr/>
                  <a:lstStyle/>
                  <a:p>
                    <a:fld id="{9F3721B5-3F6B-44FC-9C9F-8D15FDCB05B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901-42DA-B725-A71E71B7917A}"/>
                </c:ext>
              </c:extLst>
            </c:dLbl>
            <c:dLbl>
              <c:idx val="5"/>
              <c:tx>
                <c:rich>
                  <a:bodyPr/>
                  <a:lstStyle/>
                  <a:p>
                    <a:fld id="{27E65130-BFCA-4F6B-98C9-9ABABB6D078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901-42DA-B725-A71E71B7917A}"/>
                </c:ext>
              </c:extLst>
            </c:dLbl>
            <c:dLbl>
              <c:idx val="6"/>
              <c:tx>
                <c:rich>
                  <a:bodyPr/>
                  <a:lstStyle/>
                  <a:p>
                    <a:fld id="{C327C17D-FD5F-4474-B865-2FAE79B49D0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901-42DA-B725-A71E71B7917A}"/>
                </c:ext>
              </c:extLst>
            </c:dLbl>
            <c:dLbl>
              <c:idx val="7"/>
              <c:tx>
                <c:rich>
                  <a:bodyPr/>
                  <a:lstStyle/>
                  <a:p>
                    <a:fld id="{888CD470-1D77-4FC3-87D6-39AE4B0A760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901-42DA-B725-A71E71B7917A}"/>
                </c:ext>
              </c:extLst>
            </c:dLbl>
            <c:dLbl>
              <c:idx val="8"/>
              <c:tx>
                <c:rich>
                  <a:bodyPr/>
                  <a:lstStyle/>
                  <a:p>
                    <a:fld id="{3AFBCF27-5601-42F9-9DD8-2F310330D91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901-42DA-B725-A71E71B7917A}"/>
                </c:ext>
              </c:extLst>
            </c:dLbl>
            <c:dLbl>
              <c:idx val="9"/>
              <c:tx>
                <c:rich>
                  <a:bodyPr/>
                  <a:lstStyle/>
                  <a:p>
                    <a:fld id="{D2C0198B-3352-44C8-BEE0-D4490275ACC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901-42DA-B725-A71E71B7917A}"/>
                </c:ext>
              </c:extLst>
            </c:dLbl>
            <c:dLbl>
              <c:idx val="10"/>
              <c:tx>
                <c:rich>
                  <a:bodyPr/>
                  <a:lstStyle/>
                  <a:p>
                    <a:fld id="{0FC7851A-4D93-4F42-8002-A89D93571E5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901-42DA-B725-A71E71B7917A}"/>
                </c:ext>
              </c:extLst>
            </c:dLbl>
            <c:dLbl>
              <c:idx val="11"/>
              <c:tx>
                <c:rich>
                  <a:bodyPr/>
                  <a:lstStyle/>
                  <a:p>
                    <a:fld id="{9D057B48-572B-482C-967E-64FFD608653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901-42DA-B725-A71E71B7917A}"/>
                </c:ext>
              </c:extLst>
            </c:dLbl>
            <c:dLbl>
              <c:idx val="12"/>
              <c:tx>
                <c:rich>
                  <a:bodyPr/>
                  <a:lstStyle/>
                  <a:p>
                    <a:fld id="{E44089BC-71FD-48C6-BFEA-A85F7AA47D7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901-42DA-B725-A71E71B7917A}"/>
                </c:ext>
              </c:extLst>
            </c:dLbl>
            <c:dLbl>
              <c:idx val="13"/>
              <c:tx>
                <c:rich>
                  <a:bodyPr/>
                  <a:lstStyle/>
                  <a:p>
                    <a:fld id="{4588286C-D618-4592-8B62-BACE864430F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901-42DA-B725-A71E71B7917A}"/>
                </c:ext>
              </c:extLst>
            </c:dLbl>
            <c:dLbl>
              <c:idx val="14"/>
              <c:tx>
                <c:rich>
                  <a:bodyPr/>
                  <a:lstStyle/>
                  <a:p>
                    <a:fld id="{E69FC904-40E9-48AA-AECC-4F8B705C3F1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901-42DA-B725-A71E71B7917A}"/>
                </c:ext>
              </c:extLst>
            </c:dLbl>
            <c:dLbl>
              <c:idx val="15"/>
              <c:tx>
                <c:rich>
                  <a:bodyPr/>
                  <a:lstStyle/>
                  <a:p>
                    <a:fld id="{6C0B4986-7426-4E1E-9F1F-F501FF714E0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901-42DA-B725-A71E71B7917A}"/>
                </c:ext>
              </c:extLst>
            </c:dLbl>
            <c:dLbl>
              <c:idx val="16"/>
              <c:tx>
                <c:rich>
                  <a:bodyPr/>
                  <a:lstStyle/>
                  <a:p>
                    <a:fld id="{1BB52CEE-618B-43D4-887F-D5E9510781B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901-42DA-B725-A71E71B7917A}"/>
                </c:ext>
              </c:extLst>
            </c:dLbl>
            <c:dLbl>
              <c:idx val="17"/>
              <c:tx>
                <c:rich>
                  <a:bodyPr/>
                  <a:lstStyle/>
                  <a:p>
                    <a:fld id="{D5A9C904-FA6E-48F4-9818-1FD853056F9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901-42DA-B725-A71E71B7917A}"/>
                </c:ext>
              </c:extLst>
            </c:dLbl>
            <c:dLbl>
              <c:idx val="18"/>
              <c:tx>
                <c:rich>
                  <a:bodyPr/>
                  <a:lstStyle/>
                  <a:p>
                    <a:fld id="{ACFE764A-FF62-48E7-848A-C410D1F1932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901-42DA-B725-A71E71B7917A}"/>
                </c:ext>
              </c:extLst>
            </c:dLbl>
            <c:dLbl>
              <c:idx val="19"/>
              <c:tx>
                <c:rich>
                  <a:bodyPr/>
                  <a:lstStyle/>
                  <a:p>
                    <a:fld id="{1A039FD2-4284-41C8-9934-3F9CBEDBAB7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901-42DA-B725-A71E71B7917A}"/>
                </c:ext>
              </c:extLst>
            </c:dLbl>
            <c:dLbl>
              <c:idx val="20"/>
              <c:tx>
                <c:rich>
                  <a:bodyPr/>
                  <a:lstStyle/>
                  <a:p>
                    <a:fld id="{49F26B7E-34A1-4E59-8A7E-36D4D6A6333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901-42DA-B725-A71E71B7917A}"/>
                </c:ext>
              </c:extLst>
            </c:dLbl>
            <c:dLbl>
              <c:idx val="21"/>
              <c:tx>
                <c:rich>
                  <a:bodyPr/>
                  <a:lstStyle/>
                  <a:p>
                    <a:fld id="{C3D739D9-9D16-40CA-8364-EE8C1CAD434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901-42DA-B725-A71E71B7917A}"/>
                </c:ext>
              </c:extLst>
            </c:dLbl>
            <c:dLbl>
              <c:idx val="22"/>
              <c:tx>
                <c:rich>
                  <a:bodyPr/>
                  <a:lstStyle/>
                  <a:p>
                    <a:fld id="{22350D81-6280-4F8F-BE17-4AD3895DB6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901-42DA-B725-A71E71B7917A}"/>
                </c:ext>
              </c:extLst>
            </c:dLbl>
            <c:dLbl>
              <c:idx val="23"/>
              <c:tx>
                <c:rich>
                  <a:bodyPr/>
                  <a:lstStyle/>
                  <a:p>
                    <a:fld id="{216CCA6F-1A91-448A-99D3-1ECBE24B434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901-42DA-B725-A71E71B7917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'Coat Equations'!$O$45:$O$68</c:f>
              <c:numCache>
                <c:formatCode>0.00</c:formatCode>
                <c:ptCount val="24"/>
                <c:pt idx="0">
                  <c:v>0</c:v>
                </c:pt>
                <c:pt idx="1">
                  <c:v>0</c:v>
                </c:pt>
                <c:pt idx="2">
                  <c:v>0</c:v>
                </c:pt>
                <c:pt idx="3">
                  <c:v>0</c:v>
                </c:pt>
                <c:pt idx="4">
                  <c:v>0</c:v>
                </c:pt>
                <c:pt idx="5">
                  <c:v>0</c:v>
                </c:pt>
                <c:pt idx="6">
                  <c:v>-5.333333333333333</c:v>
                </c:pt>
                <c:pt idx="7">
                  <c:v>-6.833333333333333</c:v>
                </c:pt>
                <c:pt idx="8">
                  <c:v>-8</c:v>
                </c:pt>
                <c:pt idx="9">
                  <c:v>-11.5</c:v>
                </c:pt>
                <c:pt idx="10">
                  <c:v>-11.5</c:v>
                </c:pt>
                <c:pt idx="11">
                  <c:v>-11.5</c:v>
                </c:pt>
                <c:pt idx="12">
                  <c:v>-14.166666666666666</c:v>
                </c:pt>
                <c:pt idx="13">
                  <c:v>-16</c:v>
                </c:pt>
                <c:pt idx="14">
                  <c:v>-18.25</c:v>
                </c:pt>
                <c:pt idx="15">
                  <c:v>-18.25</c:v>
                </c:pt>
                <c:pt idx="16">
                  <c:v>-14.166666666666666</c:v>
                </c:pt>
                <c:pt idx="17">
                  <c:v>-16.833333333333332</c:v>
                </c:pt>
                <c:pt idx="18">
                  <c:v>-2.6666666666666665</c:v>
                </c:pt>
                <c:pt idx="19">
                  <c:v>-2.6666666666666665</c:v>
                </c:pt>
                <c:pt idx="20">
                  <c:v>-6.833333333333333</c:v>
                </c:pt>
                <c:pt idx="21">
                  <c:v>0</c:v>
                </c:pt>
                <c:pt idx="22">
                  <c:v>-11.5</c:v>
                </c:pt>
                <c:pt idx="23">
                  <c:v>-17.280254650490317</c:v>
                </c:pt>
              </c:numCache>
            </c:numRef>
          </c:xVal>
          <c:yVal>
            <c:numRef>
              <c:f>'Coat Equations'!$P$45:$P$68</c:f>
              <c:numCache>
                <c:formatCode>0.00</c:formatCode>
                <c:ptCount val="24"/>
                <c:pt idx="0">
                  <c:v>0</c:v>
                </c:pt>
                <c:pt idx="1">
                  <c:v>-5.333333333333333</c:v>
                </c:pt>
                <c:pt idx="2">
                  <c:v>-8.3333333333333321</c:v>
                </c:pt>
                <c:pt idx="3">
                  <c:v>-18</c:v>
                </c:pt>
                <c:pt idx="4">
                  <c:v>-24.333333333333332</c:v>
                </c:pt>
                <c:pt idx="5">
                  <c:v>-30</c:v>
                </c:pt>
                <c:pt idx="6">
                  <c:v>-8.3333333333333321</c:v>
                </c:pt>
                <c:pt idx="7">
                  <c:v>-8.3333333333333321</c:v>
                </c:pt>
                <c:pt idx="8">
                  <c:v>-8.3333333333333321</c:v>
                </c:pt>
                <c:pt idx="9">
                  <c:v>-8.3333333333333321</c:v>
                </c:pt>
                <c:pt idx="10">
                  <c:v>-18</c:v>
                </c:pt>
                <c:pt idx="11">
                  <c:v>-24.333333333333332</c:v>
                </c:pt>
                <c:pt idx="12">
                  <c:v>-8.3333333333333321</c:v>
                </c:pt>
                <c:pt idx="13">
                  <c:v>-8.3333333333333321</c:v>
                </c:pt>
                <c:pt idx="14">
                  <c:v>-8.3333333333333321</c:v>
                </c:pt>
                <c:pt idx="15">
                  <c:v>-18</c:v>
                </c:pt>
                <c:pt idx="16">
                  <c:v>0</c:v>
                </c:pt>
                <c:pt idx="17">
                  <c:v>0</c:v>
                </c:pt>
                <c:pt idx="18">
                  <c:v>0</c:v>
                </c:pt>
                <c:pt idx="19">
                  <c:v>0.75</c:v>
                </c:pt>
                <c:pt idx="20">
                  <c:v>-3.291062801932366</c:v>
                </c:pt>
                <c:pt idx="21">
                  <c:v>-3.291062801932366</c:v>
                </c:pt>
                <c:pt idx="22">
                  <c:v>-0.76454783761855882</c:v>
                </c:pt>
                <c:pt idx="23">
                  <c:v>-2.5397977258648643</c:v>
                </c:pt>
              </c:numCache>
            </c:numRef>
          </c:yVal>
          <c:smooth val="0"/>
          <c:extLst>
            <c:ext xmlns:c15="http://schemas.microsoft.com/office/drawing/2012/chart" uri="{02D57815-91ED-43cb-92C2-25804820EDAC}">
              <c15:datalabelsRange>
                <c15:f>'Coat Equations'!$N$45:$N$68</c15:f>
                <c15:dlblRangeCache>
                  <c:ptCount val="24"/>
                  <c:pt idx="0">
                    <c:v>A</c:v>
                  </c:pt>
                  <c:pt idx="1">
                    <c:v>V</c:v>
                  </c:pt>
                  <c:pt idx="2">
                    <c:v>B</c:v>
                  </c:pt>
                  <c:pt idx="3">
                    <c:v>C</c:v>
                  </c:pt>
                  <c:pt idx="4">
                    <c:v>D</c:v>
                  </c:pt>
                  <c:pt idx="5">
                    <c:v>E</c:v>
                  </c:pt>
                  <c:pt idx="6">
                    <c:v>F</c:v>
                  </c:pt>
                  <c:pt idx="7">
                    <c:v>H</c:v>
                  </c:pt>
                  <c:pt idx="8">
                    <c:v>S</c:v>
                  </c:pt>
                  <c:pt idx="9">
                    <c:v>G</c:v>
                  </c:pt>
                  <c:pt idx="10">
                    <c:v>L</c:v>
                  </c:pt>
                  <c:pt idx="11">
                    <c:v>U</c:v>
                  </c:pt>
                  <c:pt idx="12">
                    <c:v>W</c:v>
                  </c:pt>
                  <c:pt idx="13">
                    <c:v>N</c:v>
                  </c:pt>
                  <c:pt idx="14">
                    <c:v>I</c:v>
                  </c:pt>
                  <c:pt idx="15">
                    <c:v>O</c:v>
                  </c:pt>
                  <c:pt idx="16">
                    <c:v>X</c:v>
                  </c:pt>
                  <c:pt idx="17">
                    <c:v>Q</c:v>
                  </c:pt>
                  <c:pt idx="18">
                    <c:v>T</c:v>
                  </c:pt>
                  <c:pt idx="19">
                    <c:v>R</c:v>
                  </c:pt>
                  <c:pt idx="20">
                    <c:v>K</c:v>
                  </c:pt>
                  <c:pt idx="21">
                    <c:v>Z</c:v>
                  </c:pt>
                  <c:pt idx="22">
                    <c:v>J</c:v>
                  </c:pt>
                  <c:pt idx="23">
                    <c:v>P</c:v>
                  </c:pt>
                </c15:dlblRangeCache>
              </c15:datalabelsRange>
            </c:ext>
            <c:ext xmlns:c16="http://schemas.microsoft.com/office/drawing/2014/chart" uri="{C3380CC4-5D6E-409C-BE32-E72D297353CC}">
              <c16:uniqueId val="{00000000-8901-42DA-B725-A71E71B7917A}"/>
            </c:ext>
          </c:extLst>
        </c:ser>
        <c:dLbls>
          <c:dLblPos val="t"/>
          <c:showLegendKey val="0"/>
          <c:showVal val="1"/>
          <c:showCatName val="0"/>
          <c:showSerName val="0"/>
          <c:showPercent val="0"/>
          <c:showBubbleSize val="0"/>
        </c:dLbls>
        <c:axId val="903581104"/>
        <c:axId val="903582544"/>
      </c:scatterChart>
      <c:valAx>
        <c:axId val="903581104"/>
        <c:scaling>
          <c:orientation val="minMax"/>
          <c:max val="3"/>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high"/>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82544"/>
        <c:crosses val="autoZero"/>
        <c:crossBetween val="midCat"/>
      </c:valAx>
      <c:valAx>
        <c:axId val="9035825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811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81996</xdr:colOff>
      <xdr:row>39</xdr:row>
      <xdr:rowOff>48127</xdr:rowOff>
    </xdr:from>
    <xdr:to>
      <xdr:col>20</xdr:col>
      <xdr:colOff>111191</xdr:colOff>
      <xdr:row>69</xdr:row>
      <xdr:rowOff>147792</xdr:rowOff>
    </xdr:to>
    <xdr:pic>
      <xdr:nvPicPr>
        <xdr:cNvPr id="3" name="Picture 2">
          <a:extLst>
            <a:ext uri="{FF2B5EF4-FFF2-40B4-BE49-F238E27FC236}">
              <a16:creationId xmlns:a16="http://schemas.microsoft.com/office/drawing/2014/main" id="{66420835-6A27-61C3-4AC6-820922E869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7954" y="7243011"/>
          <a:ext cx="4296395" cy="5634192"/>
        </a:xfrm>
        <a:prstGeom prst="rect">
          <a:avLst/>
        </a:prstGeom>
      </xdr:spPr>
    </xdr:pic>
    <xdr:clientData/>
  </xdr:twoCellAnchor>
  <xdr:twoCellAnchor>
    <xdr:from>
      <xdr:col>20</xdr:col>
      <xdr:colOff>320844</xdr:colOff>
      <xdr:row>38</xdr:row>
      <xdr:rowOff>132347</xdr:rowOff>
    </xdr:from>
    <xdr:to>
      <xdr:col>27</xdr:col>
      <xdr:colOff>16044</xdr:colOff>
      <xdr:row>70</xdr:row>
      <xdr:rowOff>104274</xdr:rowOff>
    </xdr:to>
    <xdr:graphicFrame macro="">
      <xdr:nvGraphicFramePr>
        <xdr:cNvPr id="8" name="Chart 7">
          <a:extLst>
            <a:ext uri="{FF2B5EF4-FFF2-40B4-BE49-F238E27FC236}">
              <a16:creationId xmlns:a16="http://schemas.microsoft.com/office/drawing/2014/main" id="{514184CD-AB48-52D7-DEB5-0F290A47D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14ACA0-1751-4531-945E-AE7168624D2D}" name="Table2" displayName="Table2" ref="B622:E642" totalsRowShown="0">
  <autoFilter ref="B622:E642" xr:uid="{3F14ACA0-1751-4531-945E-AE7168624D2D}"/>
  <tableColumns count="4">
    <tableColumn id="1" xr3:uid="{381ACB01-24B8-4CBD-B9FA-97009DC39C24}" name="Garment Type"/>
    <tableColumn id="2" xr3:uid="{E996B481-6B7A-46E6-B9B9-55EBA3B5C0CB}" name="Outlines"/>
    <tableColumn id="3" xr3:uid="{BEA3EB20-8013-496C-9661-4F3FABD31610}" name="Pattern"/>
    <tableColumn id="4" xr3:uid="{14472289-C9CF-4321-99B6-CD2C4D472EC8}" name="P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a803409.us.archive.org/17/items/grandeditionofsu00croo/grandeditionofsu00croo.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83"/>
  <sheetViews>
    <sheetView tabSelected="1" zoomScaleNormal="100" workbookViewId="0">
      <selection activeCell="E18" sqref="E18"/>
    </sheetView>
  </sheetViews>
  <sheetFormatPr defaultRowHeight="14.4" x14ac:dyDescent="0.3"/>
  <cols>
    <col min="1" max="1" width="4.6640625" customWidth="1"/>
    <col min="2" max="2" width="21.5546875" customWidth="1"/>
    <col min="3" max="3" width="24.6640625" customWidth="1"/>
    <col min="4" max="4" width="27.6640625" customWidth="1"/>
    <col min="5" max="10" width="20.6640625" customWidth="1"/>
  </cols>
  <sheetData>
    <row r="2" spans="2:4" x14ac:dyDescent="0.3">
      <c r="B2" s="1" t="s">
        <v>0</v>
      </c>
      <c r="D2" s="1"/>
    </row>
    <row r="3" spans="2:4" x14ac:dyDescent="0.3">
      <c r="B3" t="s">
        <v>1</v>
      </c>
    </row>
    <row r="4" spans="2:4" x14ac:dyDescent="0.3">
      <c r="B4" t="s">
        <v>133</v>
      </c>
      <c r="C4" t="s">
        <v>132</v>
      </c>
    </row>
    <row r="5" spans="2:4" x14ac:dyDescent="0.3">
      <c r="B5" t="s">
        <v>134</v>
      </c>
      <c r="C5" t="s">
        <v>135</v>
      </c>
    </row>
    <row r="6" spans="2:4" x14ac:dyDescent="0.3">
      <c r="B6" t="s">
        <v>136</v>
      </c>
      <c r="C6">
        <v>1907</v>
      </c>
    </row>
    <row r="8" spans="2:4" x14ac:dyDescent="0.3">
      <c r="B8" t="s">
        <v>17</v>
      </c>
    </row>
    <row r="9" spans="2:4" x14ac:dyDescent="0.3">
      <c r="B9" s="21" t="s">
        <v>33</v>
      </c>
      <c r="C9" s="21"/>
      <c r="D9" s="21"/>
    </row>
    <row r="10" spans="2:4" x14ac:dyDescent="0.3">
      <c r="B10" s="21"/>
      <c r="C10" s="21"/>
      <c r="D10" s="21"/>
    </row>
    <row r="11" spans="2:4" x14ac:dyDescent="0.3">
      <c r="B11" s="21"/>
      <c r="C11" s="21"/>
      <c r="D11" s="21"/>
    </row>
    <row r="12" spans="2:4" x14ac:dyDescent="0.3">
      <c r="B12" s="21"/>
      <c r="C12" s="21"/>
      <c r="D12" s="21"/>
    </row>
    <row r="13" spans="2:4" x14ac:dyDescent="0.3">
      <c r="B13" s="21"/>
      <c r="C13" s="21"/>
      <c r="D13" s="21"/>
    </row>
    <row r="14" spans="2:4" x14ac:dyDescent="0.3">
      <c r="B14" s="21"/>
      <c r="C14" s="21"/>
      <c r="D14" s="21"/>
    </row>
    <row r="15" spans="2:4" ht="14.4" customHeight="1" x14ac:dyDescent="0.3">
      <c r="B15" s="21"/>
      <c r="C15" s="21"/>
      <c r="D15" s="21"/>
    </row>
    <row r="16" spans="2:4" x14ac:dyDescent="0.3">
      <c r="B16" s="21"/>
      <c r="C16" s="21"/>
      <c r="D16" s="21"/>
    </row>
    <row r="17" spans="2:6" x14ac:dyDescent="0.3">
      <c r="B17" s="21"/>
      <c r="C17" s="21"/>
      <c r="D17" s="21"/>
    </row>
    <row r="18" spans="2:6" x14ac:dyDescent="0.3">
      <c r="B18" s="21"/>
      <c r="C18" s="21"/>
      <c r="D18" s="21"/>
    </row>
    <row r="21" spans="2:6" x14ac:dyDescent="0.3">
      <c r="B21" s="2" t="s">
        <v>7</v>
      </c>
    </row>
    <row r="22" spans="2:6" x14ac:dyDescent="0.3">
      <c r="B22" t="s">
        <v>27</v>
      </c>
    </row>
    <row r="23" spans="2:6" x14ac:dyDescent="0.3">
      <c r="B23" s="8" t="s">
        <v>119</v>
      </c>
      <c r="C23" s="9" t="s">
        <v>151</v>
      </c>
      <c r="E23" t="s">
        <v>152</v>
      </c>
    </row>
    <row r="24" spans="2:6" x14ac:dyDescent="0.3">
      <c r="B24" s="10" t="s">
        <v>8</v>
      </c>
      <c r="C24" s="24">
        <v>45</v>
      </c>
      <c r="E24" t="s">
        <v>153</v>
      </c>
      <c r="F24" s="28">
        <v>25</v>
      </c>
    </row>
    <row r="25" spans="2:6" x14ac:dyDescent="0.3">
      <c r="B25" s="11" t="s">
        <v>9</v>
      </c>
      <c r="C25" s="25">
        <v>23</v>
      </c>
      <c r="E25" t="s">
        <v>154</v>
      </c>
      <c r="F25" s="23">
        <f>ROUNDDOWN(F24/2.54*8,0)/8</f>
        <v>9.75</v>
      </c>
    </row>
    <row r="26" spans="2:6" x14ac:dyDescent="0.3">
      <c r="B26" s="11" t="s">
        <v>10</v>
      </c>
      <c r="C26" s="25">
        <v>38</v>
      </c>
      <c r="E26" t="s">
        <v>155</v>
      </c>
      <c r="F26" s="23">
        <f>ROUNDUP(F24/2.54*8,0)/8</f>
        <v>9.875</v>
      </c>
    </row>
    <row r="27" spans="2:6" x14ac:dyDescent="0.3">
      <c r="B27" s="11" t="s">
        <v>11</v>
      </c>
      <c r="C27" s="25">
        <v>32</v>
      </c>
      <c r="E27" t="s">
        <v>201</v>
      </c>
      <c r="F27" s="23" cm="1">
        <f t="array" ref="F27">ROUNDEIGHTH((F24/2.54))</f>
        <v>9.875</v>
      </c>
    </row>
    <row r="28" spans="2:6" x14ac:dyDescent="0.3">
      <c r="B28" s="11" t="s">
        <v>12</v>
      </c>
      <c r="C28" s="25">
        <v>37</v>
      </c>
    </row>
    <row r="29" spans="2:6" x14ac:dyDescent="0.3">
      <c r="B29" s="11" t="s">
        <v>13</v>
      </c>
      <c r="C29" s="25"/>
      <c r="E29" t="s">
        <v>162</v>
      </c>
      <c r="F29" t="s">
        <v>161</v>
      </c>
    </row>
    <row r="30" spans="2:6" x14ac:dyDescent="0.3">
      <c r="B30" s="11" t="s">
        <v>14</v>
      </c>
      <c r="C30" s="25">
        <v>70</v>
      </c>
      <c r="E30">
        <v>0</v>
      </c>
      <c r="F30">
        <v>0</v>
      </c>
    </row>
    <row r="31" spans="2:6" x14ac:dyDescent="0.3">
      <c r="B31" s="12" t="s">
        <v>15</v>
      </c>
      <c r="C31" s="26">
        <v>43</v>
      </c>
      <c r="E31" s="18" t="s">
        <v>214</v>
      </c>
      <c r="F31">
        <v>6.25E-2</v>
      </c>
    </row>
    <row r="32" spans="2:6" x14ac:dyDescent="0.3">
      <c r="E32" s="18" t="s">
        <v>156</v>
      </c>
      <c r="F32">
        <v>0.125</v>
      </c>
    </row>
    <row r="33" spans="2:6" x14ac:dyDescent="0.3">
      <c r="B33" s="8" t="s">
        <v>121</v>
      </c>
      <c r="C33" s="9" t="s">
        <v>120</v>
      </c>
      <c r="E33" s="18" t="s">
        <v>215</v>
      </c>
      <c r="F33">
        <v>0.1875</v>
      </c>
    </row>
    <row r="34" spans="2:6" x14ac:dyDescent="0.3">
      <c r="B34" s="10" t="s">
        <v>61</v>
      </c>
      <c r="C34" s="25"/>
      <c r="E34" s="18" t="s">
        <v>157</v>
      </c>
      <c r="F34">
        <v>0.25</v>
      </c>
    </row>
    <row r="35" spans="2:6" x14ac:dyDescent="0.3">
      <c r="B35" s="11" t="s">
        <v>39</v>
      </c>
      <c r="C35" s="25"/>
      <c r="E35" s="18" t="s">
        <v>216</v>
      </c>
      <c r="F35">
        <v>0.3125</v>
      </c>
    </row>
    <row r="36" spans="2:6" x14ac:dyDescent="0.3">
      <c r="B36" s="11" t="s">
        <v>40</v>
      </c>
      <c r="C36" s="25"/>
      <c r="E36" s="18" t="s">
        <v>158</v>
      </c>
      <c r="F36">
        <v>0.375</v>
      </c>
    </row>
    <row r="37" spans="2:6" x14ac:dyDescent="0.3">
      <c r="B37" s="11" t="s">
        <v>41</v>
      </c>
      <c r="C37" s="25"/>
      <c r="E37" s="18" t="s">
        <v>217</v>
      </c>
      <c r="F37">
        <v>0.4375</v>
      </c>
    </row>
    <row r="38" spans="2:6" x14ac:dyDescent="0.3">
      <c r="B38" s="11" t="s">
        <v>42</v>
      </c>
      <c r="C38" s="25"/>
      <c r="E38" s="18" t="s">
        <v>159</v>
      </c>
      <c r="F38">
        <v>0.5</v>
      </c>
    </row>
    <row r="39" spans="2:6" x14ac:dyDescent="0.3">
      <c r="B39" s="11" t="s">
        <v>43</v>
      </c>
      <c r="C39" s="25"/>
      <c r="E39" s="18" t="s">
        <v>218</v>
      </c>
      <c r="F39">
        <v>0.5625</v>
      </c>
    </row>
    <row r="40" spans="2:6" x14ac:dyDescent="0.3">
      <c r="B40" s="11" t="s">
        <v>44</v>
      </c>
      <c r="C40" s="25"/>
      <c r="E40" s="18" t="s">
        <v>160</v>
      </c>
      <c r="F40">
        <v>0.625</v>
      </c>
    </row>
    <row r="41" spans="2:6" x14ac:dyDescent="0.3">
      <c r="B41" s="11" t="s">
        <v>45</v>
      </c>
      <c r="C41" s="25"/>
      <c r="E41" s="18" t="s">
        <v>219</v>
      </c>
      <c r="F41">
        <v>0.6875</v>
      </c>
    </row>
    <row r="42" spans="2:6" x14ac:dyDescent="0.3">
      <c r="B42" s="12" t="s">
        <v>46</v>
      </c>
      <c r="C42" s="26"/>
      <c r="E42" s="18" t="s">
        <v>163</v>
      </c>
      <c r="F42">
        <v>0.75</v>
      </c>
    </row>
    <row r="43" spans="2:6" x14ac:dyDescent="0.3">
      <c r="E43" s="18" t="s">
        <v>220</v>
      </c>
      <c r="F43">
        <v>0.8125</v>
      </c>
    </row>
    <row r="44" spans="2:6" x14ac:dyDescent="0.3">
      <c r="B44" s="4" t="s">
        <v>137</v>
      </c>
      <c r="C44" s="24"/>
      <c r="E44" s="18" t="s">
        <v>164</v>
      </c>
      <c r="F44">
        <v>0.875</v>
      </c>
    </row>
    <row r="45" spans="2:6" x14ac:dyDescent="0.3">
      <c r="B45" s="5" t="s">
        <v>28</v>
      </c>
      <c r="C45" s="25"/>
      <c r="D45" t="s">
        <v>30</v>
      </c>
      <c r="E45" s="18" t="s">
        <v>221</v>
      </c>
      <c r="F45">
        <v>0.9375</v>
      </c>
    </row>
    <row r="46" spans="2:6" x14ac:dyDescent="0.3">
      <c r="B46" s="5" t="s">
        <v>29</v>
      </c>
      <c r="C46" s="25"/>
      <c r="D46" t="s">
        <v>31</v>
      </c>
    </row>
    <row r="47" spans="2:6" x14ac:dyDescent="0.3">
      <c r="B47" s="5" t="s">
        <v>34</v>
      </c>
      <c r="C47" s="25"/>
      <c r="D47" t="s">
        <v>32</v>
      </c>
    </row>
    <row r="48" spans="2:6" x14ac:dyDescent="0.3">
      <c r="B48" s="5" t="s">
        <v>35</v>
      </c>
      <c r="C48" s="25"/>
      <c r="D48" t="s">
        <v>37</v>
      </c>
    </row>
    <row r="49" spans="2:4" x14ac:dyDescent="0.3">
      <c r="B49" s="6" t="s">
        <v>36</v>
      </c>
      <c r="C49" s="26"/>
      <c r="D49" t="s">
        <v>38</v>
      </c>
    </row>
    <row r="51" spans="2:4" x14ac:dyDescent="0.3">
      <c r="B51" s="8" t="s">
        <v>101</v>
      </c>
      <c r="C51" s="9" t="s">
        <v>120</v>
      </c>
    </row>
    <row r="52" spans="2:4" x14ac:dyDescent="0.3">
      <c r="B52" s="12" t="s">
        <v>102</v>
      </c>
      <c r="C52" s="27"/>
    </row>
    <row r="54" spans="2:4" x14ac:dyDescent="0.3">
      <c r="B54" t="s">
        <v>73</v>
      </c>
    </row>
    <row r="55" spans="2:4" x14ac:dyDescent="0.3">
      <c r="B55" t="s">
        <v>74</v>
      </c>
    </row>
    <row r="56" spans="2:4" x14ac:dyDescent="0.3">
      <c r="B56" t="s">
        <v>75</v>
      </c>
    </row>
    <row r="58" spans="2:4" x14ac:dyDescent="0.3">
      <c r="B58" t="s">
        <v>62</v>
      </c>
    </row>
    <row r="59" spans="2:4" x14ac:dyDescent="0.3">
      <c r="B59" t="s">
        <v>63</v>
      </c>
    </row>
    <row r="60" spans="2:4" x14ac:dyDescent="0.3">
      <c r="B60" t="s">
        <v>64</v>
      </c>
    </row>
    <row r="61" spans="2:4" x14ac:dyDescent="0.3">
      <c r="B61" t="s">
        <v>72</v>
      </c>
    </row>
    <row r="63" spans="2:4" x14ac:dyDescent="0.3">
      <c r="B63" t="s">
        <v>76</v>
      </c>
    </row>
    <row r="64" spans="2:4" x14ac:dyDescent="0.3">
      <c r="B64" t="s">
        <v>77</v>
      </c>
    </row>
    <row r="65" spans="2:2" x14ac:dyDescent="0.3">
      <c r="B65" t="s">
        <v>78</v>
      </c>
    </row>
    <row r="66" spans="2:2" x14ac:dyDescent="0.3">
      <c r="B66" t="s">
        <v>79</v>
      </c>
    </row>
    <row r="67" spans="2:2" x14ac:dyDescent="0.3">
      <c r="B67" t="s">
        <v>80</v>
      </c>
    </row>
    <row r="82" spans="2:2" x14ac:dyDescent="0.3">
      <c r="B82" t="s">
        <v>166</v>
      </c>
    </row>
    <row r="83" spans="2:2" x14ac:dyDescent="0.3">
      <c r="B83" t="s">
        <v>167</v>
      </c>
    </row>
  </sheetData>
  <mergeCells count="1">
    <mergeCell ref="B9:D18"/>
  </mergeCells>
  <hyperlinks>
    <hyperlink ref="B2" r:id="rId1" xr:uid="{2B785BE4-00EF-42C7-8667-09F73CFA3C49}"/>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B06AD-9F73-49BA-8719-7C69FD6CEEB8}">
  <sheetPr codeName="Sheet1"/>
  <dimension ref="A1:M705"/>
  <sheetViews>
    <sheetView zoomScale="98" zoomScaleNormal="98" workbookViewId="0">
      <pane ySplit="3" topLeftCell="A4" activePane="bottomLeft" state="frozen"/>
      <selection pane="bottomLeft" activeCell="F4" sqref="F4"/>
    </sheetView>
  </sheetViews>
  <sheetFormatPr defaultRowHeight="14.4" x14ac:dyDescent="0.3"/>
  <cols>
    <col min="2" max="2" width="14.6640625" customWidth="1"/>
    <col min="3" max="3" width="14" customWidth="1"/>
    <col min="4" max="4" width="24" customWidth="1"/>
    <col min="7" max="7" width="13.33203125" customWidth="1"/>
    <col min="8" max="8" width="12.88671875" customWidth="1"/>
    <col min="9" max="9" width="18.5546875" customWidth="1"/>
  </cols>
  <sheetData>
    <row r="1" spans="1:10" x14ac:dyDescent="0.3">
      <c r="A1" t="s">
        <v>165</v>
      </c>
    </row>
    <row r="2" spans="1:10" ht="15" thickBot="1" x14ac:dyDescent="0.35">
      <c r="B2" s="14" t="s">
        <v>138</v>
      </c>
      <c r="C2" s="13" t="s">
        <v>139</v>
      </c>
      <c r="D2" s="15" t="s">
        <v>126</v>
      </c>
      <c r="E2" t="s">
        <v>149</v>
      </c>
      <c r="H2" t="s">
        <v>65</v>
      </c>
      <c r="I2" t="s">
        <v>137</v>
      </c>
      <c r="J2" t="s">
        <v>140</v>
      </c>
    </row>
    <row r="3" spans="1:10" x14ac:dyDescent="0.3">
      <c r="B3" s="6" t="s">
        <v>59</v>
      </c>
      <c r="C3" s="16" t="s">
        <v>19</v>
      </c>
      <c r="D3" s="7" t="s">
        <v>144</v>
      </c>
    </row>
    <row r="4" spans="1:10" x14ac:dyDescent="0.3">
      <c r="A4" t="s">
        <v>148</v>
      </c>
      <c r="B4" t="s">
        <v>59</v>
      </c>
      <c r="C4" t="s">
        <v>19</v>
      </c>
      <c r="D4" t="s">
        <v>144</v>
      </c>
      <c r="E4">
        <v>17</v>
      </c>
    </row>
    <row r="621" spans="2:13" ht="15" thickBot="1" x14ac:dyDescent="0.35">
      <c r="H621" t="s">
        <v>142</v>
      </c>
    </row>
    <row r="622" spans="2:13" x14ac:dyDescent="0.3">
      <c r="B622" t="s">
        <v>117</v>
      </c>
      <c r="C622" s="3" t="s">
        <v>20</v>
      </c>
      <c r="D622" t="s">
        <v>126</v>
      </c>
      <c r="E622" t="s">
        <v>150</v>
      </c>
      <c r="H622" t="s">
        <v>117</v>
      </c>
      <c r="I622" t="s">
        <v>20</v>
      </c>
      <c r="J622" t="s">
        <v>143</v>
      </c>
      <c r="L622" t="s">
        <v>147</v>
      </c>
    </row>
    <row r="623" spans="2:13" x14ac:dyDescent="0.3">
      <c r="B623" t="s">
        <v>59</v>
      </c>
      <c r="C623" t="s">
        <v>19</v>
      </c>
      <c r="D623" t="s">
        <v>144</v>
      </c>
      <c r="E623">
        <v>16</v>
      </c>
      <c r="H623" t="str" cm="1">
        <f t="array" ref="H623:H624">_xlfn.UNIQUE(Table2[Garment Type],FALSE)</f>
        <v>Coats</v>
      </c>
      <c r="I623" t="str" cm="1">
        <f t="array" ref="I623:I640">_xlfn._xlws.FILTER(Table2[Outlines],Table2[Garment Type]=B3)</f>
        <v>Sack Coats</v>
      </c>
      <c r="J623" t="str" cm="1">
        <f t="array" ref="J623:J627">_xlfn.UNIQUE(_xlfn.ANCHORARRAY(I623))</f>
        <v>Sack Coats</v>
      </c>
      <c r="K623" t="str" cm="1">
        <f t="array" ref="K623:K628">_xlfn._xlws.FILTER(Table2[Pattern],Table2[Outlines]=C3)</f>
        <v>Proportional Sack Coat Outline</v>
      </c>
      <c r="L623" t="str" cm="1">
        <f t="array" ref="L623:L628">_xlfn.UNIQUE(_xlfn.ANCHORARRAY(K623))</f>
        <v>Proportional Sack Coat Outline</v>
      </c>
      <c r="M623" t="e" cm="1">
        <f t="array" ref="M623">filt</f>
        <v>#NAME?</v>
      </c>
    </row>
    <row r="624" spans="2:13" x14ac:dyDescent="0.3">
      <c r="B624" t="s">
        <v>59</v>
      </c>
      <c r="C624" t="s">
        <v>19</v>
      </c>
      <c r="D624" t="s">
        <v>145</v>
      </c>
      <c r="H624" t="str">
        <v>Vests</v>
      </c>
      <c r="I624" t="str">
        <v>Sack Coats</v>
      </c>
      <c r="J624" t="str">
        <v>Frock Coats</v>
      </c>
      <c r="K624" t="str">
        <v>Corpulent Sack Coat Outline</v>
      </c>
      <c r="L624" t="str">
        <v>Corpulent Sack Coat Outline</v>
      </c>
    </row>
    <row r="625" spans="2:12" x14ac:dyDescent="0.3">
      <c r="B625" t="s">
        <v>59</v>
      </c>
      <c r="C625" t="s">
        <v>19</v>
      </c>
      <c r="D625" t="s">
        <v>146</v>
      </c>
      <c r="I625" t="str">
        <v>Sack Coats</v>
      </c>
      <c r="J625" t="str">
        <v>Sleeves</v>
      </c>
      <c r="K625" t="str">
        <v>Exaggerated Sack Coat Outline</v>
      </c>
      <c r="L625" t="str">
        <v>Exaggerated Sack Coat Outline</v>
      </c>
    </row>
    <row r="626" spans="2:12" x14ac:dyDescent="0.3">
      <c r="B626" t="s">
        <v>59</v>
      </c>
      <c r="C626" t="s">
        <v>19</v>
      </c>
      <c r="D626" t="s">
        <v>16</v>
      </c>
      <c r="I626" t="str">
        <v>Sack Coats</v>
      </c>
      <c r="J626" t="str">
        <v>Overcoats</v>
      </c>
      <c r="K626" t="str">
        <v>Regulation Sack Coat</v>
      </c>
      <c r="L626" t="str">
        <v>Regulation Sack Coat</v>
      </c>
    </row>
    <row r="627" spans="2:12" x14ac:dyDescent="0.3">
      <c r="B627" t="s">
        <v>59</v>
      </c>
      <c r="C627" t="s">
        <v>19</v>
      </c>
      <c r="D627" t="s">
        <v>125</v>
      </c>
      <c r="I627" t="str">
        <v>Sack Coats</v>
      </c>
      <c r="J627" t="str">
        <v>Evening Dress</v>
      </c>
      <c r="K627" t="str">
        <v>Single Breasted Sack Overcoat</v>
      </c>
      <c r="L627" t="str">
        <v>Single Breasted Sack Overcoat</v>
      </c>
    </row>
    <row r="628" spans="2:12" x14ac:dyDescent="0.3">
      <c r="B628" t="s">
        <v>59</v>
      </c>
      <c r="C628" t="s">
        <v>19</v>
      </c>
      <c r="D628" t="s">
        <v>124</v>
      </c>
      <c r="I628" t="str">
        <v>Sack Coats</v>
      </c>
      <c r="K628" t="str">
        <v>Double Breasted Sack Overcoat</v>
      </c>
      <c r="L628" t="str">
        <v>Double Breasted Sack Overcoat</v>
      </c>
    </row>
    <row r="629" spans="2:12" x14ac:dyDescent="0.3">
      <c r="B629" t="s">
        <v>59</v>
      </c>
      <c r="C629" t="s">
        <v>18</v>
      </c>
      <c r="D629" t="s">
        <v>23</v>
      </c>
      <c r="I629" t="str">
        <v>Frock Coats</v>
      </c>
    </row>
    <row r="630" spans="2:12" x14ac:dyDescent="0.3">
      <c r="B630" t="s">
        <v>59</v>
      </c>
      <c r="C630" t="s">
        <v>18</v>
      </c>
      <c r="D630" t="s">
        <v>24</v>
      </c>
      <c r="I630" t="str">
        <v>Frock Coats</v>
      </c>
    </row>
    <row r="631" spans="2:12" x14ac:dyDescent="0.3">
      <c r="B631" t="s">
        <v>59</v>
      </c>
      <c r="C631" t="s">
        <v>51</v>
      </c>
      <c r="D631" t="s">
        <v>51</v>
      </c>
      <c r="I631" t="str">
        <v>Sleeves</v>
      </c>
    </row>
    <row r="632" spans="2:12" x14ac:dyDescent="0.3">
      <c r="B632" t="s">
        <v>59</v>
      </c>
      <c r="C632" t="s">
        <v>53</v>
      </c>
      <c r="D632" t="s">
        <v>127</v>
      </c>
      <c r="I632" t="str">
        <v>Overcoats</v>
      </c>
    </row>
    <row r="633" spans="2:12" x14ac:dyDescent="0.3">
      <c r="B633" t="s">
        <v>59</v>
      </c>
      <c r="C633" t="s">
        <v>53</v>
      </c>
      <c r="D633" t="s">
        <v>128</v>
      </c>
      <c r="I633" t="str">
        <v>Overcoats</v>
      </c>
    </row>
    <row r="634" spans="2:12" x14ac:dyDescent="0.3">
      <c r="B634" t="s">
        <v>59</v>
      </c>
      <c r="C634" t="s">
        <v>53</v>
      </c>
      <c r="D634" t="s">
        <v>130</v>
      </c>
      <c r="I634" t="str">
        <v>Overcoats</v>
      </c>
    </row>
    <row r="635" spans="2:12" x14ac:dyDescent="0.3">
      <c r="B635" t="s">
        <v>59</v>
      </c>
      <c r="C635" t="s">
        <v>53</v>
      </c>
      <c r="D635" t="s">
        <v>129</v>
      </c>
      <c r="I635" t="str">
        <v>Overcoats</v>
      </c>
    </row>
    <row r="636" spans="2:12" x14ac:dyDescent="0.3">
      <c r="B636" t="s">
        <v>59</v>
      </c>
      <c r="C636" t="s">
        <v>53</v>
      </c>
      <c r="D636" t="s">
        <v>54</v>
      </c>
      <c r="I636" t="str">
        <v>Overcoats</v>
      </c>
    </row>
    <row r="637" spans="2:12" x14ac:dyDescent="0.3">
      <c r="B637" t="s">
        <v>59</v>
      </c>
      <c r="C637" t="s">
        <v>55</v>
      </c>
      <c r="D637" t="s">
        <v>56</v>
      </c>
      <c r="I637" t="str">
        <v>Evening Dress</v>
      </c>
    </row>
    <row r="638" spans="2:12" x14ac:dyDescent="0.3">
      <c r="B638" t="s">
        <v>59</v>
      </c>
      <c r="C638" t="s">
        <v>55</v>
      </c>
      <c r="D638" t="s">
        <v>131</v>
      </c>
      <c r="I638" t="str">
        <v>Evening Dress</v>
      </c>
    </row>
    <row r="639" spans="2:12" x14ac:dyDescent="0.3">
      <c r="B639" t="s">
        <v>59</v>
      </c>
      <c r="C639" t="s">
        <v>55</v>
      </c>
      <c r="D639" t="s">
        <v>57</v>
      </c>
      <c r="I639" t="str">
        <v>Evening Dress</v>
      </c>
    </row>
    <row r="640" spans="2:12" x14ac:dyDescent="0.3">
      <c r="B640" t="s">
        <v>59</v>
      </c>
      <c r="C640" t="s">
        <v>55</v>
      </c>
      <c r="D640" t="s">
        <v>58</v>
      </c>
      <c r="I640" t="str">
        <v>Evening Dress</v>
      </c>
    </row>
    <row r="641" spans="2:4" x14ac:dyDescent="0.3">
      <c r="B641" t="s">
        <v>60</v>
      </c>
      <c r="C641" t="s">
        <v>141</v>
      </c>
      <c r="D641" t="s">
        <v>139</v>
      </c>
    </row>
    <row r="642" spans="2:4" x14ac:dyDescent="0.3">
      <c r="B642" t="s">
        <v>60</v>
      </c>
      <c r="C642" t="s">
        <v>66</v>
      </c>
    </row>
    <row r="654" spans="2:4" x14ac:dyDescent="0.3">
      <c r="D654" t="s">
        <v>67</v>
      </c>
    </row>
    <row r="655" spans="2:4" x14ac:dyDescent="0.3">
      <c r="D655" t="s">
        <v>118</v>
      </c>
    </row>
    <row r="661" spans="2:9" x14ac:dyDescent="0.3">
      <c r="D661" t="s">
        <v>67</v>
      </c>
      <c r="I661" t="s">
        <v>21</v>
      </c>
    </row>
    <row r="662" spans="2:9" x14ac:dyDescent="0.3">
      <c r="D662" t="s">
        <v>68</v>
      </c>
      <c r="I662" t="s">
        <v>22</v>
      </c>
    </row>
    <row r="663" spans="2:9" x14ac:dyDescent="0.3">
      <c r="D663" t="s">
        <v>69</v>
      </c>
      <c r="I663" t="s">
        <v>25</v>
      </c>
    </row>
    <row r="664" spans="2:9" x14ac:dyDescent="0.3">
      <c r="D664" t="s">
        <v>70</v>
      </c>
      <c r="I664" t="s">
        <v>26</v>
      </c>
    </row>
    <row r="665" spans="2:9" x14ac:dyDescent="0.3">
      <c r="I665" t="s">
        <v>52</v>
      </c>
    </row>
    <row r="666" spans="2:9" x14ac:dyDescent="0.3">
      <c r="B666" t="s">
        <v>71</v>
      </c>
    </row>
    <row r="667" spans="2:9" x14ac:dyDescent="0.3">
      <c r="C667" t="s">
        <v>81</v>
      </c>
    </row>
    <row r="668" spans="2:9" x14ac:dyDescent="0.3">
      <c r="D668" t="s">
        <v>82</v>
      </c>
    </row>
    <row r="669" spans="2:9" x14ac:dyDescent="0.3">
      <c r="D669" t="s">
        <v>83</v>
      </c>
    </row>
    <row r="670" spans="2:9" x14ac:dyDescent="0.3">
      <c r="D670" t="s">
        <v>84</v>
      </c>
      <c r="E670" t="s">
        <v>93</v>
      </c>
    </row>
    <row r="671" spans="2:9" x14ac:dyDescent="0.3">
      <c r="E671" t="s">
        <v>85</v>
      </c>
    </row>
    <row r="672" spans="2:9" x14ac:dyDescent="0.3">
      <c r="E672" t="s">
        <v>86</v>
      </c>
    </row>
    <row r="673" spans="2:5" x14ac:dyDescent="0.3">
      <c r="E673" t="s">
        <v>87</v>
      </c>
    </row>
    <row r="674" spans="2:5" x14ac:dyDescent="0.3">
      <c r="E674" t="s">
        <v>88</v>
      </c>
    </row>
    <row r="675" spans="2:5" x14ac:dyDescent="0.3">
      <c r="E675" t="s">
        <v>89</v>
      </c>
    </row>
    <row r="676" spans="2:5" x14ac:dyDescent="0.3">
      <c r="E676" t="s">
        <v>90</v>
      </c>
    </row>
    <row r="677" spans="2:5" x14ac:dyDescent="0.3">
      <c r="E677" t="s">
        <v>91</v>
      </c>
    </row>
    <row r="678" spans="2:5" x14ac:dyDescent="0.3">
      <c r="E678" t="s">
        <v>92</v>
      </c>
    </row>
    <row r="679" spans="2:5" x14ac:dyDescent="0.3">
      <c r="D679" t="s">
        <v>94</v>
      </c>
    </row>
    <row r="680" spans="2:5" x14ac:dyDescent="0.3">
      <c r="D680" t="s">
        <v>95</v>
      </c>
    </row>
    <row r="681" spans="2:5" x14ac:dyDescent="0.3">
      <c r="D681" t="s">
        <v>96</v>
      </c>
    </row>
    <row r="682" spans="2:5" x14ac:dyDescent="0.3">
      <c r="D682" t="s">
        <v>97</v>
      </c>
    </row>
    <row r="683" spans="2:5" x14ac:dyDescent="0.3">
      <c r="D683" t="s">
        <v>98</v>
      </c>
    </row>
    <row r="684" spans="2:5" x14ac:dyDescent="0.3">
      <c r="C684" t="s">
        <v>99</v>
      </c>
    </row>
    <row r="685" spans="2:5" x14ac:dyDescent="0.3">
      <c r="C685" t="s">
        <v>100</v>
      </c>
    </row>
    <row r="686" spans="2:5" x14ac:dyDescent="0.3">
      <c r="B686" t="s">
        <v>104</v>
      </c>
    </row>
    <row r="693" spans="3:4" x14ac:dyDescent="0.3">
      <c r="C693" t="s">
        <v>103</v>
      </c>
    </row>
    <row r="694" spans="3:4" x14ac:dyDescent="0.3">
      <c r="D694" t="s">
        <v>106</v>
      </c>
    </row>
    <row r="695" spans="3:4" x14ac:dyDescent="0.3">
      <c r="C695" t="s">
        <v>105</v>
      </c>
    </row>
    <row r="696" spans="3:4" x14ac:dyDescent="0.3">
      <c r="C696" t="s">
        <v>107</v>
      </c>
    </row>
    <row r="697" spans="3:4" x14ac:dyDescent="0.3">
      <c r="C697" t="s">
        <v>108</v>
      </c>
    </row>
    <row r="698" spans="3:4" x14ac:dyDescent="0.3">
      <c r="C698" t="s">
        <v>109</v>
      </c>
    </row>
    <row r="699" spans="3:4" x14ac:dyDescent="0.3">
      <c r="C699" t="s">
        <v>110</v>
      </c>
    </row>
    <row r="700" spans="3:4" x14ac:dyDescent="0.3">
      <c r="C700" t="s">
        <v>111</v>
      </c>
    </row>
    <row r="701" spans="3:4" x14ac:dyDescent="0.3">
      <c r="C701" t="s">
        <v>112</v>
      </c>
    </row>
    <row r="702" spans="3:4" x14ac:dyDescent="0.3">
      <c r="C702" t="s">
        <v>113</v>
      </c>
    </row>
    <row r="703" spans="3:4" x14ac:dyDescent="0.3">
      <c r="C703" t="s">
        <v>114</v>
      </c>
    </row>
    <row r="704" spans="3:4" x14ac:dyDescent="0.3">
      <c r="C704" t="s">
        <v>115</v>
      </c>
    </row>
    <row r="705" spans="3:3" x14ac:dyDescent="0.3">
      <c r="C705" t="s">
        <v>116</v>
      </c>
    </row>
  </sheetData>
  <dataValidations count="3">
    <dataValidation type="list" allowBlank="1" showInputMessage="1" showErrorMessage="1" sqref="B3" xr:uid="{01FA6342-0DFF-4988-B438-79542CCF5F3A}">
      <formula1>_xlfn.ANCHORARRAY($H$623)</formula1>
    </dataValidation>
    <dataValidation type="list" allowBlank="1" showInputMessage="1" showErrorMessage="1" sqref="C3" xr:uid="{5F1E44D2-D830-42D1-BF55-9BC2460F848B}">
      <formula1>_xlfn.ANCHORARRAY($J$623)</formula1>
    </dataValidation>
    <dataValidation type="list" allowBlank="1" showInputMessage="1" showErrorMessage="1" sqref="D3" xr:uid="{57DBD1F5-FAA2-48FA-B499-417EF70480DE}">
      <formula1>_xlfn.ANCHORARRAY($L$623)</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A6B4-1C3B-4C79-BB98-CDE3786229FE}">
  <dimension ref="A1:K19"/>
  <sheetViews>
    <sheetView topLeftCell="D1" zoomScaleNormal="100" workbookViewId="0">
      <selection activeCell="D29" sqref="D29"/>
    </sheetView>
  </sheetViews>
  <sheetFormatPr defaultRowHeight="14.4" x14ac:dyDescent="0.3"/>
  <sheetData>
    <row r="1" spans="1:11" x14ac:dyDescent="0.3">
      <c r="A1" t="s">
        <v>2</v>
      </c>
      <c r="F1" t="s">
        <v>6</v>
      </c>
      <c r="K1" t="s">
        <v>168</v>
      </c>
    </row>
    <row r="2" spans="1:11" x14ac:dyDescent="0.3">
      <c r="A2" t="s">
        <v>5</v>
      </c>
      <c r="B2" t="s">
        <v>3</v>
      </c>
      <c r="C2" t="s">
        <v>4</v>
      </c>
      <c r="F2" t="s">
        <v>122</v>
      </c>
      <c r="K2" t="s">
        <v>169</v>
      </c>
    </row>
    <row r="3" spans="1:11" x14ac:dyDescent="0.3">
      <c r="A3" t="s">
        <v>173</v>
      </c>
      <c r="B3">
        <v>2</v>
      </c>
      <c r="C3">
        <v>1</v>
      </c>
      <c r="F3" t="s">
        <v>123</v>
      </c>
    </row>
    <row r="4" spans="1:11" x14ac:dyDescent="0.3">
      <c r="F4" t="s">
        <v>174</v>
      </c>
    </row>
    <row r="16" spans="1:11" x14ac:dyDescent="0.3">
      <c r="K16" t="s">
        <v>47</v>
      </c>
    </row>
    <row r="17" spans="11:11" x14ac:dyDescent="0.3">
      <c r="K17" t="s">
        <v>49</v>
      </c>
    </row>
    <row r="18" spans="11:11" x14ac:dyDescent="0.3">
      <c r="K18" t="s">
        <v>50</v>
      </c>
    </row>
    <row r="19" spans="11:11" x14ac:dyDescent="0.3">
      <c r="K19"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D73-498E-414D-A33D-744DBB5FBF62}">
  <dimension ref="A2:S69"/>
  <sheetViews>
    <sheetView topLeftCell="A19" zoomScale="95" zoomScaleNormal="95" workbookViewId="0">
      <selection activeCell="G5" sqref="G5"/>
    </sheetView>
  </sheetViews>
  <sheetFormatPr defaultRowHeight="14.4" x14ac:dyDescent="0.3"/>
  <cols>
    <col min="13" max="13" width="15.33203125" bestFit="1" customWidth="1"/>
  </cols>
  <sheetData>
    <row r="2" spans="1:5" x14ac:dyDescent="0.3">
      <c r="A2" s="23" t="str" cm="1">
        <f t="array" ref="A2:B10">Measurements1</f>
        <v>General Measurement</v>
      </c>
      <c r="B2" s="23" t="str">
        <v>Value (in)</v>
      </c>
      <c r="C2" s="23"/>
      <c r="D2" s="23" t="s">
        <v>170</v>
      </c>
      <c r="E2" s="23" t="s">
        <v>120</v>
      </c>
    </row>
    <row r="3" spans="1:5" x14ac:dyDescent="0.3">
      <c r="A3" s="23" t="str">
        <v>Length of Coat</v>
      </c>
      <c r="B3" s="23">
        <v>45</v>
      </c>
      <c r="C3" s="23"/>
      <c r="D3" s="23"/>
      <c r="E3" s="23"/>
    </row>
    <row r="4" spans="1:5" x14ac:dyDescent="0.3">
      <c r="A4" s="23" t="str">
        <v>Width of Back</v>
      </c>
      <c r="B4" s="23">
        <v>23</v>
      </c>
      <c r="C4" s="23"/>
      <c r="D4" s="23"/>
      <c r="E4" s="23"/>
    </row>
    <row r="5" spans="1:5" x14ac:dyDescent="0.3">
      <c r="A5" s="23" t="str">
        <v>Breast</v>
      </c>
      <c r="B5" s="23">
        <v>38</v>
      </c>
      <c r="C5" s="23"/>
      <c r="D5" s="23" t="s">
        <v>171</v>
      </c>
      <c r="E5" s="23">
        <f>B6/2</f>
        <v>16</v>
      </c>
    </row>
    <row r="6" spans="1:5" x14ac:dyDescent="0.3">
      <c r="A6" s="23" t="str">
        <v>Waist</v>
      </c>
      <c r="B6" s="23">
        <v>32</v>
      </c>
      <c r="C6" s="23"/>
      <c r="D6" s="23"/>
      <c r="E6" s="23"/>
    </row>
    <row r="7" spans="1:5" x14ac:dyDescent="0.3">
      <c r="A7" s="23" t="str">
        <v>Seat</v>
      </c>
      <c r="B7" s="23">
        <v>37</v>
      </c>
      <c r="C7" s="23"/>
      <c r="D7" s="23"/>
      <c r="E7" s="23"/>
    </row>
    <row r="8" spans="1:5" x14ac:dyDescent="0.3">
      <c r="A8" s="23" t="str">
        <v>Sleeve Length</v>
      </c>
      <c r="B8" s="23">
        <v>0</v>
      </c>
      <c r="C8" s="23"/>
      <c r="D8" s="23"/>
      <c r="E8" s="23"/>
    </row>
    <row r="9" spans="1:5" x14ac:dyDescent="0.3">
      <c r="A9" s="23" t="str">
        <v>Height</v>
      </c>
      <c r="B9" s="23">
        <v>70</v>
      </c>
      <c r="C9" s="23"/>
      <c r="D9" s="23"/>
      <c r="E9" s="23"/>
    </row>
    <row r="10" spans="1:5" x14ac:dyDescent="0.3">
      <c r="A10" s="23" t="str">
        <v>Weight</v>
      </c>
      <c r="B10" s="23">
        <v>43</v>
      </c>
      <c r="C10" s="23"/>
      <c r="D10" s="23"/>
      <c r="E10" s="23"/>
    </row>
    <row r="12" spans="1:5" x14ac:dyDescent="0.3">
      <c r="B12" t="s">
        <v>228</v>
      </c>
    </row>
    <row r="21" spans="2:19" x14ac:dyDescent="0.3">
      <c r="B21" t="s">
        <v>172</v>
      </c>
    </row>
    <row r="24" spans="2:19" x14ac:dyDescent="0.3">
      <c r="B24" t="s">
        <v>199</v>
      </c>
      <c r="K24" t="s">
        <v>189</v>
      </c>
      <c r="R24" t="s">
        <v>176</v>
      </c>
    </row>
    <row r="25" spans="2:19" x14ac:dyDescent="0.3">
      <c r="B25" t="s">
        <v>200</v>
      </c>
      <c r="K25" t="s">
        <v>190</v>
      </c>
      <c r="L25" t="s">
        <v>191</v>
      </c>
      <c r="M25" t="s">
        <v>192</v>
      </c>
      <c r="N25" t="s">
        <v>193</v>
      </c>
      <c r="O25" t="s">
        <v>194</v>
      </c>
    </row>
    <row r="26" spans="2:19" x14ac:dyDescent="0.3">
      <c r="B26" s="21" t="str">
        <f>_xlfn.CONCAT("From origin point A, square down just more than ",M50,"in. Mark these points along the line, measured from A:" )</f>
        <v>From origin point A, square down just more than 30in. Mark these points along the line, measured from A:</v>
      </c>
      <c r="C26" s="21"/>
      <c r="D26" s="21"/>
      <c r="E26" s="21"/>
      <c r="F26" s="21"/>
      <c r="G26" s="21"/>
      <c r="H26" s="21"/>
      <c r="I26" s="21"/>
      <c r="K26" t="s">
        <v>195</v>
      </c>
      <c r="L26" s="19">
        <v>0</v>
      </c>
      <c r="M26" s="19">
        <v>0</v>
      </c>
      <c r="N26" s="19">
        <v>0</v>
      </c>
      <c r="O26" s="19">
        <f>B9/2 -5</f>
        <v>30</v>
      </c>
      <c r="R26" s="19"/>
      <c r="S26" s="19"/>
    </row>
    <row r="27" spans="2:19" x14ac:dyDescent="0.3">
      <c r="B27" s="21"/>
      <c r="C27" s="21"/>
      <c r="D27" s="21"/>
      <c r="E27" s="21"/>
      <c r="F27" s="21"/>
      <c r="G27" s="21"/>
      <c r="H27" s="21"/>
      <c r="I27" s="21"/>
      <c r="K27" t="s">
        <v>196</v>
      </c>
      <c r="L27" s="19">
        <v>0</v>
      </c>
      <c r="M27" s="19">
        <v>0</v>
      </c>
      <c r="N27" s="19">
        <f>((5*E5/6)+3.5)</f>
        <v>16.833333333333336</v>
      </c>
      <c r="O27" s="19">
        <v>0</v>
      </c>
      <c r="R27" s="19"/>
      <c r="S27" s="19"/>
    </row>
    <row r="28" spans="2:19" x14ac:dyDescent="0.3">
      <c r="B28" t="str" cm="1">
        <f t="array" ref="B28">_xlfn.CONCAT("Point Z at ", ROUNDDOWN(M66,0), " &amp; ",MOD(ROUNDSIXTEENTH(M66),1)*16,"/16 in")</f>
        <v>Point Z at 3 &amp; 5/16 in</v>
      </c>
      <c r="K28" t="s">
        <v>197</v>
      </c>
      <c r="L28" s="19">
        <v>0</v>
      </c>
      <c r="M28" s="19">
        <f>E5/3 +3</f>
        <v>8.3333333333333321</v>
      </c>
      <c r="N28" s="19">
        <f>E5+2.25</f>
        <v>18.25</v>
      </c>
      <c r="O28" s="19">
        <f>E5/3 +3</f>
        <v>8.3333333333333321</v>
      </c>
    </row>
    <row r="29" spans="2:19" x14ac:dyDescent="0.3">
      <c r="B29" t="str">
        <f>_xlfn.CONCAT("Point V at ", ROUNDEIGHTH(M46),"in")</f>
        <v>Point V at 5.375in</v>
      </c>
      <c r="K29" t="s">
        <v>198</v>
      </c>
      <c r="L29" s="19">
        <v>0</v>
      </c>
      <c r="M29" s="19">
        <f>B9/4 +0.5</f>
        <v>18</v>
      </c>
      <c r="N29" s="19">
        <f>E5+2.25</f>
        <v>18.25</v>
      </c>
      <c r="O29" s="19">
        <f>B9/4 +0.5</f>
        <v>18</v>
      </c>
    </row>
    <row r="30" spans="2:19" x14ac:dyDescent="0.3">
      <c r="B30" t="str">
        <f>_xlfn.CONCAT("Point B at ", ROUNDEIGHTH(M47),"in")</f>
        <v>Point B at 8.375in</v>
      </c>
      <c r="K30" t="s">
        <v>202</v>
      </c>
      <c r="L30" s="19">
        <v>0</v>
      </c>
      <c r="M30" s="19">
        <f>M49</f>
        <v>24.333333333333332</v>
      </c>
      <c r="N30" s="19">
        <f>L54</f>
        <v>11.5</v>
      </c>
      <c r="O30" s="19">
        <f>M30</f>
        <v>24.333333333333332</v>
      </c>
    </row>
    <row r="31" spans="2:19" x14ac:dyDescent="0.3">
      <c r="B31" t="str">
        <f>_xlfn.CONCAT("Point C at ", ROUNDEIGHTH(M48),"in")</f>
        <v>Point C at 18in</v>
      </c>
      <c r="K31" t="s">
        <v>206</v>
      </c>
      <c r="L31" s="19">
        <f>L54</f>
        <v>11.5</v>
      </c>
      <c r="M31" s="19">
        <v>0</v>
      </c>
      <c r="N31" s="19">
        <f>L31</f>
        <v>11.5</v>
      </c>
      <c r="O31" s="19">
        <f>O30</f>
        <v>24.333333333333332</v>
      </c>
    </row>
    <row r="32" spans="2:19" x14ac:dyDescent="0.3">
      <c r="B32" t="str">
        <f>_xlfn.CONCAT("Point D at ", ROUNDEIGHTH(M49),"in")</f>
        <v>Point D at 24.375in</v>
      </c>
      <c r="K32" t="s">
        <v>207</v>
      </c>
      <c r="L32" s="19">
        <f>L52</f>
        <v>6.833333333333333</v>
      </c>
      <c r="M32" s="19">
        <v>0</v>
      </c>
      <c r="N32" s="19">
        <f>L32</f>
        <v>6.833333333333333</v>
      </c>
      <c r="O32" s="19">
        <f>O26</f>
        <v>30</v>
      </c>
    </row>
    <row r="33" spans="2:16" x14ac:dyDescent="0.3">
      <c r="B33" t="str">
        <f>_xlfn.CONCAT("Point E at ", ROUNDEIGHTH(M50),"in")</f>
        <v>Point E at 30in</v>
      </c>
    </row>
    <row r="34" spans="2:16" x14ac:dyDescent="0.3">
      <c r="B34" s="21" t="str">
        <f>_xlfn.CONCAT("From origin point A, square across just more than ",ROUNDEIGHTH(L62),"in. Mark these points along the line, measured from A:")</f>
        <v>From origin point A, square across just more than 16.875in. Mark these points along the line, measured from A:</v>
      </c>
      <c r="C34" s="21"/>
      <c r="D34" s="21"/>
      <c r="E34" s="21"/>
      <c r="F34" s="21"/>
      <c r="G34" s="21"/>
      <c r="H34" s="21"/>
      <c r="I34" s="21"/>
    </row>
    <row r="35" spans="2:16" x14ac:dyDescent="0.3">
      <c r="B35" s="21"/>
      <c r="C35" s="21"/>
      <c r="D35" s="21"/>
      <c r="E35" s="21"/>
      <c r="F35" s="21"/>
      <c r="G35" s="21"/>
      <c r="H35" s="21"/>
      <c r="I35" s="21"/>
    </row>
    <row r="36" spans="2:16" x14ac:dyDescent="0.3">
      <c r="B36" t="str">
        <f>_xlfn.CONCAT("Point T at ", ROUNDEIGHTH(L63),"in")</f>
        <v>Point T at 2.625in</v>
      </c>
    </row>
    <row r="37" spans="2:16" x14ac:dyDescent="0.3">
      <c r="B37" t="str">
        <f>_xlfn.CONCAT("Point H1 at ", ROUNDEIGHTH(L52),"in")</f>
        <v>Point H1 at 6.875in</v>
      </c>
    </row>
    <row r="38" spans="2:16" x14ac:dyDescent="0.3">
      <c r="B38" t="str">
        <f>_xlfn.CONCAT("Point G1 at ", ROUNDEIGHTH(L54),"in")</f>
        <v>Point G1 at 11.5in</v>
      </c>
    </row>
    <row r="39" spans="2:16" x14ac:dyDescent="0.3">
      <c r="B39" t="str">
        <f>_xlfn.CONCAT("Point X at ", ROUNDEIGHTH(L61),"in")</f>
        <v>Point X at 14.125in</v>
      </c>
    </row>
    <row r="40" spans="2:16" x14ac:dyDescent="0.3">
      <c r="B40" t="str">
        <f>_xlfn.CONCAT("Point Q at ", ROUNDEIGHTH(L62),"in")</f>
        <v>Point Q at 16.875in</v>
      </c>
    </row>
    <row r="41" spans="2:16" x14ac:dyDescent="0.3">
      <c r="B41" s="22" t="s">
        <v>223</v>
      </c>
      <c r="C41" s="22"/>
      <c r="D41" s="22"/>
      <c r="E41" s="22"/>
      <c r="F41" s="22"/>
      <c r="G41" s="22"/>
      <c r="H41" s="22"/>
      <c r="I41" s="22"/>
      <c r="M41" cm="1">
        <f t="array" ref="M41">ROUNDDOWN(ROUNDSIXTEENTH(45),0)</f>
        <v>45</v>
      </c>
    </row>
    <row r="42" spans="2:16" x14ac:dyDescent="0.3">
      <c r="B42" s="22"/>
      <c r="C42" s="22"/>
      <c r="D42" s="22"/>
      <c r="E42" s="22"/>
      <c r="F42" s="22"/>
      <c r="G42" s="22"/>
      <c r="H42" s="22"/>
      <c r="I42" s="22"/>
    </row>
    <row r="43" spans="2:16" ht="14.4" customHeight="1" x14ac:dyDescent="0.3">
      <c r="B43" t="str">
        <f>_xlfn.CONCAT("Square up from Point T ", (-M64), "in, and mark point R at this point")</f>
        <v>Square up from Point T 0.75in, and mark point R at this point</v>
      </c>
      <c r="K43" t="s">
        <v>185</v>
      </c>
    </row>
    <row r="44" spans="2:16" x14ac:dyDescent="0.3">
      <c r="B44" t="str">
        <f>_xlfn.CONCAT("Square down from Point H1 just more than ", (ROUNDEIGHTH(M50)), "in")</f>
        <v>Square down from Point H1 just more than 30in</v>
      </c>
      <c r="K44" t="s">
        <v>5</v>
      </c>
      <c r="L44" t="s">
        <v>3</v>
      </c>
      <c r="M44" t="s">
        <v>4</v>
      </c>
      <c r="N44" t="s">
        <v>5</v>
      </c>
      <c r="O44" t="s">
        <v>3</v>
      </c>
      <c r="P44" t="s">
        <v>4</v>
      </c>
    </row>
    <row r="45" spans="2:16" x14ac:dyDescent="0.3">
      <c r="B45" t="str">
        <f>_xlfn.CONCAT("Square down from Point G1 just more than ", (ROUNDEIGHTH(M49)), "in")</f>
        <v>Square down from Point G1 just more than 24.375in</v>
      </c>
      <c r="K45" t="s">
        <v>173</v>
      </c>
      <c r="L45" s="19">
        <v>0</v>
      </c>
      <c r="M45" s="19">
        <v>0</v>
      </c>
      <c r="N45" t="s">
        <v>173</v>
      </c>
      <c r="O45" s="19">
        <f>-L45</f>
        <v>0</v>
      </c>
      <c r="P45" s="19">
        <f>-M45</f>
        <v>0</v>
      </c>
    </row>
    <row r="46" spans="2:16" x14ac:dyDescent="0.3">
      <c r="K46" t="s">
        <v>175</v>
      </c>
      <c r="L46" s="19">
        <v>0</v>
      </c>
      <c r="M46" s="19">
        <f>E5/3</f>
        <v>5.333333333333333</v>
      </c>
      <c r="N46" t="s">
        <v>175</v>
      </c>
      <c r="O46" s="19">
        <f t="shared" ref="O46:P68" si="0">-L46</f>
        <v>0</v>
      </c>
      <c r="P46" s="19">
        <f t="shared" si="0"/>
        <v>-5.333333333333333</v>
      </c>
    </row>
    <row r="47" spans="2:16" x14ac:dyDescent="0.3">
      <c r="B47" s="21" t="str">
        <f>_xlfn.CONCAT("From point B, square across just more than ",ROUNDEIGHTH(L59),"in. Mark these points along the line, measured from B:")</f>
        <v>From point B, square across just more than 18.25in. Mark these points along the line, measured from B:</v>
      </c>
      <c r="C47" s="21"/>
      <c r="D47" s="21"/>
      <c r="E47" s="21"/>
      <c r="F47" s="21"/>
      <c r="G47" s="21"/>
      <c r="H47" s="21"/>
      <c r="I47" s="21"/>
      <c r="K47" t="s">
        <v>177</v>
      </c>
      <c r="L47" s="19">
        <v>0</v>
      </c>
      <c r="M47" s="19">
        <f>M46+3</f>
        <v>8.3333333333333321</v>
      </c>
      <c r="N47" t="s">
        <v>177</v>
      </c>
      <c r="O47" s="19">
        <f t="shared" si="0"/>
        <v>0</v>
      </c>
      <c r="P47" s="19">
        <f t="shared" si="0"/>
        <v>-8.3333333333333321</v>
      </c>
    </row>
    <row r="48" spans="2:16" x14ac:dyDescent="0.3">
      <c r="B48" s="21"/>
      <c r="C48" s="21"/>
      <c r="D48" s="21"/>
      <c r="E48" s="21"/>
      <c r="F48" s="21"/>
      <c r="G48" s="21"/>
      <c r="H48" s="21"/>
      <c r="I48" s="21"/>
      <c r="K48" t="s">
        <v>178</v>
      </c>
      <c r="L48" s="19">
        <v>0</v>
      </c>
      <c r="M48" s="19">
        <f>B9/4 +0.5</f>
        <v>18</v>
      </c>
      <c r="N48" t="s">
        <v>178</v>
      </c>
      <c r="O48" s="19">
        <f t="shared" si="0"/>
        <v>0</v>
      </c>
      <c r="P48" s="19">
        <f t="shared" si="0"/>
        <v>-18</v>
      </c>
    </row>
    <row r="49" spans="2:16" x14ac:dyDescent="0.3">
      <c r="B49" t="str">
        <f>_xlfn.CONCAT("At the intersection of lines (", (ROUNDEIGHTH(L52)), "in away from line A), mark the letter H ")</f>
        <v xml:space="preserve">At the intersection of lines (6.875in away from line A), mark the letter H </v>
      </c>
      <c r="K49" t="s">
        <v>179</v>
      </c>
      <c r="L49" s="19">
        <v>0</v>
      </c>
      <c r="M49" s="19">
        <f>B9/3 +1</f>
        <v>24.333333333333332</v>
      </c>
      <c r="N49" t="s">
        <v>179</v>
      </c>
      <c r="O49" s="19">
        <f t="shared" si="0"/>
        <v>0</v>
      </c>
      <c r="P49" s="19">
        <f t="shared" si="0"/>
        <v>-24.333333333333332</v>
      </c>
    </row>
    <row r="50" spans="2:16" x14ac:dyDescent="0.3">
      <c r="B50" t="str">
        <f>_xlfn.CONCAT("At the intersection of lines (", (ROUNDEIGHTH(L54)), "in away from line A), mark the letter G ")</f>
        <v xml:space="preserve">At the intersection of lines (11.5in away from line A), mark the letter G </v>
      </c>
      <c r="K50" t="s">
        <v>180</v>
      </c>
      <c r="L50" s="19">
        <v>0</v>
      </c>
      <c r="M50" s="19">
        <f>B9/2 -5</f>
        <v>30</v>
      </c>
      <c r="N50" t="s">
        <v>180</v>
      </c>
      <c r="O50" s="19">
        <f t="shared" si="0"/>
        <v>0</v>
      </c>
      <c r="P50" s="19">
        <f t="shared" si="0"/>
        <v>-30</v>
      </c>
    </row>
    <row r="51" spans="2:16" x14ac:dyDescent="0.3">
      <c r="B51" t="str">
        <f>_xlfn.CONCAT("At ", (ROUNDEIGHTH(L57)), "in away from line A, mark the letter W")</f>
        <v>At 14.125in away from line A, mark the letter W</v>
      </c>
      <c r="K51" t="s">
        <v>181</v>
      </c>
      <c r="L51" s="19">
        <f>E5/3</f>
        <v>5.333333333333333</v>
      </c>
      <c r="M51" s="19">
        <f>M47</f>
        <v>8.3333333333333321</v>
      </c>
      <c r="N51" t="s">
        <v>181</v>
      </c>
      <c r="O51" s="19">
        <f t="shared" si="0"/>
        <v>-5.333333333333333</v>
      </c>
      <c r="P51" s="19">
        <f t="shared" si="0"/>
        <v>-8.3333333333333321</v>
      </c>
    </row>
    <row r="52" spans="2:16" x14ac:dyDescent="0.3">
      <c r="B52" t="str">
        <f>_xlfn.CONCAT("At ", (ROUNDEIGHTH(L58)), "in away from line A, mark the letter ",K58,". This is the breast measurement.")</f>
        <v>At 16in away from line A, mark the letter N. This is the breast measurement.</v>
      </c>
      <c r="K52" t="s">
        <v>182</v>
      </c>
      <c r="L52" s="19">
        <f>L51+1.5</f>
        <v>6.833333333333333</v>
      </c>
      <c r="M52" s="19">
        <f>M47</f>
        <v>8.3333333333333321</v>
      </c>
      <c r="N52" t="s">
        <v>182</v>
      </c>
      <c r="O52" s="19">
        <f t="shared" si="0"/>
        <v>-6.833333333333333</v>
      </c>
      <c r="P52" s="19">
        <f t="shared" si="0"/>
        <v>-8.3333333333333321</v>
      </c>
    </row>
    <row r="53" spans="2:16" x14ac:dyDescent="0.3">
      <c r="B53" t="str">
        <f>_xlfn.CONCAT("At ", (ROUNDEIGHTH(L59)), "in away from line A, mark the letter ",K59)</f>
        <v>At 18.25in away from line A, mark the letter I</v>
      </c>
      <c r="K53" t="s">
        <v>183</v>
      </c>
      <c r="L53" s="19">
        <f>E5/2</f>
        <v>8</v>
      </c>
      <c r="M53" s="19">
        <f>M47</f>
        <v>8.3333333333333321</v>
      </c>
      <c r="N53" t="s">
        <v>183</v>
      </c>
      <c r="O53" s="19">
        <f t="shared" si="0"/>
        <v>-8</v>
      </c>
      <c r="P53" s="19">
        <f t="shared" si="0"/>
        <v>-8.3333333333333321</v>
      </c>
    </row>
    <row r="54" spans="2:16" x14ac:dyDescent="0.3">
      <c r="K54" t="s">
        <v>184</v>
      </c>
      <c r="L54" s="19">
        <f>L53+3.5</f>
        <v>11.5</v>
      </c>
      <c r="M54" s="19">
        <f>M47</f>
        <v>8.3333333333333321</v>
      </c>
      <c r="N54" t="s">
        <v>184</v>
      </c>
      <c r="O54" s="19">
        <f t="shared" si="0"/>
        <v>-11.5</v>
      </c>
      <c r="P54" s="19">
        <f t="shared" si="0"/>
        <v>-8.3333333333333321</v>
      </c>
    </row>
    <row r="55" spans="2:16" x14ac:dyDescent="0.3">
      <c r="B55" s="21" t="str">
        <f>_xlfn.CONCAT("From point C, square across just more than ",ROUNDEIGHTH(L59),"in. Mark these points along the line, measured from C:")</f>
        <v>From point C, square across just more than 18.25in. Mark these points along the line, measured from C:</v>
      </c>
      <c r="C55" s="21"/>
      <c r="D55" s="21"/>
      <c r="E55" s="21"/>
      <c r="F55" s="21"/>
      <c r="G55" s="21"/>
      <c r="H55" s="21"/>
      <c r="I55" s="21"/>
      <c r="K55" t="s">
        <v>204</v>
      </c>
      <c r="L55" s="19">
        <f>L54</f>
        <v>11.5</v>
      </c>
      <c r="M55" s="19">
        <f>M48</f>
        <v>18</v>
      </c>
      <c r="N55" t="s">
        <v>204</v>
      </c>
      <c r="O55" s="19">
        <f t="shared" si="0"/>
        <v>-11.5</v>
      </c>
      <c r="P55" s="19">
        <f t="shared" si="0"/>
        <v>-18</v>
      </c>
    </row>
    <row r="56" spans="2:16" x14ac:dyDescent="0.3">
      <c r="B56" s="21"/>
      <c r="C56" s="21"/>
      <c r="D56" s="21"/>
      <c r="E56" s="21"/>
      <c r="F56" s="21"/>
      <c r="G56" s="21"/>
      <c r="H56" s="21"/>
      <c r="I56" s="21"/>
      <c r="K56" t="s">
        <v>205</v>
      </c>
      <c r="L56" s="19">
        <f>L54</f>
        <v>11.5</v>
      </c>
      <c r="M56" s="19">
        <f>M49</f>
        <v>24.333333333333332</v>
      </c>
      <c r="N56" t="s">
        <v>205</v>
      </c>
      <c r="O56" s="19">
        <f t="shared" si="0"/>
        <v>-11.5</v>
      </c>
      <c r="P56" s="19">
        <f t="shared" si="0"/>
        <v>-24.333333333333332</v>
      </c>
    </row>
    <row r="57" spans="2:16" x14ac:dyDescent="0.3">
      <c r="B57" t="str">
        <f>_xlfn.CONCAT("At the intersection of lines (", (ROUNDEIGHTH(L54)), "in away from line A), mark the letter L")</f>
        <v>At the intersection of lines (11.5in away from line A), mark the letter L</v>
      </c>
      <c r="K57" t="s">
        <v>186</v>
      </c>
      <c r="L57" s="19">
        <f>L54+(E5/6)</f>
        <v>14.166666666666666</v>
      </c>
      <c r="M57" s="19">
        <f>M47</f>
        <v>8.3333333333333321</v>
      </c>
      <c r="N57" t="s">
        <v>186</v>
      </c>
      <c r="O57" s="19">
        <f t="shared" si="0"/>
        <v>-14.166666666666666</v>
      </c>
      <c r="P57" s="19">
        <f t="shared" si="0"/>
        <v>-8.3333333333333321</v>
      </c>
    </row>
    <row r="58" spans="2:16" x14ac:dyDescent="0.3">
      <c r="B58" t="str">
        <f>_xlfn.CONCAT("At ", (ROUNDEIGHTH(L60)), "in away from line A, mark the letter ",K60)</f>
        <v>At 18.25in away from line A, mark the letter O</v>
      </c>
      <c r="K58" t="s">
        <v>187</v>
      </c>
      <c r="L58" s="19">
        <f>E5</f>
        <v>16</v>
      </c>
      <c r="M58" s="19">
        <f>M47</f>
        <v>8.3333333333333321</v>
      </c>
      <c r="N58" t="s">
        <v>187</v>
      </c>
      <c r="O58" s="19">
        <f t="shared" si="0"/>
        <v>-16</v>
      </c>
      <c r="P58" s="19">
        <f t="shared" si="0"/>
        <v>-8.3333333333333321</v>
      </c>
    </row>
    <row r="59" spans="2:16" x14ac:dyDescent="0.3">
      <c r="K59" t="s">
        <v>188</v>
      </c>
      <c r="L59" s="19">
        <f>L58+2.25</f>
        <v>18.25</v>
      </c>
      <c r="M59" s="19">
        <f>M47</f>
        <v>8.3333333333333321</v>
      </c>
      <c r="N59" t="s">
        <v>188</v>
      </c>
      <c r="O59" s="19">
        <f t="shared" si="0"/>
        <v>-18.25</v>
      </c>
      <c r="P59" s="19">
        <f t="shared" si="0"/>
        <v>-8.3333333333333321</v>
      </c>
    </row>
    <row r="60" spans="2:16" x14ac:dyDescent="0.3">
      <c r="B60" s="21" t="str">
        <f>_xlfn.CONCAT("From point D, square across just more than ",ROUNDEIGHTH(L56),"in. Mark point U at the intersection (",(ROUNDEIGHTH(L54)),"in away from line A).")</f>
        <v>From point D, square across just more than 11.5in. Mark point U at the intersection (11.5in away from line A).</v>
      </c>
      <c r="C60" s="21"/>
      <c r="D60" s="21"/>
      <c r="E60" s="21"/>
      <c r="F60" s="21"/>
      <c r="G60" s="21"/>
      <c r="H60" s="21"/>
      <c r="I60" s="21"/>
      <c r="K60" t="s">
        <v>203</v>
      </c>
      <c r="L60" s="19">
        <f>L59</f>
        <v>18.25</v>
      </c>
      <c r="M60" s="19">
        <f>M48</f>
        <v>18</v>
      </c>
      <c r="N60" t="s">
        <v>203</v>
      </c>
      <c r="O60" s="19">
        <f t="shared" si="0"/>
        <v>-18.25</v>
      </c>
      <c r="P60" s="19">
        <f t="shared" si="0"/>
        <v>-18</v>
      </c>
    </row>
    <row r="61" spans="2:16" x14ac:dyDescent="0.3">
      <c r="B61" s="21"/>
      <c r="C61" s="21"/>
      <c r="D61" s="21"/>
      <c r="E61" s="21"/>
      <c r="F61" s="21"/>
      <c r="G61" s="21"/>
      <c r="H61" s="21"/>
      <c r="I61" s="21"/>
      <c r="K61" t="s">
        <v>208</v>
      </c>
      <c r="L61" s="19">
        <f>L57</f>
        <v>14.166666666666666</v>
      </c>
      <c r="M61" s="19">
        <f>M45</f>
        <v>0</v>
      </c>
      <c r="N61" t="s">
        <v>208</v>
      </c>
      <c r="O61" s="19">
        <f t="shared" si="0"/>
        <v>-14.166666666666666</v>
      </c>
      <c r="P61" s="19">
        <f t="shared" si="0"/>
        <v>0</v>
      </c>
    </row>
    <row r="62" spans="2:16" x14ac:dyDescent="0.3">
      <c r="K62" t="s">
        <v>209</v>
      </c>
      <c r="L62" s="19">
        <f>L61+(E5/6)</f>
        <v>16.833333333333332</v>
      </c>
      <c r="M62" s="19">
        <f>M45</f>
        <v>0</v>
      </c>
      <c r="N62" t="s">
        <v>209</v>
      </c>
      <c r="O62" s="19">
        <f t="shared" si="0"/>
        <v>-16.833333333333332</v>
      </c>
      <c r="P62" s="19">
        <f t="shared" si="0"/>
        <v>0</v>
      </c>
    </row>
    <row r="63" spans="2:16" ht="14.4" customHeight="1" x14ac:dyDescent="0.3">
      <c r="B63" s="21" t="str">
        <f>_xlfn.CONCAT("From point E, square down through O for a total length of around ", ((ROUNDDOWN(M50-M47,0)) + 3),"in down from I (inexact)")</f>
        <v>From point E, square down through O for a total length of around 24in down from I (inexact)</v>
      </c>
      <c r="C63" s="21"/>
      <c r="D63" s="21"/>
      <c r="E63" s="21"/>
      <c r="F63" s="21"/>
      <c r="G63" s="21"/>
      <c r="H63" s="21"/>
      <c r="I63" s="21"/>
      <c r="K63" t="s">
        <v>210</v>
      </c>
      <c r="L63" s="19">
        <f>E5/6</f>
        <v>2.6666666666666665</v>
      </c>
      <c r="M63" s="19">
        <f>M45</f>
        <v>0</v>
      </c>
      <c r="N63" t="s">
        <v>210</v>
      </c>
      <c r="O63" s="19">
        <f t="shared" si="0"/>
        <v>-2.6666666666666665</v>
      </c>
      <c r="P63" s="19">
        <f t="shared" si="0"/>
        <v>0</v>
      </c>
    </row>
    <row r="64" spans="2:16" x14ac:dyDescent="0.3">
      <c r="B64" s="21"/>
      <c r="C64" s="21"/>
      <c r="D64" s="21"/>
      <c r="E64" s="21"/>
      <c r="F64" s="21"/>
      <c r="G64" s="21"/>
      <c r="H64" s="21"/>
      <c r="I64" s="21"/>
      <c r="K64" t="s">
        <v>211</v>
      </c>
      <c r="L64" s="19">
        <f>L63</f>
        <v>2.6666666666666665</v>
      </c>
      <c r="M64" s="19">
        <v>-0.75</v>
      </c>
      <c r="N64" t="s">
        <v>211</v>
      </c>
      <c r="O64" s="19">
        <f t="shared" si="0"/>
        <v>-2.6666666666666665</v>
      </c>
      <c r="P64" s="19">
        <f t="shared" si="0"/>
        <v>0.75</v>
      </c>
    </row>
    <row r="65" spans="2:16" ht="14.4" customHeight="1" x14ac:dyDescent="0.3">
      <c r="K65" t="s">
        <v>212</v>
      </c>
      <c r="L65" s="19">
        <f>L52</f>
        <v>6.833333333333333</v>
      </c>
      <c r="M65" s="20">
        <f>(((L65-L64)/(L57-L64))*(M57-M64))</f>
        <v>3.291062801932366</v>
      </c>
      <c r="N65" t="s">
        <v>212</v>
      </c>
      <c r="O65" s="19">
        <f t="shared" si="0"/>
        <v>-6.833333333333333</v>
      </c>
      <c r="P65" s="19">
        <f t="shared" si="0"/>
        <v>-3.291062801932366</v>
      </c>
    </row>
    <row r="66" spans="2:16" x14ac:dyDescent="0.3">
      <c r="B66" t="s">
        <v>224</v>
      </c>
      <c r="K66" t="s">
        <v>213</v>
      </c>
      <c r="L66" s="19">
        <f>L45</f>
        <v>0</v>
      </c>
      <c r="M66" s="19">
        <f>M65</f>
        <v>3.291062801932366</v>
      </c>
      <c r="N66" t="s">
        <v>213</v>
      </c>
      <c r="O66" s="19">
        <f t="shared" si="0"/>
        <v>0</v>
      </c>
      <c r="P66" s="19">
        <f t="shared" si="0"/>
        <v>-3.291062801932366</v>
      </c>
    </row>
    <row r="67" spans="2:16" x14ac:dyDescent="0.3">
      <c r="B67" t="s">
        <v>225</v>
      </c>
      <c r="K67" t="s">
        <v>227</v>
      </c>
      <c r="L67" s="19">
        <f>L54</f>
        <v>11.5</v>
      </c>
      <c r="M67" s="20">
        <f>((ABS(M66-M61)/ABS(L61-L66))*(M66-M61))</f>
        <v>0.76454783761855882</v>
      </c>
      <c r="N67" t="s">
        <v>227</v>
      </c>
      <c r="O67" s="19">
        <f t="shared" si="0"/>
        <v>-11.5</v>
      </c>
      <c r="P67" s="19">
        <f t="shared" si="0"/>
        <v>-0.76454783761855882</v>
      </c>
    </row>
    <row r="68" spans="2:16" x14ac:dyDescent="0.3">
      <c r="B68" t="str">
        <f>_xlfn.CONCAT("Connect points Q and I, and mark point P at ",ROUNDEIGHTH(E5/6),"in from Q along this line.")</f>
        <v>Connect points Q and I, and mark point P at 2.625in from Q along this line.</v>
      </c>
      <c r="K68" t="s">
        <v>222</v>
      </c>
      <c r="L68" s="19">
        <f>(E5/6)*((L59-L62)/SQRT((M59-M62)^2 + (L59-L62)^2))+L62</f>
        <v>17.280254650490317</v>
      </c>
      <c r="M68" s="19">
        <f>(E5/6)*((M59-M62)/SQRT((M59-M62)^2 + (L61-L62)^2))+M62</f>
        <v>2.5397977258648643</v>
      </c>
      <c r="N68" t="s">
        <v>222</v>
      </c>
      <c r="O68" s="19">
        <f t="shared" si="0"/>
        <v>-17.280254650490317</v>
      </c>
      <c r="P68" s="19">
        <f t="shared" si="0"/>
        <v>-2.5397977258648643</v>
      </c>
    </row>
    <row r="69" spans="2:16" x14ac:dyDescent="0.3">
      <c r="B69" t="s">
        <v>226</v>
      </c>
    </row>
  </sheetData>
  <mergeCells count="7">
    <mergeCell ref="B55:I56"/>
    <mergeCell ref="B60:I61"/>
    <mergeCell ref="B63:I64"/>
    <mergeCell ref="B26:I27"/>
    <mergeCell ref="B34:I35"/>
    <mergeCell ref="B47:I48"/>
    <mergeCell ref="B41:I42"/>
  </mergeCells>
  <pageMargins left="0.7" right="0.7" top="0.75" bottom="0.75" header="0.3" footer="0.3"/>
  <ignoredErrors>
    <ignoredError sqref="L66" formula="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2492-3815-4CB4-AB07-85E2012E1B25}">
  <dimension ref="B2:B5"/>
  <sheetViews>
    <sheetView workbookViewId="0">
      <selection activeCell="B2" sqref="B2"/>
    </sheetView>
  </sheetViews>
  <sheetFormatPr defaultRowHeight="14.4" x14ac:dyDescent="0.3"/>
  <sheetData>
    <row r="2" spans="2:2" x14ac:dyDescent="0.3">
      <c r="B2" t="e" cm="1">
        <f t="array" ref="B2">Lam</f>
        <v>#NAME?</v>
      </c>
    </row>
    <row r="5" spans="2:2" x14ac:dyDescent="0.3">
      <c r="B5" s="1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7AB2E2-694D-44E5-9EEA-28360E3228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Home</vt:lpstr>
      <vt:lpstr>Select Pattern</vt:lpstr>
      <vt:lpstr>Output</vt:lpstr>
      <vt:lpstr>Coat Equations</vt:lpstr>
      <vt:lpstr>Other Logic</vt:lpstr>
      <vt:lpstr>Measurements1</vt:lpstr>
      <vt:lpstr>MeasurementsCoats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 Jones</cp:lastModifiedBy>
  <dcterms:created xsi:type="dcterms:W3CDTF">2015-06-05T18:17:20Z</dcterms:created>
  <dcterms:modified xsi:type="dcterms:W3CDTF">2025-04-07T22:30:59Z</dcterms:modified>
</cp:coreProperties>
</file>