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drawings/drawing1.xml" ContentType="application/vnd.openxmlformats-officedocument.drawing+xml"/>
  <Override PartName="/xl/tables/table4.xml" ContentType="application/vnd.openxmlformats-officedocument.spreadsheetml.table+xml"/>
  <Override PartName="/xl/drawings/drawing2.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ersons/person.xml" ContentType="application/vnd.ms-excel.person+xml"/>
  <Override PartName="/xl/calcChain.xml" ContentType="application/vnd.openxmlformats-officedocument.spreadsheetml.calcChain+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mc:AlternateContent xmlns:mc="http://schemas.openxmlformats.org/markup-compatibility/2006">
    <mc:Choice Requires="x15">
      <x15ac:absPath xmlns:x15ac="http://schemas.microsoft.com/office/spreadsheetml/2010/11/ac" url="https://ricoheuropeplc-my.sharepoint.com/personal/letezz_khan_ricoh_co_za/Documents/Excel VBA/Learn/"/>
    </mc:Choice>
  </mc:AlternateContent>
  <xr:revisionPtr revIDLastSave="2527" documentId="11_F25DC773A252ABDACC10482C69DC793E5BDE58EF" xr6:coauthVersionLast="47" xr6:coauthVersionMax="47" xr10:uidLastSave="{E3E97F2B-A360-4AAC-9CEA-63A41E3346DE}"/>
  <bookViews>
    <workbookView xWindow="-108" yWindow="-108" windowWidth="23256" windowHeight="12456" activeTab="5" xr2:uid="{1FE7B75F-E2D9-4ACD-B951-F8B222A65B5D}"/>
  </bookViews>
  <sheets>
    <sheet name="Budget Planning" sheetId="1" r:id="rId1"/>
    <sheet name="Budget Tracker" sheetId="2" r:id="rId2"/>
    <sheet name="Dashboard" sheetId="3" r:id="rId3"/>
    <sheet name="Calculations" sheetId="4" state="hidden" r:id="rId4"/>
    <sheet name="Dropdown data" sheetId="5" state="hidden" r:id="rId5"/>
    <sheet name="Setting" sheetId="6" r:id="rId6"/>
  </sheets>
  <definedNames>
    <definedName name="budget" localSheetId="2">Dashboard!$L1</definedName>
    <definedName name="budget_range" localSheetId="2">Dashboard!$Q1</definedName>
    <definedName name="budget_rank" localSheetId="2">Dashboard!$R1</definedName>
    <definedName name="cc_budget" localSheetId="3">Calculations!$K1</definedName>
    <definedName name="cc_delta" localSheetId="3">Calculations!$L1</definedName>
    <definedName name="cc_in_focus" localSheetId="3">Calculations!$G1</definedName>
    <definedName name="cc_month_number" localSheetId="3">Calculations!$F1</definedName>
    <definedName name="cc_show_remenaing_budget" localSheetId="3">Calculations!$I1</definedName>
    <definedName name="cc_show_type" localSheetId="3">Calculations!$H1</definedName>
    <definedName name="cc_tracked" localSheetId="3">Calculations!$J1</definedName>
    <definedName name="cc_type" localSheetId="3">Calculations!$E1</definedName>
    <definedName name="comb_rank" localSheetId="2">Dashboard!$S1</definedName>
    <definedName name="comb_rank_norm" localSheetId="2">Dashboard!$U1</definedName>
    <definedName name="comb_rank_norm_run_range" localSheetId="2">Dashboard!$V1</definedName>
    <definedName name="comb_rank_range" localSheetId="2">Dashboard!$T1</definedName>
    <definedName name="comb_rank_unqiue" localSheetId="2">Dashboard!$W1</definedName>
    <definedName name="current_date">TODAY()</definedName>
    <definedName name="expenses_header_row">ROW(Expenses[[#Headers],[Expenses]])</definedName>
    <definedName name="expenses_max_row">MAX(ROW(Expenses[]))</definedName>
    <definedName name="expenses_min_row">MIN(ROW(Expenses[]))</definedName>
    <definedName name="expenses_row_total">ROW('Budget Planning'!$C$33)</definedName>
    <definedName name="header_row_id" localSheetId="2">Dashboard!$D1</definedName>
    <definedName name="income_header_row">ROW(Income[[#Headers],[Income]])</definedName>
    <definedName name="income_max_row">MAX(ROW(Income[]))</definedName>
    <definedName name="income_min_row">MIN(ROW(Income[]))</definedName>
    <definedName name="income_total_row">ROW('Budget Planning'!$C$16)</definedName>
    <definedName name="is_cat" localSheetId="2">Dashboard!$F1</definedName>
    <definedName name="is_empty" localSheetId="2">Dashboard!$H1</definedName>
    <definedName name="is_header" localSheetId="2">Dashboard!$E1</definedName>
    <definedName name="is_total" localSheetId="2">Dashboard!$G1</definedName>
    <definedName name="item" localSheetId="2">Dashboard!$J1</definedName>
    <definedName name="out_budget" localSheetId="2">Dashboard!$AA1</definedName>
    <definedName name="out_percentage_completed" localSheetId="2">Dashboard!$AB1</definedName>
    <definedName name="out_tracked" localSheetId="2">Dashboard!$Z1</definedName>
    <definedName name="row_id" localSheetId="2">Dashboard!$C1</definedName>
    <definedName name="savings_header_row">ROW(Savings[[#Headers],[Savings]])</definedName>
    <definedName name="savings_max_row">MAX(ROW(Savings[]))</definedName>
    <definedName name="savings_min_row">MIN(ROW(Savings[]))</definedName>
    <definedName name="savings_rate_calculation_type">Setting!$E$22</definedName>
    <definedName name="savings_total_row">ROW('Budget Planning'!$C$50)</definedName>
    <definedName name="selected_period">Calculations!$E$20</definedName>
    <definedName name="selected_period_display">Calculations!$E$21</definedName>
    <definedName name="selected_year">Calculations!$E$19</definedName>
    <definedName name="shift_late_income_starting_day">Setting!$E$18</definedName>
    <definedName name="shift_late_income_status">Setting!$E$16</definedName>
    <definedName name="sort_max_row" localSheetId="2">Dashboard!$N1</definedName>
    <definedName name="sort_min_row" localSheetId="2">Dashboard!$M1</definedName>
    <definedName name="starting_year">Setting!$E$7</definedName>
    <definedName name="tracked" localSheetId="2">Dashboard!$K1</definedName>
    <definedName name="tracked_range" localSheetId="2">Dashboard!$O1</definedName>
    <definedName name="tracked_rank" localSheetId="2">Dashboard!$P1</definedName>
    <definedName name="type" localSheetId="2">Dashboard!$I1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59" i="4" l="1"/>
  <c r="I60" i="4"/>
  <c r="I61" i="4"/>
  <c r="I63" i="4"/>
  <c r="I64" i="4"/>
  <c r="I65" i="4"/>
  <c r="I67" i="4"/>
  <c r="I68" i="4"/>
  <c r="I69" i="4"/>
  <c r="I71" i="4"/>
  <c r="I72" i="4"/>
  <c r="I73" i="4"/>
  <c r="I75" i="4"/>
  <c r="I76" i="4"/>
  <c r="I77" i="4"/>
  <c r="I79" i="4"/>
  <c r="I80" i="4"/>
  <c r="I81" i="4"/>
  <c r="I83" i="4"/>
  <c r="I84" i="4"/>
  <c r="I85" i="4"/>
  <c r="I87" i="4"/>
  <c r="I88" i="4"/>
  <c r="I89" i="4"/>
  <c r="I91" i="4"/>
  <c r="I92" i="4"/>
  <c r="I93" i="4"/>
  <c r="I95" i="4"/>
  <c r="I96" i="4"/>
  <c r="I97" i="4"/>
  <c r="I99" i="4"/>
  <c r="I100" i="4"/>
  <c r="I101" i="4"/>
  <c r="I57" i="4"/>
  <c r="I56" i="4"/>
  <c r="I55" i="4"/>
  <c r="H59" i="4"/>
  <c r="H60" i="4"/>
  <c r="H61" i="4"/>
  <c r="H63" i="4"/>
  <c r="H64" i="4"/>
  <c r="H65" i="4"/>
  <c r="H67" i="4"/>
  <c r="H68" i="4"/>
  <c r="H69" i="4"/>
  <c r="H71" i="4"/>
  <c r="H72" i="4"/>
  <c r="H73" i="4"/>
  <c r="H75" i="4"/>
  <c r="H76" i="4"/>
  <c r="H77" i="4"/>
  <c r="H79" i="4"/>
  <c r="H80" i="4"/>
  <c r="H81" i="4"/>
  <c r="H83" i="4"/>
  <c r="H84" i="4"/>
  <c r="H85" i="4"/>
  <c r="H87" i="4"/>
  <c r="H88" i="4"/>
  <c r="H89" i="4"/>
  <c r="H91" i="4"/>
  <c r="H92" i="4"/>
  <c r="H93" i="4"/>
  <c r="H95" i="4"/>
  <c r="H96" i="4"/>
  <c r="H97" i="4"/>
  <c r="H99" i="4"/>
  <c r="H100" i="4"/>
  <c r="H101" i="4"/>
  <c r="H55" i="4"/>
  <c r="H56" i="4"/>
  <c r="H57" i="4"/>
  <c r="F38" i="4" a="1"/>
  <c r="F38" i="4" s="1"/>
  <c r="E38" i="4" s="1" a="1"/>
  <c r="E38" i="4" s="1"/>
  <c r="F39" i="4" a="1"/>
  <c r="F39" i="4" s="1"/>
  <c r="E39" i="4" s="1" a="1"/>
  <c r="E39" i="4" s="1"/>
  <c r="AP35" i="3"/>
  <c r="AI35" i="3"/>
  <c r="AI22" i="3"/>
  <c r="H70" i="2" a="1"/>
  <c r="H70" i="2" s="1"/>
  <c r="I70" i="2" a="1"/>
  <c r="I70" i="2" s="1"/>
  <c r="H69" i="2" a="1"/>
  <c r="H69" i="2" s="1"/>
  <c r="I69" i="2" a="1"/>
  <c r="I69" i="2" s="1"/>
  <c r="H68" i="2" a="1"/>
  <c r="H68" i="2" s="1"/>
  <c r="I68" i="2" a="1"/>
  <c r="I68" i="2" s="1"/>
  <c r="H67" i="2" a="1"/>
  <c r="H67" i="2" s="1"/>
  <c r="I67" i="2" a="1"/>
  <c r="I67" i="2" s="1"/>
  <c r="H66" i="2" a="1"/>
  <c r="H66" i="2" s="1"/>
  <c r="I66" i="2" a="1"/>
  <c r="I66" i="2" s="1"/>
  <c r="H65" i="2" a="1"/>
  <c r="H65" i="2" s="1"/>
  <c r="I65" i="2" a="1"/>
  <c r="I65" i="2" s="1"/>
  <c r="H64" i="2" a="1"/>
  <c r="H64" i="2" s="1"/>
  <c r="I64" i="2" a="1"/>
  <c r="I64" i="2" s="1"/>
  <c r="H63" i="2" a="1"/>
  <c r="H63" i="2" s="1"/>
  <c r="I63" i="2" a="1"/>
  <c r="I63" i="2" s="1"/>
  <c r="H62" i="2" a="1"/>
  <c r="H62" i="2" s="1"/>
  <c r="I62" i="2" a="1"/>
  <c r="I62" i="2" s="1"/>
  <c r="H61" i="2" a="1"/>
  <c r="H61" i="2" s="1"/>
  <c r="I61" i="2" a="1"/>
  <c r="I61" i="2" s="1"/>
  <c r="H12" i="2" a="1"/>
  <c r="H12" i="2" s="1"/>
  <c r="I12" i="2" a="1"/>
  <c r="I12" i="2" s="1"/>
  <c r="H60" i="2" a="1"/>
  <c r="H60" i="2" s="1"/>
  <c r="I60" i="2" a="1"/>
  <c r="I60" i="2" s="1"/>
  <c r="H55" i="2" a="1"/>
  <c r="H55" i="2" s="1"/>
  <c r="I55" i="2" a="1"/>
  <c r="I55" i="2" s="1"/>
  <c r="H59" i="2" a="1"/>
  <c r="H59" i="2" s="1"/>
  <c r="I59" i="2" a="1"/>
  <c r="I59" i="2" s="1"/>
  <c r="H58" i="2" a="1"/>
  <c r="H58" i="2" s="1"/>
  <c r="I58" i="2" a="1"/>
  <c r="I58" i="2" s="1"/>
  <c r="H57" i="2" a="1"/>
  <c r="H57" i="2" s="1"/>
  <c r="I57" i="2" a="1"/>
  <c r="I57" i="2" s="1"/>
  <c r="H56" i="2" a="1"/>
  <c r="H56" i="2" s="1"/>
  <c r="I56" i="2" a="1"/>
  <c r="I56" i="2" s="1"/>
  <c r="H54" i="2" a="1"/>
  <c r="H54" i="2" s="1"/>
  <c r="I54" i="2" a="1"/>
  <c r="I54" i="2" s="1"/>
  <c r="H53" i="2" a="1"/>
  <c r="H53" i="2" s="1"/>
  <c r="I53" i="2" a="1"/>
  <c r="I53" i="2" s="1"/>
  <c r="H52" i="2" a="1"/>
  <c r="H52" i="2" s="1"/>
  <c r="I52" i="2" a="1"/>
  <c r="I52" i="2" s="1"/>
  <c r="H51" i="2" a="1"/>
  <c r="H51" i="2" s="1"/>
  <c r="I51" i="2" a="1"/>
  <c r="I51" i="2" s="1"/>
  <c r="H50" i="2" a="1"/>
  <c r="H50" i="2" s="1"/>
  <c r="I50" i="2" a="1"/>
  <c r="I50" i="2" s="1"/>
  <c r="H49" i="2" a="1"/>
  <c r="H49" i="2" s="1"/>
  <c r="I49" i="2" a="1"/>
  <c r="I49" i="2" s="1"/>
  <c r="H48" i="2" a="1"/>
  <c r="H48" i="2" s="1"/>
  <c r="I48" i="2" a="1"/>
  <c r="I48" i="2" s="1"/>
  <c r="H47" i="2" a="1"/>
  <c r="H47" i="2" s="1"/>
  <c r="I47" i="2" a="1"/>
  <c r="I47" i="2" s="1"/>
  <c r="H46" i="2" a="1"/>
  <c r="H46" i="2" s="1"/>
  <c r="I46" i="2" a="1"/>
  <c r="I46" i="2" s="1"/>
  <c r="H45" i="2" a="1"/>
  <c r="H45" i="2" s="1"/>
  <c r="I45" i="2" a="1"/>
  <c r="I45" i="2" s="1"/>
  <c r="H44" i="2" a="1"/>
  <c r="H44" i="2" s="1"/>
  <c r="I44" i="2" a="1"/>
  <c r="I44" i="2" s="1"/>
  <c r="H43" i="2" a="1"/>
  <c r="H43" i="2" s="1"/>
  <c r="I43" i="2" a="1"/>
  <c r="I43" i="2" s="1"/>
  <c r="H38" i="2" a="1"/>
  <c r="H38" i="2" s="1"/>
  <c r="I38" i="2" a="1"/>
  <c r="I38" i="2" s="1"/>
  <c r="H37" i="2" a="1"/>
  <c r="H37" i="2" s="1"/>
  <c r="I37" i="2" a="1"/>
  <c r="I37" i="2" s="1"/>
  <c r="H36" i="2" a="1"/>
  <c r="H36" i="2" s="1"/>
  <c r="I36" i="2" a="1"/>
  <c r="I36" i="2" s="1"/>
  <c r="H35" i="2" a="1"/>
  <c r="H35" i="2" s="1"/>
  <c r="I35" i="2" a="1"/>
  <c r="I35" i="2" s="1"/>
  <c r="H34" i="2" a="1"/>
  <c r="H34" i="2" s="1"/>
  <c r="I34" i="2" a="1"/>
  <c r="I34" i="2" s="1"/>
  <c r="H33" i="2" a="1"/>
  <c r="H33" i="2" s="1"/>
  <c r="I33" i="2" a="1"/>
  <c r="I33" i="2" s="1"/>
  <c r="H32" i="2" a="1"/>
  <c r="H32" i="2" s="1"/>
  <c r="I32" i="2" a="1"/>
  <c r="I32" i="2" s="1"/>
  <c r="H30" i="2" a="1"/>
  <c r="H30" i="2" s="1"/>
  <c r="I30" i="2" a="1"/>
  <c r="I30" i="2" s="1"/>
  <c r="H29" i="2" a="1"/>
  <c r="H29" i="2" s="1"/>
  <c r="I29" i="2" a="1"/>
  <c r="I29" i="2" s="1"/>
  <c r="H28" i="2" a="1"/>
  <c r="H28" i="2" s="1"/>
  <c r="I28" i="2" a="1"/>
  <c r="I28" i="2" s="1"/>
  <c r="H27" i="2" a="1"/>
  <c r="H27" i="2" s="1"/>
  <c r="I27" i="2" a="1"/>
  <c r="I27" i="2" s="1"/>
  <c r="H26" i="2" a="1"/>
  <c r="H26" i="2" s="1"/>
  <c r="I26" i="2" a="1"/>
  <c r="I26" i="2" s="1"/>
  <c r="H25" i="2" a="1"/>
  <c r="H25" i="2" s="1"/>
  <c r="I25" i="2" a="1"/>
  <c r="I25" i="2" s="1"/>
  <c r="H24" i="2" a="1"/>
  <c r="H24" i="2" s="1"/>
  <c r="I24" i="2" a="1"/>
  <c r="I24" i="2" s="1"/>
  <c r="H23" i="2" a="1"/>
  <c r="H23" i="2" s="1"/>
  <c r="I23" i="2" a="1"/>
  <c r="I23" i="2" s="1"/>
  <c r="H22" i="2" a="1"/>
  <c r="H22" i="2" s="1"/>
  <c r="I22" i="2" a="1"/>
  <c r="I22" i="2" s="1"/>
  <c r="H21" i="2" a="1"/>
  <c r="H21" i="2" s="1"/>
  <c r="I21" i="2" a="1"/>
  <c r="I21" i="2" s="1"/>
  <c r="H20" i="2" a="1"/>
  <c r="H20" i="2" s="1"/>
  <c r="I20" i="2" a="1"/>
  <c r="I20" i="2" s="1"/>
  <c r="H19" i="2" a="1"/>
  <c r="H19" i="2" s="1"/>
  <c r="I19" i="2" a="1"/>
  <c r="I19" i="2" s="1"/>
  <c r="H18" i="2" a="1"/>
  <c r="H18" i="2" s="1"/>
  <c r="I18" i="2" a="1"/>
  <c r="I18" i="2" s="1"/>
  <c r="H17" i="2" a="1"/>
  <c r="H17" i="2" s="1"/>
  <c r="I17" i="2" a="1"/>
  <c r="I17" i="2" s="1"/>
  <c r="H16" i="2" a="1"/>
  <c r="H16" i="2" s="1"/>
  <c r="I16" i="2" a="1"/>
  <c r="I16" i="2" s="1"/>
  <c r="H42" i="2" a="1"/>
  <c r="H42" i="2" s="1"/>
  <c r="I42" i="2" a="1"/>
  <c r="I42" i="2" s="1"/>
  <c r="H41" i="2" a="1"/>
  <c r="H41" i="2" s="1"/>
  <c r="I41" i="2" a="1"/>
  <c r="I41" i="2" s="1"/>
  <c r="H40" i="2" a="1"/>
  <c r="H40" i="2" s="1"/>
  <c r="I40" i="2" a="1"/>
  <c r="I40" i="2" s="1"/>
  <c r="H39" i="2" a="1"/>
  <c r="H39" i="2" s="1"/>
  <c r="I39" i="2" a="1"/>
  <c r="I39" i="2" s="1"/>
  <c r="C13" i="3" a="1"/>
  <c r="C13" i="3" s="1"/>
  <c r="C14" i="3" s="1" a="1"/>
  <c r="C14" i="3" s="1"/>
  <c r="C15" i="3" s="1" a="1"/>
  <c r="C15" i="3" s="1"/>
  <c r="C16" i="3" s="1" a="1"/>
  <c r="C16" i="3" s="1"/>
  <c r="C17" i="3" s="1" a="1"/>
  <c r="C17" i="3" s="1"/>
  <c r="C18" i="3" s="1" a="1"/>
  <c r="C18" i="3" s="1"/>
  <c r="C19" i="3" s="1" a="1"/>
  <c r="C19" i="3" s="1"/>
  <c r="C20" i="3" s="1" a="1"/>
  <c r="C20" i="3" s="1"/>
  <c r="C21" i="3" s="1" a="1"/>
  <c r="C21" i="3" s="1"/>
  <c r="C22" i="3" s="1" a="1"/>
  <c r="C22" i="3" s="1"/>
  <c r="C23" i="3" s="1" a="1"/>
  <c r="C23" i="3" s="1"/>
  <c r="C24" i="3" s="1" a="1"/>
  <c r="C24" i="3" s="1"/>
  <c r="C25" i="3" s="1" a="1"/>
  <c r="C25" i="3" s="1"/>
  <c r="C26" i="3" s="1" a="1"/>
  <c r="C26" i="3" s="1"/>
  <c r="C27" i="3" s="1" a="1"/>
  <c r="C27" i="3" s="1"/>
  <c r="C28" i="3" s="1" a="1"/>
  <c r="C28" i="3" s="1"/>
  <c r="C29" i="3" s="1" a="1"/>
  <c r="C29" i="3" s="1"/>
  <c r="C30" i="3" s="1" a="1"/>
  <c r="C30" i="3" s="1"/>
  <c r="C31" i="3" s="1" a="1"/>
  <c r="C31" i="3" s="1"/>
  <c r="C32" i="3" s="1" a="1"/>
  <c r="C32" i="3" s="1"/>
  <c r="C33" i="3" s="1" a="1"/>
  <c r="C33" i="3" s="1"/>
  <c r="C34" i="3" s="1" a="1"/>
  <c r="C34" i="3" s="1"/>
  <c r="C35" i="3" s="1" a="1"/>
  <c r="C35" i="3" s="1"/>
  <c r="C36" i="3" s="1" a="1"/>
  <c r="C36" i="3" s="1"/>
  <c r="C37" i="3" s="1" a="1"/>
  <c r="C37" i="3" s="1"/>
  <c r="C38" i="3" s="1" a="1"/>
  <c r="C38" i="3" s="1"/>
  <c r="C39" i="3" s="1" a="1"/>
  <c r="C39" i="3" s="1"/>
  <c r="C40" i="3" s="1" a="1"/>
  <c r="C40" i="3" s="1"/>
  <c r="C41" i="3" s="1" a="1"/>
  <c r="C41" i="3" s="1"/>
  <c r="C42" i="3" s="1" a="1"/>
  <c r="C42" i="3" s="1"/>
  <c r="C43" i="3" s="1" a="1"/>
  <c r="C43" i="3" s="1"/>
  <c r="C44" i="3" s="1" a="1"/>
  <c r="C44" i="3" s="1"/>
  <c r="C45" i="3" s="1" a="1"/>
  <c r="C45" i="3" s="1"/>
  <c r="C46" i="3" s="1" a="1"/>
  <c r="C46" i="3" s="1"/>
  <c r="C47" i="3" s="1" a="1"/>
  <c r="C47" i="3" s="1"/>
  <c r="C48" i="3" s="1" a="1"/>
  <c r="C48" i="3" s="1"/>
  <c r="C49" i="3" s="1" a="1"/>
  <c r="C49" i="3" s="1"/>
  <c r="C50" i="3" s="1" a="1"/>
  <c r="C50" i="3" s="1"/>
  <c r="E20" i="4"/>
  <c r="E19" i="4" a="1"/>
  <c r="E19" i="4" s="1"/>
  <c r="D95" i="4" s="1"/>
  <c r="F97" i="4" s="1"/>
  <c r="J97" i="4" s="1" a="1"/>
  <c r="J97" i="4" s="1"/>
  <c r="C10" i="5"/>
  <c r="C11" i="5" s="1"/>
  <c r="C12" i="5" s="1"/>
  <c r="C13" i="5" s="1"/>
  <c r="C14" i="5" s="1"/>
  <c r="C15" i="5" s="1"/>
  <c r="C16" i="5" s="1"/>
  <c r="C17" i="5" s="1"/>
  <c r="C18" i="5" s="1"/>
  <c r="C9" i="5"/>
  <c r="E12" i="4" a="1"/>
  <c r="E12" i="4" s="1"/>
  <c r="E11" i="4"/>
  <c r="E9" i="4"/>
  <c r="E8" i="4" a="1"/>
  <c r="E8" i="4" s="1"/>
  <c r="I31" i="2" a="1"/>
  <c r="I31" i="2" s="1"/>
  <c r="I13" i="2" a="1"/>
  <c r="I13" i="2" s="1"/>
  <c r="I14" i="2" a="1"/>
  <c r="I14" i="2" s="1"/>
  <c r="I15" i="2" a="1"/>
  <c r="I15" i="2" s="1"/>
  <c r="H31" i="2" a="1"/>
  <c r="H31" i="2" s="1"/>
  <c r="H13" i="2" a="1"/>
  <c r="H13" i="2" s="1"/>
  <c r="H14" i="2" a="1"/>
  <c r="H14" i="2" s="1"/>
  <c r="H15" i="2" a="1"/>
  <c r="H15" i="2" s="1"/>
  <c r="Q42" i="1"/>
  <c r="Q43" i="1"/>
  <c r="Q44" i="1"/>
  <c r="Q45" i="1"/>
  <c r="Q46" i="1"/>
  <c r="Q47" i="1"/>
  <c r="Q28" i="1"/>
  <c r="Q29" i="1"/>
  <c r="Q30" i="1"/>
  <c r="Q31" i="1"/>
  <c r="EM49" i="1"/>
  <c r="EM48" i="1"/>
  <c r="EM47" i="1"/>
  <c r="EM41" i="1"/>
  <c r="EM40" i="1"/>
  <c r="EM32" i="1"/>
  <c r="EM27" i="1"/>
  <c r="EM26" i="1"/>
  <c r="EM25" i="1"/>
  <c r="EM24" i="1"/>
  <c r="EM23" i="1"/>
  <c r="EM15" i="1"/>
  <c r="EM14" i="1"/>
  <c r="EM13" i="1"/>
  <c r="EM12" i="1"/>
  <c r="EM11" i="1"/>
  <c r="EM10" i="1"/>
  <c r="DY49" i="1"/>
  <c r="DY48" i="1"/>
  <c r="DY47" i="1"/>
  <c r="DY41" i="1"/>
  <c r="DY40" i="1"/>
  <c r="DY32" i="1"/>
  <c r="DY27" i="1"/>
  <c r="DY26" i="1"/>
  <c r="DY25" i="1"/>
  <c r="DY24" i="1"/>
  <c r="DY23" i="1"/>
  <c r="DY15" i="1"/>
  <c r="DY14" i="1"/>
  <c r="DY13" i="1"/>
  <c r="DY12" i="1"/>
  <c r="DY11" i="1"/>
  <c r="DY10" i="1"/>
  <c r="DK49" i="1"/>
  <c r="DK48" i="1"/>
  <c r="DK47" i="1"/>
  <c r="DK41" i="1"/>
  <c r="DK40" i="1"/>
  <c r="DK32" i="1"/>
  <c r="DK27" i="1"/>
  <c r="DK26" i="1"/>
  <c r="DK25" i="1"/>
  <c r="DK24" i="1"/>
  <c r="DK23" i="1"/>
  <c r="DK15" i="1"/>
  <c r="DK14" i="1"/>
  <c r="DK13" i="1"/>
  <c r="DK12" i="1"/>
  <c r="DK11" i="1"/>
  <c r="DK10" i="1"/>
  <c r="CW49" i="1"/>
  <c r="CW48" i="1"/>
  <c r="CW47" i="1"/>
  <c r="CW41" i="1"/>
  <c r="CW40" i="1"/>
  <c r="CW32" i="1"/>
  <c r="CW27" i="1"/>
  <c r="CW26" i="1"/>
  <c r="CW25" i="1"/>
  <c r="CW24" i="1"/>
  <c r="CW23" i="1"/>
  <c r="CW15" i="1"/>
  <c r="CW14" i="1"/>
  <c r="CW13" i="1"/>
  <c r="CW12" i="1"/>
  <c r="CW11" i="1"/>
  <c r="CW10" i="1"/>
  <c r="CI49" i="1"/>
  <c r="CI48" i="1"/>
  <c r="CI47" i="1"/>
  <c r="CI41" i="1"/>
  <c r="CI40" i="1"/>
  <c r="CI32" i="1"/>
  <c r="CI27" i="1"/>
  <c r="CI26" i="1"/>
  <c r="CI25" i="1"/>
  <c r="CI24" i="1"/>
  <c r="CI23" i="1"/>
  <c r="CI15" i="1"/>
  <c r="CI14" i="1"/>
  <c r="CI13" i="1"/>
  <c r="CI12" i="1"/>
  <c r="CI11" i="1"/>
  <c r="CI10" i="1"/>
  <c r="BU49" i="1"/>
  <c r="BU48" i="1"/>
  <c r="BU47" i="1"/>
  <c r="BU41" i="1"/>
  <c r="BU40" i="1"/>
  <c r="BU32" i="1"/>
  <c r="BU27" i="1"/>
  <c r="BU26" i="1"/>
  <c r="BU25" i="1"/>
  <c r="BU24" i="1"/>
  <c r="BU23" i="1"/>
  <c r="BU15" i="1"/>
  <c r="BU14" i="1"/>
  <c r="BU13" i="1"/>
  <c r="BU12" i="1"/>
  <c r="BU11" i="1"/>
  <c r="BU10" i="1"/>
  <c r="BG49" i="1"/>
  <c r="BG48" i="1"/>
  <c r="BG47" i="1"/>
  <c r="BG41" i="1"/>
  <c r="BG40" i="1"/>
  <c r="BG32" i="1"/>
  <c r="BG27" i="1"/>
  <c r="BG26" i="1"/>
  <c r="BG25" i="1"/>
  <c r="BG24" i="1"/>
  <c r="BG23" i="1"/>
  <c r="BG15" i="1"/>
  <c r="BG14" i="1"/>
  <c r="BG13" i="1"/>
  <c r="BG12" i="1"/>
  <c r="BG11" i="1"/>
  <c r="BG10" i="1"/>
  <c r="AS49" i="1"/>
  <c r="AS48" i="1"/>
  <c r="AS47" i="1"/>
  <c r="AS41" i="1"/>
  <c r="AS40" i="1"/>
  <c r="AS32" i="1"/>
  <c r="AS27" i="1"/>
  <c r="AS26" i="1"/>
  <c r="AS25" i="1"/>
  <c r="AS24" i="1"/>
  <c r="AS23" i="1"/>
  <c r="AS15" i="1"/>
  <c r="AS14" i="1"/>
  <c r="AS13" i="1"/>
  <c r="AS12" i="1"/>
  <c r="AS11" i="1"/>
  <c r="AS10" i="1"/>
  <c r="AE49" i="1"/>
  <c r="AE48" i="1"/>
  <c r="AE47" i="1"/>
  <c r="AE41" i="1"/>
  <c r="AE40" i="1"/>
  <c r="AE32" i="1"/>
  <c r="AE27" i="1"/>
  <c r="AE26" i="1"/>
  <c r="AE25" i="1"/>
  <c r="AE24" i="1"/>
  <c r="AE23" i="1"/>
  <c r="AE15" i="1"/>
  <c r="AE14" i="1"/>
  <c r="AE13" i="1"/>
  <c r="AE12" i="1"/>
  <c r="AE11" i="1"/>
  <c r="AE10" i="1"/>
  <c r="Q49" i="1"/>
  <c r="Q48" i="1"/>
  <c r="Q41" i="1"/>
  <c r="Q40" i="1"/>
  <c r="Q32" i="1"/>
  <c r="Q27" i="1"/>
  <c r="Q26" i="1"/>
  <c r="Q25" i="1"/>
  <c r="Q24" i="1"/>
  <c r="Q23" i="1"/>
  <c r="Q11" i="1"/>
  <c r="Q12" i="1"/>
  <c r="Q13" i="1"/>
  <c r="Q14" i="1"/>
  <c r="Q15" i="1"/>
  <c r="Q10" i="1"/>
  <c r="E5" i="1"/>
  <c r="EK39" i="1" s="1"/>
  <c r="DS33" i="1" a="1"/>
  <c r="BA16" i="1" a="1"/>
  <c r="CG16" i="1" a="1"/>
  <c r="CI50" i="1" a="1"/>
  <c r="CB50" i="1" a="1"/>
  <c r="BJ50" i="1" a="1"/>
  <c r="EB33" i="1" a="1"/>
  <c r="EG33" i="1" a="1"/>
  <c r="CL33" i="1" a="1"/>
  <c r="Z33" i="1" a="1"/>
  <c r="BK33" i="1" a="1"/>
  <c r="BM50" i="1" a="1"/>
  <c r="CF50" i="1" a="1"/>
  <c r="BL50" i="1" a="1"/>
  <c r="AU33" i="1" a="1"/>
  <c r="CT33" i="1" a="1"/>
  <c r="EJ33" i="1" a="1"/>
  <c r="EC16" i="1" a="1"/>
  <c r="V16" i="1" a="1"/>
  <c r="AC16" i="1" a="1"/>
  <c r="CU33" i="1" a="1"/>
  <c r="BZ33" i="1" a="1"/>
  <c r="AS50" i="1" a="1"/>
  <c r="BF16" i="1" a="1"/>
  <c r="CN16" i="1" a="1"/>
  <c r="CC16" i="1" a="1"/>
  <c r="CC33" i="1" a="1"/>
  <c r="BY33" i="1" a="1"/>
  <c r="E16" i="1" a="1"/>
  <c r="DQ50" i="1" a="1"/>
  <c r="BX50" i="1" a="1"/>
  <c r="CA16" i="1" a="1"/>
  <c r="AC33" i="1" a="1"/>
  <c r="CI33" i="1" a="1"/>
  <c r="BI50" i="1" a="1"/>
  <c r="CG50" i="1" a="1"/>
  <c r="CC50" i="1" a="1"/>
  <c r="BD50" i="1" a="1"/>
  <c r="DP50" i="1" a="1"/>
  <c r="AG50" i="1" a="1"/>
  <c r="DN50" i="1" a="1"/>
  <c r="DV16" i="1" a="1"/>
  <c r="DJ16" i="1" a="1"/>
  <c r="DO33" i="1" a="1"/>
  <c r="CD33" i="1" a="1"/>
  <c r="CH16" i="1" a="1"/>
  <c r="S50" i="1" a="1"/>
  <c r="EF33" i="1" a="1"/>
  <c r="CY33" i="1" a="1"/>
  <c r="EM33" i="1" a="1"/>
  <c r="EL50" i="1" a="1"/>
  <c r="EH50" i="1" a="1"/>
  <c r="AV16" i="1" a="1"/>
  <c r="BA50" i="1" a="1"/>
  <c r="CP50" i="1" a="1"/>
  <c r="BE50" i="1" a="1"/>
  <c r="EA33" i="1" a="1"/>
  <c r="DO50" i="1" a="1"/>
  <c r="EH33" i="1" a="1"/>
  <c r="EK50" i="1" a="1"/>
  <c r="AZ16" i="1" a="1"/>
  <c r="AQ16" i="1" a="1"/>
  <c r="CA33" i="1" a="1"/>
  <c r="BU16" i="1" a="1"/>
  <c r="DB16" i="1" a="1"/>
  <c r="P50" i="1" a="1"/>
  <c r="BF50" i="1" a="1"/>
  <c r="AW16" i="1" a="1"/>
  <c r="BY50" i="1" a="1"/>
  <c r="BN33" i="1" a="1"/>
  <c r="CR50" i="1" a="1"/>
  <c r="CB33" i="1" a="1"/>
  <c r="BQ16" i="1" a="1"/>
  <c r="BE33" i="1" a="1"/>
  <c r="BB33" i="1" a="1"/>
  <c r="AX33" i="1" a="1"/>
  <c r="CZ16" i="1" a="1"/>
  <c r="DG33" i="1" a="1"/>
  <c r="BL16" i="1" a="1"/>
  <c r="L33" i="1" a="1"/>
  <c r="F33" i="1" a="1"/>
  <c r="BM33" i="1" a="1"/>
  <c r="BD33" i="1" a="1"/>
  <c r="BA33" i="1" a="1"/>
  <c r="DF33" i="1" a="1"/>
  <c r="EJ16" i="1" a="1"/>
  <c r="EK33" i="1" a="1"/>
  <c r="EM50" i="1" a="1"/>
  <c r="DY16" i="1" a="1"/>
  <c r="DF50" i="1" a="1"/>
  <c r="DK50" i="1" a="1"/>
  <c r="DG50" i="1" a="1"/>
  <c r="AP33" i="1" a="1"/>
  <c r="Z50" i="1" a="1"/>
  <c r="CK33" i="1" a="1"/>
  <c r="DK33" i="1" a="1"/>
  <c r="DV33" i="1" a="1"/>
  <c r="DH33" i="1" a="1"/>
  <c r="DA16" i="1" a="1"/>
  <c r="DI33" i="1" a="1"/>
  <c r="AL50" i="1" a="1"/>
  <c r="AB50" i="1" a="1"/>
  <c r="BC50" i="1" a="1"/>
  <c r="CH50" i="1" a="1"/>
  <c r="EJ50" i="1" a="1"/>
  <c r="DR16" i="1" a="1"/>
  <c r="EI33" i="1" a="1"/>
  <c r="EE33" i="1" a="1"/>
  <c r="AU16" i="1" a="1"/>
  <c r="AI50" i="1" a="1"/>
  <c r="M16" i="1" a="1"/>
  <c r="U33" i="1" a="1"/>
  <c r="AO50" i="1" a="1"/>
  <c r="V33" i="1" a="1"/>
  <c r="AK16" i="1" a="1"/>
  <c r="EF16" i="1" a="1"/>
  <c r="EG16" i="1" a="1"/>
  <c r="CD50" i="1" a="1"/>
  <c r="AQ33" i="1" a="1"/>
  <c r="CZ50" i="1" a="1"/>
  <c r="K50" i="1" a="1"/>
  <c r="AJ50" i="1" a="1"/>
  <c r="S16" i="1" a="1"/>
  <c r="T16" i="1" a="1"/>
  <c r="ED50" i="1" a="1"/>
  <c r="DO16" i="1" a="1"/>
  <c r="CD16" i="1" a="1"/>
  <c r="EL33" i="1" a="1"/>
  <c r="DM50" i="1" a="1"/>
  <c r="DI16" i="1" a="1"/>
  <c r="DM16" i="1" a="1"/>
  <c r="DP16" i="1" a="1"/>
  <c r="AH16" i="1" a="1"/>
  <c r="AE50" i="1" a="1"/>
  <c r="CO50" i="1" a="1"/>
  <c r="BI16" i="1" a="1"/>
  <c r="EB50" i="1" a="1"/>
  <c r="CY16" i="1" a="1"/>
  <c r="EI50" i="1" a="1"/>
  <c r="BL33" i="1" a="1"/>
  <c r="DQ16" i="1" a="1"/>
  <c r="EK16" i="1" a="1"/>
  <c r="BP50" i="1" a="1"/>
  <c r="AV33" i="1" a="1"/>
  <c r="AX50" i="1" a="1"/>
  <c r="CK16" i="1" a="1"/>
  <c r="BS33" i="1" a="1"/>
  <c r="CS50" i="1" a="1"/>
  <c r="CP16" i="1" a="1"/>
  <c r="BK50" i="1" a="1"/>
  <c r="DE33" i="1" a="1"/>
  <c r="W33" i="1" a="1"/>
  <c r="ED33" i="1" a="1"/>
  <c r="AX16" i="1" a="1"/>
  <c r="CR33" i="1" a="1"/>
  <c r="CE50" i="1" a="1"/>
  <c r="CU50" i="1" a="1"/>
  <c r="CQ50" i="1" a="1"/>
  <c r="J33" i="1" a="1"/>
  <c r="EI16" i="1" a="1"/>
  <c r="EE50" i="1" a="1"/>
  <c r="N33" i="1" a="1"/>
  <c r="CS33" i="1" a="1"/>
  <c r="CG33" i="1" a="1"/>
  <c r="CM16" i="1" a="1"/>
  <c r="CH33" i="1" a="1"/>
  <c r="I33" i="1" a="1"/>
  <c r="EL16" i="1" a="1"/>
  <c r="BY16" i="1" a="1"/>
  <c r="DW33" i="1" a="1"/>
  <c r="DB33" i="1" a="1"/>
  <c r="DH50" i="1" a="1"/>
  <c r="DB50" i="1" a="1"/>
  <c r="DK16" i="1" a="1"/>
  <c r="T50" i="1" a="1"/>
  <c r="X50" i="1" a="1"/>
  <c r="DD50" i="1" a="1"/>
  <c r="CF16" i="1" a="1"/>
  <c r="AB33" i="1" a="1"/>
  <c r="K16" i="1" a="1"/>
  <c r="E50" i="1" a="1"/>
  <c r="DU33" i="1" a="1"/>
  <c r="DC16" i="1" a="1"/>
  <c r="AY33" i="1" a="1"/>
  <c r="L50" i="1" a="1"/>
  <c r="DR50" i="1" a="1"/>
  <c r="Y16" i="1" a="1"/>
  <c r="F50" i="1" a="1"/>
  <c r="Q16" i="1" a="1"/>
  <c r="O16" i="1" a="1"/>
  <c r="DC50" i="1" a="1"/>
  <c r="CW50" i="1" a="1"/>
  <c r="AI16" i="1" a="1"/>
  <c r="CQ16" i="1" a="1"/>
  <c r="DC33" i="1" a="1"/>
  <c r="CU16" i="1" a="1"/>
  <c r="CN50" i="1" a="1"/>
  <c r="CW16" i="1" a="1"/>
  <c r="Z16" i="1" a="1"/>
  <c r="P16" i="1" a="1"/>
  <c r="BX33" i="1" a="1"/>
  <c r="T33" i="1" a="1"/>
  <c r="AN50" i="1" a="1"/>
  <c r="BO33" i="1" a="1"/>
  <c r="BS50" i="1" a="1"/>
  <c r="Q33" i="1" a="1"/>
  <c r="N50" i="1" a="1"/>
  <c r="AS16" i="1" a="1"/>
  <c r="AM16" i="1" a="1"/>
  <c r="EH16" i="1" a="1"/>
  <c r="G16" i="1" a="1"/>
  <c r="Q50" i="1" a="1"/>
  <c r="AN33" i="1" a="1"/>
  <c r="AR33" i="1" a="1"/>
  <c r="DW50" i="1" a="1"/>
  <c r="X33" i="1" a="1"/>
  <c r="AE33" i="1" a="1"/>
  <c r="O33" i="1" a="1"/>
  <c r="CQ33" i="1" a="1"/>
  <c r="AL16" i="1" a="1"/>
  <c r="CM33" i="1" a="1"/>
  <c r="BR33" i="1" a="1"/>
  <c r="BZ16" i="1" a="1"/>
  <c r="BN50" i="1" a="1"/>
  <c r="BO16" i="1" a="1"/>
  <c r="BT50" i="1" a="1"/>
  <c r="AA50" i="1" a="1"/>
  <c r="DH16" i="1" a="1"/>
  <c r="AB16" i="1" a="1"/>
  <c r="BK16" i="1" a="1"/>
  <c r="BQ50" i="1" a="1"/>
  <c r="BF33" i="1" a="1"/>
  <c r="BI33" i="1" a="1"/>
  <c r="BS16" i="1" a="1"/>
  <c r="U16" i="1" a="1"/>
  <c r="DE50" i="1" a="1"/>
  <c r="N16" i="1" a="1"/>
  <c r="AJ16" i="1" a="1"/>
  <c r="CO33" i="1" a="1"/>
  <c r="CE16" i="1" a="1"/>
  <c r="CA50" i="1" a="1"/>
  <c r="BW50" i="1" a="1"/>
  <c r="L16" i="1" a="1"/>
  <c r="DX33" i="1" a="1"/>
  <c r="H33" i="1" a="1"/>
  <c r="CO16" i="1" a="1"/>
  <c r="EA16" i="1" a="1"/>
  <c r="M50" i="1" a="1"/>
  <c r="U50" i="1" a="1"/>
  <c r="CS16" i="1" a="1"/>
  <c r="CB16" i="1" a="1"/>
  <c r="CI16" i="1" a="1"/>
  <c r="ED16" i="1" a="1"/>
  <c r="AD50" i="1" a="1"/>
  <c r="H50" i="1" a="1"/>
  <c r="DP33" i="1" a="1"/>
  <c r="K33" i="1" a="1"/>
  <c r="J16" i="1" a="1"/>
  <c r="CM50" i="1" a="1"/>
  <c r="CF33" i="1" a="1"/>
  <c r="AK50" i="1" a="1"/>
  <c r="AZ33" i="1" a="1"/>
  <c r="BZ50" i="1" a="1"/>
  <c r="BQ33" i="1" a="1"/>
  <c r="BT33" i="1" a="1"/>
  <c r="BP33" i="1" a="1"/>
  <c r="AW50" i="1" a="1"/>
  <c r="DS16" i="1" a="1"/>
  <c r="AZ50" i="1" a="1"/>
  <c r="CV50" i="1" a="1"/>
  <c r="AY16" i="1" a="1"/>
  <c r="AI33" i="1" a="1"/>
  <c r="AJ33" i="1" a="1"/>
  <c r="F16" i="1" a="1"/>
  <c r="EC33" i="1" a="1"/>
  <c r="CR16" i="1" a="1"/>
  <c r="DN16" i="1" a="1"/>
  <c r="BN16" i="1" a="1"/>
  <c r="BG33" i="1" a="1"/>
  <c r="AO16" i="1" a="1"/>
  <c r="AP16" i="1" a="1"/>
  <c r="CK50" i="1" a="1"/>
  <c r="EM16" i="1" a="1"/>
  <c r="BW33" i="1" a="1"/>
  <c r="AU50" i="1" a="1"/>
  <c r="CN33" i="1" a="1"/>
  <c r="AY50" i="1" a="1"/>
  <c r="BO50" i="1" a="1"/>
  <c r="BD16" i="1" a="1"/>
  <c r="AO33" i="1" a="1"/>
  <c r="BT16" i="1" a="1"/>
  <c r="DU50" i="1" a="1"/>
  <c r="I16" i="1" a="1"/>
  <c r="BB16" i="1" a="1"/>
  <c r="BG50" i="1" a="1"/>
  <c r="S33" i="1" a="1"/>
  <c r="AD33" i="1" a="1"/>
  <c r="DE16" i="1" a="1"/>
  <c r="CT50" i="1" a="1"/>
  <c r="M33" i="1" a="1"/>
  <c r="AW33" i="1" a="1"/>
  <c r="CE33" i="1" a="1"/>
  <c r="EA50" i="1" a="1"/>
  <c r="DR33" i="1" a="1"/>
  <c r="AV50" i="1" a="1"/>
  <c r="W50" i="1" a="1"/>
  <c r="J50" i="1" a="1"/>
  <c r="Y50" i="1" a="1"/>
  <c r="DY50" i="1" a="1"/>
  <c r="DJ33" i="1" a="1"/>
  <c r="BJ33" i="1" a="1"/>
  <c r="AG33" i="1" a="1"/>
  <c r="AR16" i="1" a="1"/>
  <c r="Y33" i="1" a="1"/>
  <c r="O50" i="1" a="1"/>
  <c r="AC50" i="1" a="1"/>
  <c r="DQ33" i="1" a="1"/>
  <c r="CY50" i="1" a="1"/>
  <c r="BP16" i="1" a="1"/>
  <c r="AA16" i="1" a="1"/>
  <c r="DG16" i="1" a="1"/>
  <c r="BE16" i="1" a="1"/>
  <c r="AK33" i="1" a="1"/>
  <c r="AL33" i="1" a="1"/>
  <c r="BU33" i="1" a="1"/>
  <c r="EC50" i="1" a="1"/>
  <c r="BX16" i="1" a="1"/>
  <c r="BJ16" i="1" a="1"/>
  <c r="EE16" i="1" a="1"/>
  <c r="DS50" i="1" a="1"/>
  <c r="DY33" i="1" a="1"/>
  <c r="DW16" i="1" a="1"/>
  <c r="BC16" i="1" a="1"/>
  <c r="AR50" i="1" a="1"/>
  <c r="AM33" i="1" a="1"/>
  <c r="BB50" i="1" a="1"/>
  <c r="AQ50" i="1" a="1"/>
  <c r="DT33" i="1" a="1"/>
  <c r="DN33" i="1" a="1"/>
  <c r="DM33" i="1" a="1"/>
  <c r="DV50" i="1" a="1"/>
  <c r="AN16" i="1" a="1"/>
  <c r="AH50" i="1" a="1"/>
  <c r="G33" i="1" a="1"/>
  <c r="DX16" i="1" a="1"/>
  <c r="AS33" i="1" a="1"/>
  <c r="W16" i="1" a="1"/>
  <c r="X16" i="1" a="1"/>
  <c r="EG50" i="1" a="1"/>
  <c r="DT50" i="1" a="1"/>
  <c r="BU50" i="1" a="1"/>
  <c r="E33" i="1" a="1"/>
  <c r="BR16" i="1" a="1"/>
  <c r="AG16" i="1" a="1"/>
  <c r="AM50" i="1" a="1"/>
  <c r="DF16" i="1" a="1"/>
  <c r="CP33" i="1" a="1"/>
  <c r="DU16" i="1" a="1"/>
  <c r="DT16" i="1" a="1"/>
  <c r="BR50" i="1" a="1"/>
  <c r="EF50" i="1" a="1"/>
  <c r="AD16" i="1" a="1"/>
  <c r="AP50" i="1" a="1"/>
  <c r="CV33" i="1" a="1"/>
  <c r="CV16" i="1" a="1"/>
  <c r="DJ50" i="1" a="1"/>
  <c r="BW16" i="1" a="1"/>
  <c r="EB16" i="1" a="1"/>
  <c r="AE16" i="1" a="1"/>
  <c r="P33" i="1" a="1"/>
  <c r="G50" i="1" a="1"/>
  <c r="DX50" i="1" a="1"/>
  <c r="DA33" i="1" a="1"/>
  <c r="BC33" i="1" a="1"/>
  <c r="CW33" i="1" a="1"/>
  <c r="DD16" i="1" a="1"/>
  <c r="CT16" i="1" a="1"/>
  <c r="DD33" i="1" a="1"/>
  <c r="CZ33" i="1" a="1"/>
  <c r="AA33" i="1" a="1"/>
  <c r="I50" i="1" a="1"/>
  <c r="DA50" i="1" a="1"/>
  <c r="CL16" i="1" a="1"/>
  <c r="DI50" i="1" a="1"/>
  <c r="BG16" i="1" a="1"/>
  <c r="V50" i="1" a="1"/>
  <c r="BM16" i="1" a="1"/>
  <c r="AH33" i="1" a="1"/>
  <c r="CL50" i="1" a="1"/>
  <c r="H16" i="1" a="1"/>
  <c r="E10" i="4" l="1"/>
  <c r="E22" i="4"/>
  <c r="D71" i="4"/>
  <c r="F73" i="4" s="1"/>
  <c r="J73" i="4" s="1" a="1"/>
  <c r="J73" i="4" s="1"/>
  <c r="D75" i="4"/>
  <c r="D99" i="4"/>
  <c r="F100" i="4" s="1"/>
  <c r="J100" i="4" s="1" a="1"/>
  <c r="J100" i="4" s="1"/>
  <c r="D67" i="4"/>
  <c r="F68" i="4" s="1"/>
  <c r="J68" i="4" s="1" a="1"/>
  <c r="J68" i="4" s="1"/>
  <c r="D79" i="4"/>
  <c r="F79" i="4" s="1"/>
  <c r="J79" i="4" s="1" a="1"/>
  <c r="J79" i="4" s="1"/>
  <c r="D83" i="4"/>
  <c r="F83" i="4" s="1"/>
  <c r="J83" i="4" s="1" a="1"/>
  <c r="J83" i="4" s="1"/>
  <c r="D55" i="4"/>
  <c r="F55" i="4" s="1"/>
  <c r="J55" i="4" s="1" a="1"/>
  <c r="J55" i="4" s="1"/>
  <c r="D87" i="4"/>
  <c r="F89" i="4" s="1"/>
  <c r="J89" i="4" s="1" a="1"/>
  <c r="J89" i="4" s="1"/>
  <c r="D59" i="4"/>
  <c r="D91" i="4"/>
  <c r="D63" i="4"/>
  <c r="F64" i="4" s="1"/>
  <c r="J64" i="4" s="1" a="1"/>
  <c r="J64" i="4" s="1"/>
  <c r="F95" i="4"/>
  <c r="J95" i="4" s="1" a="1"/>
  <c r="J95" i="4" s="1"/>
  <c r="F96" i="4"/>
  <c r="J96" i="4" s="1" a="1"/>
  <c r="J96" i="4" s="1"/>
  <c r="G68" i="4"/>
  <c r="G73" i="4"/>
  <c r="G97" i="4"/>
  <c r="G64" i="4"/>
  <c r="G100" i="4"/>
  <c r="G79" i="4"/>
  <c r="G50" i="3" a="1"/>
  <c r="G50" i="3" s="1"/>
  <c r="E13" i="4"/>
  <c r="E14" i="4" s="1"/>
  <c r="G36" i="3" a="1"/>
  <c r="G36" i="3" s="1"/>
  <c r="E36" i="3" a="1"/>
  <c r="E36" i="3" s="1"/>
  <c r="G43" i="3" a="1"/>
  <c r="G43" i="3" s="1"/>
  <c r="E43" i="3" a="1"/>
  <c r="E43" i="3" s="1"/>
  <c r="G49" i="3" a="1"/>
  <c r="G49" i="3" s="1"/>
  <c r="G21" i="3" a="1"/>
  <c r="G21" i="3" s="1"/>
  <c r="H20" i="3"/>
  <c r="E42" i="3" a="1"/>
  <c r="E42" i="3" s="1"/>
  <c r="E34" i="3" a="1"/>
  <c r="E34" i="3" s="1"/>
  <c r="E26" i="3" a="1"/>
  <c r="E26" i="3" s="1"/>
  <c r="E18" i="3" a="1"/>
  <c r="E18" i="3" s="1"/>
  <c r="G48" i="3" a="1"/>
  <c r="G48" i="3" s="1"/>
  <c r="G41" i="3" a="1"/>
  <c r="G41" i="3" s="1"/>
  <c r="G35" i="3" a="1"/>
  <c r="G35" i="3" s="1"/>
  <c r="G27" i="3" a="1"/>
  <c r="G27" i="3" s="1"/>
  <c r="H13" i="3"/>
  <c r="H43" i="3"/>
  <c r="H35" i="3"/>
  <c r="H27" i="3"/>
  <c r="H19" i="3"/>
  <c r="E28" i="3" a="1"/>
  <c r="E28" i="3" s="1"/>
  <c r="G29" i="3" a="1"/>
  <c r="G29" i="3" s="1"/>
  <c r="H45" i="3"/>
  <c r="H37" i="3"/>
  <c r="E13" i="3" a="1"/>
  <c r="E13" i="3" s="1"/>
  <c r="G42" i="3" a="1"/>
  <c r="G42" i="3" s="1"/>
  <c r="H28" i="3"/>
  <c r="E41" i="3" a="1"/>
  <c r="E41" i="3" s="1"/>
  <c r="E33" i="3" a="1"/>
  <c r="E33" i="3" s="1"/>
  <c r="E25" i="3" a="1"/>
  <c r="E25" i="3" s="1"/>
  <c r="E17" i="3" a="1"/>
  <c r="E17" i="3" s="1"/>
  <c r="G47" i="3" a="1"/>
  <c r="G47" i="3" s="1"/>
  <c r="G34" i="3" a="1"/>
  <c r="G34" i="3" s="1"/>
  <c r="G26" i="3" a="1"/>
  <c r="G26" i="3" s="1"/>
  <c r="G20" i="3" a="1"/>
  <c r="G20" i="3" s="1"/>
  <c r="H50" i="3"/>
  <c r="H42" i="3"/>
  <c r="H34" i="3"/>
  <c r="H26" i="3"/>
  <c r="H18" i="3"/>
  <c r="E20" i="3" a="1"/>
  <c r="E20" i="3" s="1"/>
  <c r="G22" i="3" a="1"/>
  <c r="G22" i="3" s="1"/>
  <c r="H21" i="3"/>
  <c r="E27" i="3" a="1"/>
  <c r="E27" i="3" s="1"/>
  <c r="H36" i="3"/>
  <c r="E48" i="3" a="1"/>
  <c r="E48" i="3" s="1"/>
  <c r="E40" i="3" a="1"/>
  <c r="E40" i="3" s="1"/>
  <c r="E32" i="3" a="1"/>
  <c r="E32" i="3" s="1"/>
  <c r="E24" i="3" a="1"/>
  <c r="E24" i="3" s="1"/>
  <c r="E16" i="3" a="1"/>
  <c r="E16" i="3" s="1"/>
  <c r="G46" i="3" a="1"/>
  <c r="G46" i="3" s="1"/>
  <c r="G40" i="3" a="1"/>
  <c r="G40" i="3" s="1"/>
  <c r="G33" i="3" a="1"/>
  <c r="G33" i="3" s="1"/>
  <c r="G25" i="3" a="1"/>
  <c r="G25" i="3" s="1"/>
  <c r="G19" i="3" a="1"/>
  <c r="G19" i="3" s="1"/>
  <c r="H49" i="3"/>
  <c r="H41" i="3"/>
  <c r="H33" i="3"/>
  <c r="H25" i="3"/>
  <c r="H17" i="3"/>
  <c r="E44" i="3" a="1"/>
  <c r="E44" i="3" s="1"/>
  <c r="G15" i="3" a="1"/>
  <c r="G15" i="3" s="1"/>
  <c r="H29" i="3"/>
  <c r="E35" i="3" a="1"/>
  <c r="E35" i="3" s="1"/>
  <c r="E19" i="3" a="1"/>
  <c r="E19" i="3" s="1"/>
  <c r="G28" i="3" a="1"/>
  <c r="G28" i="3" s="1"/>
  <c r="G14" i="3" a="1"/>
  <c r="G14" i="3" s="1"/>
  <c r="H44" i="3"/>
  <c r="E47" i="3" a="1"/>
  <c r="E47" i="3" s="1"/>
  <c r="E39" i="3" a="1"/>
  <c r="E39" i="3" s="1"/>
  <c r="E31" i="3" a="1"/>
  <c r="E31" i="3" s="1"/>
  <c r="E23" i="3" a="1"/>
  <c r="E23" i="3" s="1"/>
  <c r="E15" i="3" a="1"/>
  <c r="E15" i="3" s="1"/>
  <c r="G45" i="3" a="1"/>
  <c r="G45" i="3" s="1"/>
  <c r="G39" i="3" a="1"/>
  <c r="G39" i="3" s="1"/>
  <c r="G32" i="3" a="1"/>
  <c r="G32" i="3" s="1"/>
  <c r="G18" i="3" a="1"/>
  <c r="G18" i="3" s="1"/>
  <c r="H48" i="3"/>
  <c r="H40" i="3"/>
  <c r="H32" i="3"/>
  <c r="H24" i="3"/>
  <c r="H16" i="3"/>
  <c r="E22" i="3" a="1"/>
  <c r="E22" i="3" s="1"/>
  <c r="G31" i="3" a="1"/>
  <c r="G31" i="3" s="1"/>
  <c r="G17" i="3" a="1"/>
  <c r="G17" i="3" s="1"/>
  <c r="H47" i="3"/>
  <c r="H39" i="3"/>
  <c r="H31" i="3"/>
  <c r="H23" i="3"/>
  <c r="H15" i="3"/>
  <c r="E46" i="3" a="1"/>
  <c r="E46" i="3" s="1"/>
  <c r="E38" i="3" a="1"/>
  <c r="E38" i="3" s="1"/>
  <c r="E30" i="3" a="1"/>
  <c r="E30" i="3" s="1"/>
  <c r="E14" i="3" a="1"/>
  <c r="E14" i="3" s="1"/>
  <c r="G38" i="3" a="1"/>
  <c r="G38" i="3" s="1"/>
  <c r="G24" i="3" a="1"/>
  <c r="G24" i="3" s="1"/>
  <c r="E45" i="3" a="1"/>
  <c r="E45" i="3" s="1"/>
  <c r="E37" i="3" a="1"/>
  <c r="E37" i="3" s="1"/>
  <c r="E29" i="3" a="1"/>
  <c r="E29" i="3" s="1"/>
  <c r="E21" i="3" a="1"/>
  <c r="E21" i="3" s="1"/>
  <c r="G13" i="3" a="1"/>
  <c r="G13" i="3" s="1"/>
  <c r="G44" i="3" a="1"/>
  <c r="G44" i="3" s="1"/>
  <c r="G37" i="3" a="1"/>
  <c r="G37" i="3" s="1"/>
  <c r="G30" i="3" a="1"/>
  <c r="G30" i="3" s="1"/>
  <c r="G23" i="3" a="1"/>
  <c r="G23" i="3" s="1"/>
  <c r="G16" i="3" a="1"/>
  <c r="G16" i="3" s="1"/>
  <c r="F16" i="3" s="1"/>
  <c r="H46" i="3"/>
  <c r="H38" i="3"/>
  <c r="H30" i="3"/>
  <c r="H22" i="3"/>
  <c r="H14" i="3"/>
  <c r="E21" i="4"/>
  <c r="AF11" i="3" s="1"/>
  <c r="J13" i="3" a="1"/>
  <c r="J13" i="3" s="1"/>
  <c r="J14" i="3" a="1"/>
  <c r="J14" i="3" s="1"/>
  <c r="J15" i="3" a="1"/>
  <c r="J15" i="3" s="1"/>
  <c r="E39" i="1"/>
  <c r="K9" i="1"/>
  <c r="H22" i="1"/>
  <c r="P22" i="1"/>
  <c r="AB39" i="1"/>
  <c r="AL22" i="1"/>
  <c r="BD39" i="1"/>
  <c r="BS39" i="1"/>
  <c r="BZ39" i="1"/>
  <c r="CS9" i="1"/>
  <c r="CN39" i="1"/>
  <c r="DF9" i="1"/>
  <c r="DR22" i="1"/>
  <c r="EH9" i="1"/>
  <c r="EF22" i="1"/>
  <c r="AO9" i="1"/>
  <c r="AZ22" i="1"/>
  <c r="BP9" i="1"/>
  <c r="BN22" i="1"/>
  <c r="BW9" i="1"/>
  <c r="CE9" i="1"/>
  <c r="CC22" i="1"/>
  <c r="CA39" i="1"/>
  <c r="CO39" i="1"/>
  <c r="CY9" i="1"/>
  <c r="DG9" i="1"/>
  <c r="DE22" i="1"/>
  <c r="DB39" i="1"/>
  <c r="DM9" i="1"/>
  <c r="DU9" i="1"/>
  <c r="DS22" i="1"/>
  <c r="DP39" i="1"/>
  <c r="EA9" i="1"/>
  <c r="EI9" i="1"/>
  <c r="EG22" i="1"/>
  <c r="E9" i="1"/>
  <c r="M9" i="1"/>
  <c r="J22" i="1"/>
  <c r="G39" i="1"/>
  <c r="O39" i="1"/>
  <c r="Z9" i="1"/>
  <c r="X22" i="1"/>
  <c r="V39" i="1"/>
  <c r="AD39" i="1"/>
  <c r="AH9" i="1"/>
  <c r="AP9" i="1"/>
  <c r="AN22" i="1"/>
  <c r="AL39" i="1"/>
  <c r="AU9" i="1"/>
  <c r="BC9" i="1"/>
  <c r="BA22" i="1"/>
  <c r="AX39" i="1"/>
  <c r="BF39" i="1"/>
  <c r="BI9" i="1"/>
  <c r="BQ9" i="1"/>
  <c r="BO22" i="1"/>
  <c r="BM39" i="1"/>
  <c r="BX9" i="1"/>
  <c r="CF9" i="1"/>
  <c r="CD22" i="1"/>
  <c r="CB39" i="1"/>
  <c r="CM9" i="1"/>
  <c r="CU9" i="1"/>
  <c r="CR22" i="1"/>
  <c r="CP39" i="1"/>
  <c r="CZ9" i="1"/>
  <c r="DH9" i="1"/>
  <c r="DF22" i="1"/>
  <c r="DC39" i="1"/>
  <c r="DN9" i="1"/>
  <c r="DV9" i="1"/>
  <c r="DT22" i="1"/>
  <c r="DQ39" i="1"/>
  <c r="EB9" i="1"/>
  <c r="EJ9" i="1"/>
  <c r="EH22" i="1"/>
  <c r="EF39" i="1"/>
  <c r="V22" i="1"/>
  <c r="AN9" i="1"/>
  <c r="AR39" i="1"/>
  <c r="BA9" i="1"/>
  <c r="BM22" i="1"/>
  <c r="CD9" i="1"/>
  <c r="CH39" i="1"/>
  <c r="CP22" i="1"/>
  <c r="CV39" i="1"/>
  <c r="DD22" i="1"/>
  <c r="DA39" i="1"/>
  <c r="DW39" i="1"/>
  <c r="Q22" i="1"/>
  <c r="AM22" i="1"/>
  <c r="CT9" i="1"/>
  <c r="DJ39" i="1"/>
  <c r="DX39" i="1"/>
  <c r="EE39" i="1"/>
  <c r="F9" i="1"/>
  <c r="N9" i="1"/>
  <c r="K22" i="1"/>
  <c r="H39" i="1"/>
  <c r="P39" i="1"/>
  <c r="S9" i="1"/>
  <c r="AA9" i="1"/>
  <c r="Y22" i="1"/>
  <c r="W39" i="1"/>
  <c r="AI9" i="1"/>
  <c r="AQ9" i="1"/>
  <c r="AG22" i="1"/>
  <c r="AO22" i="1"/>
  <c r="AM39" i="1"/>
  <c r="AV9" i="1"/>
  <c r="BD9" i="1"/>
  <c r="BB22" i="1"/>
  <c r="AY39" i="1"/>
  <c r="BJ9" i="1"/>
  <c r="BR9" i="1"/>
  <c r="BP22" i="1"/>
  <c r="BN39" i="1"/>
  <c r="BY9" i="1"/>
  <c r="CG9" i="1"/>
  <c r="BW22" i="1"/>
  <c r="CE22" i="1"/>
  <c r="CC39" i="1"/>
  <c r="CN9" i="1"/>
  <c r="CV9" i="1"/>
  <c r="CK22" i="1"/>
  <c r="CS22" i="1"/>
  <c r="CQ39" i="1"/>
  <c r="DA9" i="1"/>
  <c r="DI9" i="1"/>
  <c r="CY22" i="1"/>
  <c r="DG22" i="1"/>
  <c r="DD39" i="1"/>
  <c r="DO9" i="1"/>
  <c r="DW9" i="1"/>
  <c r="DM22" i="1"/>
  <c r="DU22" i="1"/>
  <c r="DR39" i="1"/>
  <c r="EC9" i="1"/>
  <c r="EK9" i="1"/>
  <c r="EA22" i="1"/>
  <c r="EI22" i="1"/>
  <c r="EG39" i="1"/>
  <c r="N39" i="1"/>
  <c r="AC39" i="1"/>
  <c r="AK39" i="1"/>
  <c r="X39" i="1"/>
  <c r="AN39" i="1"/>
  <c r="CH9" i="1"/>
  <c r="BX22" i="1"/>
  <c r="CF22" i="1"/>
  <c r="CO9" i="1"/>
  <c r="CT22" i="1"/>
  <c r="CR39" i="1"/>
  <c r="DB9" i="1"/>
  <c r="DJ9" i="1"/>
  <c r="CZ22" i="1"/>
  <c r="DH22" i="1"/>
  <c r="DE39" i="1"/>
  <c r="DP9" i="1"/>
  <c r="DX9" i="1"/>
  <c r="DN22" i="1"/>
  <c r="DV22" i="1"/>
  <c r="DS39" i="1"/>
  <c r="ED9" i="1"/>
  <c r="EL9" i="1"/>
  <c r="EB22" i="1"/>
  <c r="EJ22" i="1"/>
  <c r="EH39" i="1"/>
  <c r="AD22" i="1"/>
  <c r="AV39" i="1"/>
  <c r="BO9" i="1"/>
  <c r="BK39" i="1"/>
  <c r="L9" i="1"/>
  <c r="U39" i="1"/>
  <c r="BB9" i="1"/>
  <c r="AW39" i="1"/>
  <c r="BL39" i="1"/>
  <c r="CL9" i="1"/>
  <c r="Q39" i="1"/>
  <c r="AB9" i="1"/>
  <c r="Z22" i="1"/>
  <c r="AJ9" i="1"/>
  <c r="BE9" i="1"/>
  <c r="BC22" i="1"/>
  <c r="BK9" i="1"/>
  <c r="BQ22" i="1"/>
  <c r="BZ9" i="1"/>
  <c r="CL22" i="1"/>
  <c r="H9" i="1"/>
  <c r="P9" i="1"/>
  <c r="E22" i="1"/>
  <c r="M22" i="1"/>
  <c r="J39" i="1"/>
  <c r="U9" i="1"/>
  <c r="AC9" i="1"/>
  <c r="S22" i="1"/>
  <c r="AA22" i="1"/>
  <c r="Y39" i="1"/>
  <c r="AK9" i="1"/>
  <c r="AI22" i="1"/>
  <c r="AQ22" i="1"/>
  <c r="AG39" i="1"/>
  <c r="AO39" i="1"/>
  <c r="AX9" i="1"/>
  <c r="BF9" i="1"/>
  <c r="AV22" i="1"/>
  <c r="BD22" i="1"/>
  <c r="BA39" i="1"/>
  <c r="BL9" i="1"/>
  <c r="BT9" i="1"/>
  <c r="BJ22" i="1"/>
  <c r="BR22" i="1"/>
  <c r="BP39" i="1"/>
  <c r="CA9" i="1"/>
  <c r="BY22" i="1"/>
  <c r="CG22" i="1"/>
  <c r="BW39" i="1"/>
  <c r="CE39" i="1"/>
  <c r="CP9" i="1"/>
  <c r="CM22" i="1"/>
  <c r="CU22" i="1"/>
  <c r="CK39" i="1"/>
  <c r="CS39" i="1"/>
  <c r="DC9" i="1"/>
  <c r="DA22" i="1"/>
  <c r="DI22" i="1"/>
  <c r="DF39" i="1"/>
  <c r="DQ9" i="1"/>
  <c r="DO22" i="1"/>
  <c r="DW22" i="1"/>
  <c r="DT39" i="1"/>
  <c r="EE9" i="1"/>
  <c r="EC22" i="1"/>
  <c r="EK22" i="1"/>
  <c r="EA39" i="1"/>
  <c r="EI39" i="1"/>
  <c r="M39" i="1"/>
  <c r="T39" i="1"/>
  <c r="CB22" i="1"/>
  <c r="CK9" i="1"/>
  <c r="DI39" i="1"/>
  <c r="DO39" i="1"/>
  <c r="EL39" i="1"/>
  <c r="I22" i="1"/>
  <c r="Y9" i="1"/>
  <c r="AG9" i="1"/>
  <c r="O9" i="1"/>
  <c r="I39" i="1"/>
  <c r="AH22" i="1"/>
  <c r="AU22" i="1"/>
  <c r="AZ39" i="1"/>
  <c r="BI22" i="1"/>
  <c r="BO39" i="1"/>
  <c r="I9" i="1"/>
  <c r="Q9" i="1"/>
  <c r="F22" i="1"/>
  <c r="N22" i="1"/>
  <c r="K39" i="1"/>
  <c r="V9" i="1"/>
  <c r="AD9" i="1"/>
  <c r="T22" i="1"/>
  <c r="AB22" i="1"/>
  <c r="Z39" i="1"/>
  <c r="AL9" i="1"/>
  <c r="AJ22" i="1"/>
  <c r="AR22" i="1"/>
  <c r="AH39" i="1"/>
  <c r="AP39" i="1"/>
  <c r="AY9" i="1"/>
  <c r="AW22" i="1"/>
  <c r="BE22" i="1"/>
  <c r="BB39" i="1"/>
  <c r="BM9" i="1"/>
  <c r="BK22" i="1"/>
  <c r="BS22" i="1"/>
  <c r="BI39" i="1"/>
  <c r="BQ39" i="1"/>
  <c r="CB9" i="1"/>
  <c r="BZ22" i="1"/>
  <c r="CH22" i="1"/>
  <c r="BX39" i="1"/>
  <c r="CF39" i="1"/>
  <c r="CQ9" i="1"/>
  <c r="CN22" i="1"/>
  <c r="CV22" i="1"/>
  <c r="CL39" i="1"/>
  <c r="CT39" i="1"/>
  <c r="DD9" i="1"/>
  <c r="DB22" i="1"/>
  <c r="DJ22" i="1"/>
  <c r="CY39" i="1"/>
  <c r="DG39" i="1"/>
  <c r="DR9" i="1"/>
  <c r="DP22" i="1"/>
  <c r="DX22" i="1"/>
  <c r="DM39" i="1"/>
  <c r="DU39" i="1"/>
  <c r="EF9" i="1"/>
  <c r="ED22" i="1"/>
  <c r="EL22" i="1"/>
  <c r="EB39" i="1"/>
  <c r="EJ39" i="1"/>
  <c r="X9" i="1"/>
  <c r="AJ39" i="1"/>
  <c r="AY22" i="1"/>
  <c r="DT9" i="1"/>
  <c r="ED39" i="1"/>
  <c r="F39" i="1"/>
  <c r="W22" i="1"/>
  <c r="BE39" i="1"/>
  <c r="BT39" i="1"/>
  <c r="CQ22" i="1"/>
  <c r="G9" i="1"/>
  <c r="L22" i="1"/>
  <c r="T9" i="1"/>
  <c r="AR9" i="1"/>
  <c r="AP22" i="1"/>
  <c r="AW9" i="1"/>
  <c r="BS9" i="1"/>
  <c r="CD39" i="1"/>
  <c r="J9" i="1"/>
  <c r="G22" i="1"/>
  <c r="O22" i="1"/>
  <c r="L39" i="1"/>
  <c r="W9" i="1"/>
  <c r="U22" i="1"/>
  <c r="AC22" i="1"/>
  <c r="S39" i="1"/>
  <c r="AA39" i="1"/>
  <c r="AM9" i="1"/>
  <c r="AK22" i="1"/>
  <c r="AI39" i="1"/>
  <c r="AQ39" i="1"/>
  <c r="S5" i="1"/>
  <c r="AE9" i="1" s="1"/>
  <c r="AZ9" i="1"/>
  <c r="AX22" i="1"/>
  <c r="BF22" i="1"/>
  <c r="AU39" i="1"/>
  <c r="BC39" i="1"/>
  <c r="BN9" i="1"/>
  <c r="BL22" i="1"/>
  <c r="BT22" i="1"/>
  <c r="BJ39" i="1"/>
  <c r="BR39" i="1"/>
  <c r="CC9" i="1"/>
  <c r="CA22" i="1"/>
  <c r="BY39" i="1"/>
  <c r="CG39" i="1"/>
  <c r="CR9" i="1"/>
  <c r="CO22" i="1"/>
  <c r="CM39" i="1"/>
  <c r="CU39" i="1"/>
  <c r="DE9" i="1"/>
  <c r="DC22" i="1"/>
  <c r="CZ39" i="1"/>
  <c r="DH39" i="1"/>
  <c r="DS9" i="1"/>
  <c r="DQ22" i="1"/>
  <c r="DN39" i="1"/>
  <c r="DV39" i="1"/>
  <c r="EG9" i="1"/>
  <c r="EE22" i="1"/>
  <c r="EC39" i="1"/>
  <c r="EG16" i="1"/>
  <c r="EB50" i="1"/>
  <c r="EE33" i="1"/>
  <c r="EI33" i="1"/>
  <c r="EM33" i="1"/>
  <c r="ED16" i="1"/>
  <c r="EH16" i="1"/>
  <c r="EL16" i="1"/>
  <c r="EC50" i="1"/>
  <c r="EG50" i="1"/>
  <c r="EK50" i="1"/>
  <c r="EH33" i="1"/>
  <c r="EF33" i="1"/>
  <c r="EA16" i="1"/>
  <c r="EE16" i="1"/>
  <c r="EI16" i="1"/>
  <c r="EM16" i="1"/>
  <c r="ED50" i="1"/>
  <c r="EH50" i="1"/>
  <c r="EL50" i="1"/>
  <c r="ED33" i="1"/>
  <c r="EC16" i="1"/>
  <c r="EJ50" i="1"/>
  <c r="EJ33" i="1"/>
  <c r="EC33" i="1"/>
  <c r="EG33" i="1"/>
  <c r="EK33" i="1"/>
  <c r="EL33" i="1"/>
  <c r="EK16" i="1"/>
  <c r="EF50" i="1"/>
  <c r="EA33" i="1"/>
  <c r="EB33" i="1"/>
  <c r="EB16" i="1"/>
  <c r="EF16" i="1"/>
  <c r="EJ16" i="1"/>
  <c r="EA50" i="1"/>
  <c r="EE50" i="1"/>
  <c r="EI50" i="1"/>
  <c r="EM50" i="1"/>
  <c r="DR50" i="1"/>
  <c r="DX16" i="1"/>
  <c r="DW50" i="1"/>
  <c r="DN33" i="1"/>
  <c r="DR33" i="1"/>
  <c r="DV33" i="1"/>
  <c r="DS16" i="1"/>
  <c r="DN50" i="1"/>
  <c r="DU33" i="1"/>
  <c r="DP16" i="1"/>
  <c r="DM16" i="1"/>
  <c r="DQ16" i="1"/>
  <c r="DU16" i="1"/>
  <c r="DY16" i="1"/>
  <c r="DP50" i="1"/>
  <c r="DT50" i="1"/>
  <c r="DX50" i="1"/>
  <c r="DV50" i="1"/>
  <c r="DM33" i="1"/>
  <c r="DS50" i="1"/>
  <c r="DO33" i="1"/>
  <c r="DS33" i="1"/>
  <c r="DW33" i="1"/>
  <c r="DO16" i="1"/>
  <c r="DQ33" i="1"/>
  <c r="DT16" i="1"/>
  <c r="DN16" i="1"/>
  <c r="DR16" i="1"/>
  <c r="DV16" i="1"/>
  <c r="DM50" i="1"/>
  <c r="DQ50" i="1"/>
  <c r="DU50" i="1"/>
  <c r="DY50" i="1"/>
  <c r="DW16" i="1"/>
  <c r="DY33" i="1"/>
  <c r="DO50" i="1"/>
  <c r="DP33" i="1"/>
  <c r="DT33" i="1"/>
  <c r="DX33" i="1"/>
  <c r="CZ50" i="1"/>
  <c r="DD50" i="1"/>
  <c r="DH50" i="1"/>
  <c r="CY33" i="1"/>
  <c r="DC33" i="1"/>
  <c r="DG33" i="1"/>
  <c r="DK33" i="1"/>
  <c r="DF16" i="1"/>
  <c r="CZ33" i="1"/>
  <c r="DD33" i="1"/>
  <c r="DH33" i="1"/>
  <c r="DB16" i="1"/>
  <c r="DA50" i="1"/>
  <c r="CY16" i="1"/>
  <c r="DC16" i="1"/>
  <c r="DG16" i="1"/>
  <c r="DK16" i="1"/>
  <c r="DB50" i="1"/>
  <c r="DF50" i="1"/>
  <c r="DJ50" i="1"/>
  <c r="DE16" i="1"/>
  <c r="DE50" i="1"/>
  <c r="DA33" i="1"/>
  <c r="DE33" i="1"/>
  <c r="DI33" i="1"/>
  <c r="DA16" i="1"/>
  <c r="DI50" i="1"/>
  <c r="CZ16" i="1"/>
  <c r="DD16" i="1"/>
  <c r="DH16" i="1"/>
  <c r="CY50" i="1"/>
  <c r="DC50" i="1"/>
  <c r="DG50" i="1"/>
  <c r="DK50" i="1"/>
  <c r="DI16" i="1"/>
  <c r="DJ16" i="1"/>
  <c r="DB33" i="1"/>
  <c r="DF33" i="1"/>
  <c r="DJ33" i="1"/>
  <c r="CM16" i="1"/>
  <c r="CL50" i="1"/>
  <c r="CW33" i="1"/>
  <c r="CN16" i="1"/>
  <c r="CR16" i="1"/>
  <c r="CV16" i="1"/>
  <c r="CM50" i="1"/>
  <c r="CQ50" i="1"/>
  <c r="CU50" i="1"/>
  <c r="CU16" i="1"/>
  <c r="CP50" i="1"/>
  <c r="CO33" i="1"/>
  <c r="CL33" i="1"/>
  <c r="CP33" i="1"/>
  <c r="CT33" i="1"/>
  <c r="CN33" i="1"/>
  <c r="CQ16" i="1"/>
  <c r="CT50" i="1"/>
  <c r="CK33" i="1"/>
  <c r="CS33" i="1"/>
  <c r="CK16" i="1"/>
  <c r="CO16" i="1"/>
  <c r="CS16" i="1"/>
  <c r="CW16" i="1"/>
  <c r="CN50" i="1"/>
  <c r="CR50" i="1"/>
  <c r="CV50" i="1"/>
  <c r="CR33" i="1"/>
  <c r="CM33" i="1"/>
  <c r="CQ33" i="1"/>
  <c r="CU33" i="1"/>
  <c r="CL16" i="1"/>
  <c r="CP16" i="1"/>
  <c r="CT16" i="1"/>
  <c r="CK50" i="1"/>
  <c r="CO50" i="1"/>
  <c r="CS50" i="1"/>
  <c r="CW50" i="1"/>
  <c r="CV33" i="1"/>
  <c r="BY16" i="1"/>
  <c r="CE33" i="1"/>
  <c r="BZ16" i="1"/>
  <c r="CD16" i="1"/>
  <c r="CH16" i="1"/>
  <c r="BY50" i="1"/>
  <c r="CC50" i="1"/>
  <c r="CG50" i="1"/>
  <c r="CC16" i="1"/>
  <c r="CA33" i="1"/>
  <c r="BX33" i="1"/>
  <c r="CB33" i="1"/>
  <c r="CF33" i="1"/>
  <c r="CF50" i="1"/>
  <c r="BW16" i="1"/>
  <c r="CA16" i="1"/>
  <c r="CE16" i="1"/>
  <c r="CI16" i="1"/>
  <c r="BZ50" i="1"/>
  <c r="CD50" i="1"/>
  <c r="CH50" i="1"/>
  <c r="CB50" i="1"/>
  <c r="BY33" i="1"/>
  <c r="CC33" i="1"/>
  <c r="CG33" i="1"/>
  <c r="CG16" i="1"/>
  <c r="CI33" i="1"/>
  <c r="BX16" i="1"/>
  <c r="CB16" i="1"/>
  <c r="CF16" i="1"/>
  <c r="BW50" i="1"/>
  <c r="CA50" i="1"/>
  <c r="CE50" i="1"/>
  <c r="CI50" i="1"/>
  <c r="BX50" i="1"/>
  <c r="BW33" i="1"/>
  <c r="BZ33" i="1"/>
  <c r="CD33" i="1"/>
  <c r="CH33" i="1"/>
  <c r="BK16" i="1"/>
  <c r="BM33" i="1"/>
  <c r="BP16" i="1"/>
  <c r="BT16" i="1"/>
  <c r="BK50" i="1"/>
  <c r="BO50" i="1"/>
  <c r="BS50" i="1"/>
  <c r="BN50" i="1"/>
  <c r="BU33" i="1"/>
  <c r="BL16" i="1"/>
  <c r="BJ33" i="1"/>
  <c r="BN33" i="1"/>
  <c r="BR33" i="1"/>
  <c r="BS16" i="1"/>
  <c r="BI33" i="1"/>
  <c r="BI16" i="1"/>
  <c r="BM16" i="1"/>
  <c r="BQ16" i="1"/>
  <c r="BU16" i="1"/>
  <c r="BL50" i="1"/>
  <c r="BP50" i="1"/>
  <c r="BT50" i="1"/>
  <c r="BO16" i="1"/>
  <c r="BQ33" i="1"/>
  <c r="BK33" i="1"/>
  <c r="BO33" i="1"/>
  <c r="BS33" i="1"/>
  <c r="BJ50" i="1"/>
  <c r="BJ16" i="1"/>
  <c r="BN16" i="1"/>
  <c r="BR16" i="1"/>
  <c r="BI50" i="1"/>
  <c r="BM50" i="1"/>
  <c r="BQ50" i="1"/>
  <c r="BU50" i="1"/>
  <c r="BR50" i="1"/>
  <c r="BL33" i="1"/>
  <c r="BP33" i="1"/>
  <c r="BT33" i="1"/>
  <c r="BE16" i="1"/>
  <c r="AY33" i="1"/>
  <c r="BA50" i="1"/>
  <c r="BE50" i="1"/>
  <c r="AV33" i="1"/>
  <c r="AZ33" i="1"/>
  <c r="BD33" i="1"/>
  <c r="BA16" i="1"/>
  <c r="BG33" i="1"/>
  <c r="AW50" i="1"/>
  <c r="AY16" i="1"/>
  <c r="BC16" i="1"/>
  <c r="BG16" i="1"/>
  <c r="AX50" i="1"/>
  <c r="BB50" i="1"/>
  <c r="BF50" i="1"/>
  <c r="AV50" i="1"/>
  <c r="AU33" i="1"/>
  <c r="AX16" i="1"/>
  <c r="AU16" i="1"/>
  <c r="AW33" i="1"/>
  <c r="BA33" i="1"/>
  <c r="BE33" i="1"/>
  <c r="AW16" i="1"/>
  <c r="AZ50" i="1"/>
  <c r="BC33" i="1"/>
  <c r="BB16" i="1"/>
  <c r="AZ16" i="1"/>
  <c r="BD16" i="1"/>
  <c r="AU50" i="1"/>
  <c r="AY50" i="1"/>
  <c r="BC50" i="1"/>
  <c r="BG50" i="1"/>
  <c r="BD50" i="1"/>
  <c r="BF16" i="1"/>
  <c r="AV16" i="1"/>
  <c r="AX33" i="1"/>
  <c r="BB33" i="1"/>
  <c r="BF33" i="1"/>
  <c r="AI16" i="1"/>
  <c r="AH50" i="1"/>
  <c r="AL50" i="1"/>
  <c r="AP50" i="1"/>
  <c r="AG33" i="1"/>
  <c r="AK33" i="1"/>
  <c r="AO33" i="1"/>
  <c r="AS33" i="1"/>
  <c r="AM16" i="1"/>
  <c r="AQ50" i="1"/>
  <c r="AP33" i="1"/>
  <c r="AG16" i="1"/>
  <c r="AK16" i="1"/>
  <c r="AO16" i="1"/>
  <c r="AS16" i="1"/>
  <c r="AJ50" i="1"/>
  <c r="AN50" i="1"/>
  <c r="AR50" i="1"/>
  <c r="AR16" i="1"/>
  <c r="AM50" i="1"/>
  <c r="AL33" i="1"/>
  <c r="AI33" i="1"/>
  <c r="AM33" i="1"/>
  <c r="AQ33" i="1"/>
  <c r="AJ16" i="1"/>
  <c r="AI50" i="1"/>
  <c r="AH16" i="1"/>
  <c r="AL16" i="1"/>
  <c r="AP16" i="1"/>
  <c r="AG50" i="1"/>
  <c r="AK50" i="1"/>
  <c r="AO50" i="1"/>
  <c r="AS50" i="1"/>
  <c r="AQ16" i="1"/>
  <c r="AN16" i="1"/>
  <c r="AH33" i="1"/>
  <c r="AJ33" i="1"/>
  <c r="AN33" i="1"/>
  <c r="AR33" i="1"/>
  <c r="X50" i="1"/>
  <c r="Z16" i="1"/>
  <c r="U50" i="1"/>
  <c r="AC50" i="1"/>
  <c r="T33" i="1"/>
  <c r="X33" i="1"/>
  <c r="AB33" i="1"/>
  <c r="U16" i="1"/>
  <c r="AB50" i="1"/>
  <c r="AE33" i="1"/>
  <c r="V16" i="1"/>
  <c r="Y50" i="1"/>
  <c r="W16" i="1"/>
  <c r="AA16" i="1"/>
  <c r="AE16" i="1"/>
  <c r="V50" i="1"/>
  <c r="Z50" i="1"/>
  <c r="AD50" i="1"/>
  <c r="AC16" i="1"/>
  <c r="W33" i="1"/>
  <c r="S16" i="1"/>
  <c r="U33" i="1"/>
  <c r="Y33" i="1"/>
  <c r="AC33" i="1"/>
  <c r="Y16" i="1"/>
  <c r="AA33" i="1"/>
  <c r="AD16" i="1"/>
  <c r="X16" i="1"/>
  <c r="AB16" i="1"/>
  <c r="S50" i="1"/>
  <c r="W50" i="1"/>
  <c r="AA50" i="1"/>
  <c r="AE50" i="1"/>
  <c r="T50" i="1"/>
  <c r="S33" i="1"/>
  <c r="T16" i="1"/>
  <c r="V33" i="1"/>
  <c r="Z33" i="1"/>
  <c r="AD33" i="1"/>
  <c r="O50" i="1"/>
  <c r="N50" i="1"/>
  <c r="F50" i="1"/>
  <c r="Q50" i="1"/>
  <c r="I50" i="1"/>
  <c r="K50" i="1"/>
  <c r="M50" i="1"/>
  <c r="G50" i="1"/>
  <c r="J50" i="1"/>
  <c r="P50" i="1"/>
  <c r="L50" i="1"/>
  <c r="H50" i="1"/>
  <c r="E50" i="1"/>
  <c r="Q33" i="1"/>
  <c r="M33" i="1"/>
  <c r="I33" i="1"/>
  <c r="H33" i="1"/>
  <c r="L33" i="1"/>
  <c r="P33" i="1"/>
  <c r="G33" i="1"/>
  <c r="O33" i="1"/>
  <c r="K33" i="1"/>
  <c r="N33" i="1"/>
  <c r="J33" i="1"/>
  <c r="F33" i="1"/>
  <c r="E33" i="1"/>
  <c r="J16" i="1"/>
  <c r="Q16" i="1"/>
  <c r="M16" i="1"/>
  <c r="I16" i="1"/>
  <c r="H16" i="1"/>
  <c r="F16" i="1"/>
  <c r="P16" i="1"/>
  <c r="L16" i="1"/>
  <c r="N16" i="1"/>
  <c r="O16" i="1"/>
  <c r="K16" i="1"/>
  <c r="G16" i="1"/>
  <c r="E16" i="1"/>
  <c r="K100" i="4" l="1" a="1"/>
  <c r="K100" i="4" s="1"/>
  <c r="M100" i="4" s="1"/>
  <c r="K68" i="4" a="1"/>
  <c r="K68" i="4" s="1"/>
  <c r="M68" i="4" s="1"/>
  <c r="K97" i="4" a="1"/>
  <c r="K97" i="4" s="1"/>
  <c r="M97" i="4" s="1"/>
  <c r="F72" i="4"/>
  <c r="J72" i="4" s="1" a="1"/>
  <c r="J72" i="4" s="1"/>
  <c r="E23" i="4" a="1"/>
  <c r="E23" i="4" s="1"/>
  <c r="E24" i="4" s="1"/>
  <c r="F81" i="4"/>
  <c r="J81" i="4" s="1" a="1"/>
  <c r="J81" i="4" s="1"/>
  <c r="F71" i="4"/>
  <c r="J71" i="4" s="1" a="1"/>
  <c r="J71" i="4" s="1"/>
  <c r="K73" i="4" a="1"/>
  <c r="K73" i="4" s="1"/>
  <c r="P73" i="4" s="1"/>
  <c r="K89" i="4" a="1"/>
  <c r="K89" i="4" s="1"/>
  <c r="L89" i="4" s="1"/>
  <c r="G96" i="4"/>
  <c r="G89" i="4"/>
  <c r="K95" i="4" a="1"/>
  <c r="K95" i="4" s="1"/>
  <c r="L95" i="4" s="1"/>
  <c r="G72" i="4"/>
  <c r="G83" i="4"/>
  <c r="G95" i="4"/>
  <c r="G71" i="4"/>
  <c r="K79" i="4" a="1"/>
  <c r="K79" i="4" s="1"/>
  <c r="L79" i="4" s="1"/>
  <c r="N79" i="4" s="1"/>
  <c r="G81" i="4"/>
  <c r="F80" i="4"/>
  <c r="K80" i="4" s="1" a="1"/>
  <c r="K80" i="4" s="1"/>
  <c r="G55" i="4"/>
  <c r="F101" i="4"/>
  <c r="K72" i="4" a="1"/>
  <c r="K72" i="4" s="1"/>
  <c r="F88" i="4"/>
  <c r="F87" i="4"/>
  <c r="K87" i="4" s="1" a="1"/>
  <c r="K87" i="4" s="1"/>
  <c r="F85" i="4"/>
  <c r="K85" i="4" s="1" a="1"/>
  <c r="K85" i="4" s="1"/>
  <c r="K83" i="4" a="1"/>
  <c r="K83" i="4" s="1"/>
  <c r="F67" i="4"/>
  <c r="F99" i="4"/>
  <c r="F21" i="3"/>
  <c r="K96" i="4" a="1"/>
  <c r="K96" i="4" s="1"/>
  <c r="F84" i="4"/>
  <c r="F69" i="4"/>
  <c r="F76" i="4"/>
  <c r="F77" i="4"/>
  <c r="F75" i="4"/>
  <c r="K64" i="4" a="1"/>
  <c r="K64" i="4" s="1"/>
  <c r="M64" i="4" s="1"/>
  <c r="F61" i="4"/>
  <c r="F60" i="4"/>
  <c r="F59" i="4"/>
  <c r="F65" i="4"/>
  <c r="F63" i="4"/>
  <c r="F56" i="4"/>
  <c r="F57" i="4"/>
  <c r="F91" i="4"/>
  <c r="F93" i="4"/>
  <c r="F92" i="4"/>
  <c r="K55" i="4" a="1"/>
  <c r="K55" i="4" s="1"/>
  <c r="Y47" i="3"/>
  <c r="AB47" i="3"/>
  <c r="AD47" i="3"/>
  <c r="Z47" i="3"/>
  <c r="AA47" i="3"/>
  <c r="AC47" i="3"/>
  <c r="AC48" i="3"/>
  <c r="AB48" i="3"/>
  <c r="AD48" i="3"/>
  <c r="Z48" i="3"/>
  <c r="Y48" i="3"/>
  <c r="AA48" i="3"/>
  <c r="AA45" i="3"/>
  <c r="AD45" i="3"/>
  <c r="Z45" i="3"/>
  <c r="Y45" i="3"/>
  <c r="AC45" i="3"/>
  <c r="AB45" i="3"/>
  <c r="AB38" i="3"/>
  <c r="AA38" i="3"/>
  <c r="Z38" i="3"/>
  <c r="AC38" i="3"/>
  <c r="AD38" i="3"/>
  <c r="Y38" i="3"/>
  <c r="AA44" i="3"/>
  <c r="AD44" i="3"/>
  <c r="Z44" i="3"/>
  <c r="Y44" i="3"/>
  <c r="AC44" i="3"/>
  <c r="AB44" i="3"/>
  <c r="L27" i="3" a="1"/>
  <c r="L27" i="3" s="1"/>
  <c r="AD50" i="3"/>
  <c r="Z50" i="3"/>
  <c r="Y50" i="3"/>
  <c r="AC50" i="3"/>
  <c r="AB50" i="3"/>
  <c r="AA50" i="3"/>
  <c r="L28" i="3" a="1"/>
  <c r="L28" i="3" s="1"/>
  <c r="AB46" i="3"/>
  <c r="AA46" i="3"/>
  <c r="AD46" i="3"/>
  <c r="Y46" i="3"/>
  <c r="Z46" i="3"/>
  <c r="AC46" i="3"/>
  <c r="AD19" i="3"/>
  <c r="Z19" i="3"/>
  <c r="AC19" i="3"/>
  <c r="AB19" i="3"/>
  <c r="AA19" i="3"/>
  <c r="AC41" i="3"/>
  <c r="AB41" i="3"/>
  <c r="AD41" i="3"/>
  <c r="Z41" i="3"/>
  <c r="Y41" i="3"/>
  <c r="AA41" i="3"/>
  <c r="AA31" i="3"/>
  <c r="AC31" i="3"/>
  <c r="AD31" i="3"/>
  <c r="Z31" i="3"/>
  <c r="AB31" i="3"/>
  <c r="L35" i="3" a="1"/>
  <c r="L35" i="3" s="1"/>
  <c r="AC49" i="3"/>
  <c r="AA49" i="3"/>
  <c r="AB49" i="3"/>
  <c r="AD49" i="3"/>
  <c r="Z49" i="3"/>
  <c r="Y49" i="3"/>
  <c r="AD18" i="3"/>
  <c r="Z18" i="3"/>
  <c r="AC18" i="3"/>
  <c r="Y18" i="3"/>
  <c r="AA18" i="3"/>
  <c r="AB18" i="3"/>
  <c r="L13" i="3" a="1"/>
  <c r="L13" i="3" s="1"/>
  <c r="K13" i="3" a="1"/>
  <c r="K13" i="3" s="1"/>
  <c r="AB43" i="3"/>
  <c r="AD43" i="3"/>
  <c r="Z43" i="3"/>
  <c r="Y43" i="3"/>
  <c r="AC43" i="3"/>
  <c r="AA43" i="3"/>
  <c r="AB39" i="3"/>
  <c r="AA39" i="3"/>
  <c r="Z39" i="3"/>
  <c r="AC39" i="3"/>
  <c r="AD39" i="3"/>
  <c r="Y39" i="3"/>
  <c r="AC40" i="3"/>
  <c r="AA40" i="3"/>
  <c r="AB40" i="3"/>
  <c r="AD40" i="3"/>
  <c r="Z40" i="3"/>
  <c r="Y40" i="3"/>
  <c r="AD13" i="3"/>
  <c r="Z13" i="3"/>
  <c r="AB13" i="3"/>
  <c r="AC13" i="3"/>
  <c r="AA13" i="3"/>
  <c r="AA30" i="3"/>
  <c r="AD30" i="3"/>
  <c r="Z30" i="3"/>
  <c r="Y30" i="3"/>
  <c r="AC30" i="3"/>
  <c r="AB30" i="3"/>
  <c r="AD42" i="3"/>
  <c r="Z42" i="3"/>
  <c r="Y42" i="3"/>
  <c r="AB42" i="3"/>
  <c r="AC42" i="3"/>
  <c r="AA42" i="3"/>
  <c r="L29" i="3" a="1"/>
  <c r="L29" i="3" s="1"/>
  <c r="L23" i="3" a="1"/>
  <c r="L23" i="3" s="1"/>
  <c r="L26" i="3" a="1"/>
  <c r="L26" i="3" s="1"/>
  <c r="L36" i="3" a="1"/>
  <c r="L36" i="3" s="1"/>
  <c r="D42" i="3"/>
  <c r="I42" i="3" s="1" a="1"/>
  <c r="I42" i="3" s="1"/>
  <c r="L33" i="3" a="1"/>
  <c r="L33" i="3" s="1"/>
  <c r="D49" i="3"/>
  <c r="I49" i="3" s="1" a="1"/>
  <c r="I49" i="3" s="1"/>
  <c r="D43" i="3"/>
  <c r="I43" i="3" s="1" a="1"/>
  <c r="I43" i="3" s="1"/>
  <c r="L25" i="3" a="1"/>
  <c r="L25" i="3" s="1"/>
  <c r="L22" i="3" a="1"/>
  <c r="L22" i="3" s="1"/>
  <c r="L37" i="3" a="1"/>
  <c r="L37" i="3" s="1"/>
  <c r="L16" i="3" a="1"/>
  <c r="L16" i="3" s="1"/>
  <c r="L17" i="3" a="1"/>
  <c r="L17" i="3" s="1"/>
  <c r="L20" i="3" a="1"/>
  <c r="L20" i="3" s="1"/>
  <c r="F30" i="3"/>
  <c r="K39" i="3" a="1"/>
  <c r="K39" i="3" s="1"/>
  <c r="L39" i="3" a="1"/>
  <c r="L39" i="3" s="1"/>
  <c r="F18" i="3"/>
  <c r="L24" i="3" a="1"/>
  <c r="L24" i="3" s="1"/>
  <c r="D31" i="3"/>
  <c r="I31" i="3" s="1" a="1"/>
  <c r="I31" i="3" s="1"/>
  <c r="L31" i="3" a="1"/>
  <c r="L31" i="3" s="1"/>
  <c r="K31" i="3" a="1"/>
  <c r="K31" i="3" s="1"/>
  <c r="L40" i="3" a="1"/>
  <c r="L40" i="3" s="1"/>
  <c r="K40" i="3" a="1"/>
  <c r="K40" i="3" s="1"/>
  <c r="K42" i="3" a="1"/>
  <c r="K42" i="3" s="1"/>
  <c r="L42" i="3" a="1"/>
  <c r="L42" i="3" s="1"/>
  <c r="L34" i="3" a="1"/>
  <c r="L34" i="3" s="1"/>
  <c r="L32" i="3" a="1"/>
  <c r="L32" i="3" s="1"/>
  <c r="K48" i="3" a="1"/>
  <c r="K48" i="3" s="1"/>
  <c r="L48" i="3" a="1"/>
  <c r="L48" i="3" s="1"/>
  <c r="K50" i="3" a="1"/>
  <c r="K50" i="3" s="1"/>
  <c r="L50" i="3" a="1"/>
  <c r="L50" i="3" s="1"/>
  <c r="K44" i="3" a="1"/>
  <c r="K44" i="3" s="1"/>
  <c r="L44" i="3" a="1"/>
  <c r="L44" i="3" s="1"/>
  <c r="L38" i="3" a="1"/>
  <c r="L38" i="3" s="1"/>
  <c r="K38" i="3" a="1"/>
  <c r="K38" i="3" s="1"/>
  <c r="D44" i="3"/>
  <c r="I44" i="3" s="1" a="1"/>
  <c r="I44" i="3" s="1"/>
  <c r="D41" i="3"/>
  <c r="I41" i="3" s="1" a="1"/>
  <c r="I41" i="3" s="1"/>
  <c r="L41" i="3" a="1"/>
  <c r="L41" i="3" s="1"/>
  <c r="K41" i="3" a="1"/>
  <c r="K41" i="3" s="1"/>
  <c r="L21" i="3" a="1"/>
  <c r="L21" i="3" s="1"/>
  <c r="F29" i="3"/>
  <c r="L46" i="3" a="1"/>
  <c r="L46" i="3" s="1"/>
  <c r="K46" i="3" a="1"/>
  <c r="K46" i="3" s="1"/>
  <c r="L49" i="3" a="1"/>
  <c r="L49" i="3" s="1"/>
  <c r="K49" i="3" a="1"/>
  <c r="K49" i="3" s="1"/>
  <c r="L15" i="3" a="1"/>
  <c r="L15" i="3" s="1"/>
  <c r="L30" i="3" a="1"/>
  <c r="L30" i="3" s="1"/>
  <c r="K30" i="3" a="1"/>
  <c r="K30" i="3" s="1"/>
  <c r="K47" i="3" a="1"/>
  <c r="K47" i="3" s="1"/>
  <c r="L47" i="3" a="1"/>
  <c r="L47" i="3" s="1"/>
  <c r="L18" i="3" a="1"/>
  <c r="L18" i="3" s="1"/>
  <c r="K18" i="3" a="1"/>
  <c r="K18" i="3" s="1"/>
  <c r="L43" i="3" a="1"/>
  <c r="L43" i="3" s="1"/>
  <c r="K43" i="3" a="1"/>
  <c r="K43" i="3" s="1"/>
  <c r="L14" i="3" a="1"/>
  <c r="L14" i="3" s="1"/>
  <c r="F14" i="3"/>
  <c r="K45" i="3" a="1"/>
  <c r="K45" i="3" s="1"/>
  <c r="L45" i="3" a="1"/>
  <c r="L45" i="3" s="1"/>
  <c r="D19" i="3"/>
  <c r="I19" i="3" s="1" a="1"/>
  <c r="I19" i="3" s="1"/>
  <c r="L19" i="3" a="1"/>
  <c r="L19" i="3" s="1"/>
  <c r="K19" i="3" a="1"/>
  <c r="K19" i="3" s="1"/>
  <c r="F44" i="3"/>
  <c r="F48" i="3"/>
  <c r="F50" i="3"/>
  <c r="F15" i="3"/>
  <c r="F20" i="3"/>
  <c r="F26" i="3"/>
  <c r="F47" i="3"/>
  <c r="F13" i="3"/>
  <c r="F36" i="3"/>
  <c r="F17" i="3"/>
  <c r="F35" i="3"/>
  <c r="D39" i="3"/>
  <c r="I39" i="3" s="1" a="1"/>
  <c r="I39" i="3" s="1"/>
  <c r="F39" i="3"/>
  <c r="F25" i="3"/>
  <c r="D50" i="3"/>
  <c r="I50" i="3" s="1" a="1"/>
  <c r="I50" i="3" s="1"/>
  <c r="D30" i="3"/>
  <c r="I30" i="3" s="1" a="1"/>
  <c r="I30" i="3" s="1"/>
  <c r="D47" i="3"/>
  <c r="I47" i="3" s="1" a="1"/>
  <c r="I47" i="3" s="1"/>
  <c r="F33" i="3"/>
  <c r="F38" i="3"/>
  <c r="D38" i="3"/>
  <c r="I38" i="3" s="1" a="1"/>
  <c r="I38" i="3" s="1"/>
  <c r="F31" i="3"/>
  <c r="F32" i="3"/>
  <c r="F27" i="3"/>
  <c r="F41" i="3"/>
  <c r="F28" i="3"/>
  <c r="F34" i="3"/>
  <c r="D48" i="3"/>
  <c r="I48" i="3" s="1" a="1"/>
  <c r="I48" i="3" s="1"/>
  <c r="F22" i="3"/>
  <c r="F49" i="3"/>
  <c r="F45" i="3"/>
  <c r="D45" i="3"/>
  <c r="I45" i="3" s="1" a="1"/>
  <c r="I45" i="3" s="1"/>
  <c r="F24" i="3"/>
  <c r="F23" i="3"/>
  <c r="D13" i="3"/>
  <c r="I13" i="3" s="1" a="1"/>
  <c r="I13" i="3" s="1"/>
  <c r="F46" i="3"/>
  <c r="D46" i="3"/>
  <c r="I46" i="3" s="1" a="1"/>
  <c r="I46" i="3" s="1"/>
  <c r="F37" i="3"/>
  <c r="D18" i="3"/>
  <c r="I18" i="3" s="1" a="1"/>
  <c r="I18" i="3" s="1"/>
  <c r="F43" i="3"/>
  <c r="F19" i="3"/>
  <c r="D40" i="3"/>
  <c r="I40" i="3" s="1" a="1"/>
  <c r="I40" i="3" s="1"/>
  <c r="F40" i="3"/>
  <c r="F42" i="3"/>
  <c r="Y11" i="3"/>
  <c r="J16" i="3" a="1"/>
  <c r="J16" i="3" s="1"/>
  <c r="AE39" i="1"/>
  <c r="AG5" i="1"/>
  <c r="AE22" i="1"/>
  <c r="EK7" i="1"/>
  <c r="EK6" i="1" s="1"/>
  <c r="EJ7" i="1"/>
  <c r="EJ6" i="1" s="1"/>
  <c r="EF7" i="1"/>
  <c r="EF6" i="1" s="1"/>
  <c r="EB7" i="1"/>
  <c r="EB6" i="1" s="1"/>
  <c r="EM7" i="1"/>
  <c r="EM6" i="1" s="1"/>
  <c r="EG7" i="1"/>
  <c r="EG6" i="1" s="1"/>
  <c r="DO7" i="1"/>
  <c r="DO6" i="1" s="1"/>
  <c r="EI7" i="1"/>
  <c r="EI6" i="1" s="1"/>
  <c r="EL7" i="1"/>
  <c r="EL6" i="1" s="1"/>
  <c r="EE7" i="1"/>
  <c r="EE6" i="1" s="1"/>
  <c r="EH7" i="1"/>
  <c r="EH6" i="1" s="1"/>
  <c r="EC7" i="1"/>
  <c r="EC6" i="1" s="1"/>
  <c r="EA7" i="1"/>
  <c r="EA6" i="1" s="1"/>
  <c r="ED7" i="1"/>
  <c r="ED6" i="1" s="1"/>
  <c r="DS7" i="1"/>
  <c r="DS6" i="1" s="1"/>
  <c r="DY7" i="1"/>
  <c r="DY6" i="1" s="1"/>
  <c r="DU7" i="1"/>
  <c r="DU6" i="1" s="1"/>
  <c r="DV7" i="1"/>
  <c r="DV6" i="1" s="1"/>
  <c r="CZ7" i="1"/>
  <c r="CZ6" i="1" s="1"/>
  <c r="DR7" i="1"/>
  <c r="DR6" i="1" s="1"/>
  <c r="DQ7" i="1"/>
  <c r="DQ6" i="1" s="1"/>
  <c r="DI7" i="1"/>
  <c r="DI6" i="1" s="1"/>
  <c r="DN7" i="1"/>
  <c r="DN6" i="1" s="1"/>
  <c r="DM7" i="1"/>
  <c r="DM6" i="1" s="1"/>
  <c r="DW7" i="1"/>
  <c r="DW6" i="1" s="1"/>
  <c r="DT7" i="1"/>
  <c r="DT6" i="1" s="1"/>
  <c r="DP7" i="1"/>
  <c r="DP6" i="1" s="1"/>
  <c r="DX7" i="1"/>
  <c r="DX6" i="1" s="1"/>
  <c r="CS7" i="1"/>
  <c r="CS6" i="1" s="1"/>
  <c r="DC7" i="1"/>
  <c r="DC6" i="1" s="1"/>
  <c r="DJ7" i="1"/>
  <c r="DJ6" i="1" s="1"/>
  <c r="CL7" i="1"/>
  <c r="CL6" i="1" s="1"/>
  <c r="CW7" i="1"/>
  <c r="CW6" i="1" s="1"/>
  <c r="DG7" i="1"/>
  <c r="DG6" i="1" s="1"/>
  <c r="DF7" i="1"/>
  <c r="DF6" i="1" s="1"/>
  <c r="CO7" i="1"/>
  <c r="CO6" i="1" s="1"/>
  <c r="DH7" i="1"/>
  <c r="DH6" i="1" s="1"/>
  <c r="CY7" i="1"/>
  <c r="CY6" i="1" s="1"/>
  <c r="DD7" i="1"/>
  <c r="DD6" i="1" s="1"/>
  <c r="DE7" i="1"/>
  <c r="DE6" i="1" s="1"/>
  <c r="DB7" i="1"/>
  <c r="DB6" i="1" s="1"/>
  <c r="DA7" i="1"/>
  <c r="DA6" i="1" s="1"/>
  <c r="DK7" i="1"/>
  <c r="DK6" i="1" s="1"/>
  <c r="CV7" i="1"/>
  <c r="CV6" i="1" s="1"/>
  <c r="CK7" i="1"/>
  <c r="CK6" i="1" s="1"/>
  <c r="CR7" i="1"/>
  <c r="CR6" i="1" s="1"/>
  <c r="CN7" i="1"/>
  <c r="CN6" i="1" s="1"/>
  <c r="CT7" i="1"/>
  <c r="CT6" i="1" s="1"/>
  <c r="CU7" i="1"/>
  <c r="CU6" i="1" s="1"/>
  <c r="CP7" i="1"/>
  <c r="CP6" i="1" s="1"/>
  <c r="CQ7" i="1"/>
  <c r="CQ6" i="1" s="1"/>
  <c r="CM7" i="1"/>
  <c r="CM6" i="1" s="1"/>
  <c r="BR7" i="1"/>
  <c r="BR6" i="1" s="1"/>
  <c r="BO7" i="1"/>
  <c r="BO6" i="1" s="1"/>
  <c r="CA7" i="1"/>
  <c r="CA6" i="1" s="1"/>
  <c r="CF7" i="1"/>
  <c r="CF6" i="1" s="1"/>
  <c r="BX7" i="1"/>
  <c r="BX6" i="1" s="1"/>
  <c r="CD7" i="1"/>
  <c r="CD6" i="1" s="1"/>
  <c r="CB7" i="1"/>
  <c r="CB6" i="1" s="1"/>
  <c r="CH7" i="1"/>
  <c r="CH6" i="1" s="1"/>
  <c r="BZ7" i="1"/>
  <c r="BZ6" i="1" s="1"/>
  <c r="BW7" i="1"/>
  <c r="BW6" i="1" s="1"/>
  <c r="CG7" i="1"/>
  <c r="CG6" i="1" s="1"/>
  <c r="CI7" i="1"/>
  <c r="CI6" i="1" s="1"/>
  <c r="CE7" i="1"/>
  <c r="CE6" i="1" s="1"/>
  <c r="CC7" i="1"/>
  <c r="CC6" i="1" s="1"/>
  <c r="BY7" i="1"/>
  <c r="BY6" i="1" s="1"/>
  <c r="BJ7" i="1"/>
  <c r="BJ6" i="1" s="1"/>
  <c r="BM7" i="1"/>
  <c r="BM6" i="1" s="1"/>
  <c r="BK7" i="1"/>
  <c r="BK6" i="1" s="1"/>
  <c r="BD7" i="1"/>
  <c r="BD6" i="1" s="1"/>
  <c r="BN7" i="1"/>
  <c r="BN6" i="1" s="1"/>
  <c r="BS7" i="1"/>
  <c r="BS6" i="1" s="1"/>
  <c r="BI7" i="1"/>
  <c r="BI6" i="1" s="1"/>
  <c r="BF7" i="1"/>
  <c r="BF6" i="1" s="1"/>
  <c r="AY7" i="1"/>
  <c r="AY6" i="1" s="1"/>
  <c r="BT7" i="1"/>
  <c r="BT6" i="1" s="1"/>
  <c r="BU7" i="1"/>
  <c r="BU6" i="1" s="1"/>
  <c r="BP7" i="1"/>
  <c r="BP6" i="1" s="1"/>
  <c r="BQ7" i="1"/>
  <c r="BQ6" i="1" s="1"/>
  <c r="BL7" i="1"/>
  <c r="BL6" i="1" s="1"/>
  <c r="BG7" i="1"/>
  <c r="BG6" i="1" s="1"/>
  <c r="AW7" i="1"/>
  <c r="AW6" i="1" s="1"/>
  <c r="BA7" i="1"/>
  <c r="BA6" i="1" s="1"/>
  <c r="AV7" i="1"/>
  <c r="AV6" i="1" s="1"/>
  <c r="AZ7" i="1"/>
  <c r="AZ6" i="1" s="1"/>
  <c r="AU7" i="1"/>
  <c r="AU6" i="1" s="1"/>
  <c r="BC7" i="1"/>
  <c r="BC6" i="1" s="1"/>
  <c r="BB7" i="1"/>
  <c r="BB6" i="1" s="1"/>
  <c r="AX7" i="1"/>
  <c r="AX6" i="1" s="1"/>
  <c r="BE7" i="1"/>
  <c r="BE6" i="1" s="1"/>
  <c r="AP7" i="1"/>
  <c r="AP6" i="1" s="1"/>
  <c r="AO7" i="1"/>
  <c r="AO6" i="1" s="1"/>
  <c r="AR7" i="1"/>
  <c r="AR6" i="1" s="1"/>
  <c r="AS7" i="1"/>
  <c r="AS6" i="1" s="1"/>
  <c r="AL7" i="1"/>
  <c r="AL6" i="1" s="1"/>
  <c r="AG7" i="1"/>
  <c r="AG6" i="1" s="1"/>
  <c r="AK7" i="1"/>
  <c r="AK6" i="1" s="1"/>
  <c r="AH7" i="1"/>
  <c r="AH6" i="1" s="1"/>
  <c r="AQ7" i="1"/>
  <c r="AQ6" i="1" s="1"/>
  <c r="AN7" i="1"/>
  <c r="AN6" i="1" s="1"/>
  <c r="AJ7" i="1"/>
  <c r="AJ6" i="1" s="1"/>
  <c r="AM7" i="1"/>
  <c r="AM6" i="1" s="1"/>
  <c r="AI7" i="1"/>
  <c r="AI6" i="1" s="1"/>
  <c r="S7" i="1"/>
  <c r="S6" i="1" s="1"/>
  <c r="U7" i="1"/>
  <c r="U6" i="1" s="1"/>
  <c r="AE7" i="1"/>
  <c r="AE6" i="1" s="1"/>
  <c r="AB7" i="1"/>
  <c r="AB6" i="1" s="1"/>
  <c r="T7" i="1"/>
  <c r="T6" i="1" s="1"/>
  <c r="X7" i="1"/>
  <c r="X6" i="1" s="1"/>
  <c r="AA7" i="1"/>
  <c r="AA6" i="1" s="1"/>
  <c r="W7" i="1"/>
  <c r="W6" i="1" s="1"/>
  <c r="AC7" i="1"/>
  <c r="AC6" i="1" s="1"/>
  <c r="AD7" i="1"/>
  <c r="AD6" i="1" s="1"/>
  <c r="V7" i="1"/>
  <c r="V6" i="1" s="1"/>
  <c r="Z7" i="1"/>
  <c r="Z6" i="1" s="1"/>
  <c r="Y7" i="1"/>
  <c r="Y6" i="1" s="1"/>
  <c r="E7" i="1"/>
  <c r="E6" i="1" s="1"/>
  <c r="M7" i="1"/>
  <c r="M6" i="1" s="1"/>
  <c r="P7" i="1"/>
  <c r="P6" i="1" s="1"/>
  <c r="H7" i="1"/>
  <c r="H6" i="1" s="1"/>
  <c r="O7" i="1"/>
  <c r="O6" i="1" s="1"/>
  <c r="F7" i="1"/>
  <c r="F6" i="1" s="1"/>
  <c r="G7" i="1"/>
  <c r="G6" i="1" s="1"/>
  <c r="I7" i="1"/>
  <c r="I6" i="1" s="1"/>
  <c r="K7" i="1"/>
  <c r="K6" i="1" s="1"/>
  <c r="Q7" i="1"/>
  <c r="Q6" i="1" s="1"/>
  <c r="N7" i="1"/>
  <c r="N6" i="1" s="1"/>
  <c r="J7" i="1"/>
  <c r="J6" i="1" s="1"/>
  <c r="L7" i="1"/>
  <c r="L6" i="1" s="1"/>
  <c r="P100" i="4" l="1"/>
  <c r="P68" i="4"/>
  <c r="L68" i="4"/>
  <c r="N68" i="4" s="1"/>
  <c r="L100" i="4"/>
  <c r="O100" i="4" s="1"/>
  <c r="L97" i="4"/>
  <c r="N97" i="4" s="1"/>
  <c r="P97" i="4"/>
  <c r="K81" i="4" a="1"/>
  <c r="K81" i="4" s="1"/>
  <c r="L81" i="4" s="1"/>
  <c r="N81" i="4" s="1"/>
  <c r="L73" i="4"/>
  <c r="N73" i="4" s="1"/>
  <c r="M73" i="4"/>
  <c r="P79" i="4"/>
  <c r="M89" i="4"/>
  <c r="K71" i="4" a="1"/>
  <c r="K71" i="4" s="1"/>
  <c r="M71" i="4" s="1"/>
  <c r="N89" i="4"/>
  <c r="P72" i="4"/>
  <c r="P95" i="4"/>
  <c r="M79" i="4"/>
  <c r="P96" i="4"/>
  <c r="P83" i="4"/>
  <c r="O95" i="4"/>
  <c r="M95" i="4"/>
  <c r="P89" i="4"/>
  <c r="L72" i="4"/>
  <c r="N72" i="4" s="1"/>
  <c r="J92" i="4" a="1"/>
  <c r="J92" i="4" s="1"/>
  <c r="G92" i="4"/>
  <c r="J60" i="4" a="1"/>
  <c r="J60" i="4" s="1"/>
  <c r="G60" i="4"/>
  <c r="J84" i="4" a="1"/>
  <c r="J84" i="4" s="1"/>
  <c r="G84" i="4"/>
  <c r="J85" i="4" a="1"/>
  <c r="J85" i="4" s="1"/>
  <c r="L85" i="4" s="1"/>
  <c r="G85" i="4"/>
  <c r="J80" i="4" a="1"/>
  <c r="J80" i="4" s="1"/>
  <c r="L80" i="4" s="1"/>
  <c r="G80" i="4"/>
  <c r="J59" i="4" a="1"/>
  <c r="J59" i="4" s="1"/>
  <c r="G59" i="4"/>
  <c r="J93" i="4" a="1"/>
  <c r="J93" i="4" s="1"/>
  <c r="G93" i="4"/>
  <c r="J61" i="4" a="1"/>
  <c r="J61" i="4" s="1"/>
  <c r="G61" i="4"/>
  <c r="J91" i="4" a="1"/>
  <c r="J91" i="4" s="1"/>
  <c r="G91" i="4"/>
  <c r="J87" i="4" a="1"/>
  <c r="J87" i="4" s="1"/>
  <c r="L87" i="4" s="1"/>
  <c r="G87" i="4"/>
  <c r="J88" i="4" a="1"/>
  <c r="J88" i="4" s="1"/>
  <c r="G88" i="4"/>
  <c r="J56" i="4" a="1"/>
  <c r="J56" i="4" s="1"/>
  <c r="G56" i="4"/>
  <c r="J63" i="4" a="1"/>
  <c r="J63" i="4" s="1"/>
  <c r="G63" i="4"/>
  <c r="J77" i="4" a="1"/>
  <c r="J77" i="4" s="1"/>
  <c r="G77" i="4"/>
  <c r="J67" i="4" a="1"/>
  <c r="J67" i="4" s="1"/>
  <c r="G67" i="4"/>
  <c r="J69" i="4" a="1"/>
  <c r="J69" i="4" s="1"/>
  <c r="G69" i="4"/>
  <c r="J57" i="4" a="1"/>
  <c r="J57" i="4" s="1"/>
  <c r="G57" i="4"/>
  <c r="P55" i="4"/>
  <c r="J75" i="4" a="1"/>
  <c r="J75" i="4" s="1"/>
  <c r="G75" i="4"/>
  <c r="J99" i="4" a="1"/>
  <c r="J99" i="4" s="1"/>
  <c r="G99" i="4"/>
  <c r="K88" i="4" a="1"/>
  <c r="K88" i="4" s="1"/>
  <c r="M72" i="4"/>
  <c r="J65" i="4" a="1"/>
  <c r="J65" i="4" s="1"/>
  <c r="G65" i="4"/>
  <c r="J76" i="4" a="1"/>
  <c r="J76" i="4" s="1"/>
  <c r="G76" i="4"/>
  <c r="K99" i="4" a="1"/>
  <c r="K99" i="4" s="1"/>
  <c r="J101" i="4" a="1"/>
  <c r="J101" i="4" s="1"/>
  <c r="G101" i="4"/>
  <c r="M83" i="4"/>
  <c r="L83" i="4"/>
  <c r="N83" i="4" s="1"/>
  <c r="K101" i="4" a="1"/>
  <c r="K101" i="4" s="1"/>
  <c r="K77" i="4" a="1"/>
  <c r="K77" i="4" s="1"/>
  <c r="K57" i="4" a="1"/>
  <c r="K57" i="4" s="1"/>
  <c r="P64" i="4"/>
  <c r="L64" i="4"/>
  <c r="O64" i="4" s="1"/>
  <c r="K69" i="4" a="1"/>
  <c r="K69" i="4" s="1"/>
  <c r="K67" i="4" a="1"/>
  <c r="K67" i="4" s="1"/>
  <c r="D32" i="3"/>
  <c r="I32" i="3" s="1" a="1"/>
  <c r="I32" i="3" s="1"/>
  <c r="L96" i="4"/>
  <c r="O96" i="4" s="1"/>
  <c r="M96" i="4"/>
  <c r="K75" i="4" a="1"/>
  <c r="K75" i="4" s="1"/>
  <c r="K84" i="4" a="1"/>
  <c r="K84" i="4" s="1"/>
  <c r="K76" i="4" a="1"/>
  <c r="K76" i="4" s="1"/>
  <c r="R89" i="4"/>
  <c r="Q79" i="4"/>
  <c r="R79" i="4"/>
  <c r="Q89" i="4"/>
  <c r="R95" i="4"/>
  <c r="Q95" i="4"/>
  <c r="K60" i="4" a="1"/>
  <c r="K60" i="4" s="1"/>
  <c r="K93" i="4" a="1"/>
  <c r="K93" i="4" s="1"/>
  <c r="K56" i="4" a="1"/>
  <c r="K56" i="4" s="1"/>
  <c r="K63" i="4" a="1"/>
  <c r="K63" i="4" s="1"/>
  <c r="K59" i="4" a="1"/>
  <c r="K59" i="4" s="1"/>
  <c r="K61" i="4" a="1"/>
  <c r="K61" i="4" s="1"/>
  <c r="K92" i="4" a="1"/>
  <c r="K92" i="4" s="1"/>
  <c r="K91" i="4" a="1"/>
  <c r="K91" i="4" s="1"/>
  <c r="K65" i="4" a="1"/>
  <c r="K65" i="4" s="1"/>
  <c r="M55" i="4"/>
  <c r="O79" i="4"/>
  <c r="O89" i="4"/>
  <c r="N95" i="4"/>
  <c r="L55" i="4"/>
  <c r="R55" i="4" s="1"/>
  <c r="X45" i="3"/>
  <c r="U45" i="3"/>
  <c r="R45" i="3"/>
  <c r="O45" i="3"/>
  <c r="W45" i="3"/>
  <c r="V45" i="3"/>
  <c r="S45" i="3"/>
  <c r="P45" i="3"/>
  <c r="T45" i="3"/>
  <c r="Q45" i="3"/>
  <c r="N45" i="3" a="1"/>
  <c r="N45" i="3" s="1"/>
  <c r="M45" i="3" a="1"/>
  <c r="M45" i="3" s="1"/>
  <c r="M32" i="3" a="1"/>
  <c r="M32" i="3" s="1"/>
  <c r="X37" i="3"/>
  <c r="U37" i="3"/>
  <c r="R37" i="3"/>
  <c r="O37" i="3"/>
  <c r="N37" i="3" a="1"/>
  <c r="N37" i="3" s="1"/>
  <c r="V37" i="3"/>
  <c r="S37" i="3"/>
  <c r="P37" i="3"/>
  <c r="M37" i="3" a="1"/>
  <c r="M37" i="3" s="1"/>
  <c r="T37" i="3"/>
  <c r="Q37" i="3"/>
  <c r="W37" i="3"/>
  <c r="N49" i="3" a="1"/>
  <c r="N49" i="3" s="1"/>
  <c r="W49" i="3"/>
  <c r="T49" i="3"/>
  <c r="Q49" i="3"/>
  <c r="U49" i="3"/>
  <c r="R49" i="3"/>
  <c r="V49" i="3"/>
  <c r="S49" i="3"/>
  <c r="P49" i="3"/>
  <c r="X49" i="3"/>
  <c r="O49" i="3"/>
  <c r="M49" i="3" a="1"/>
  <c r="M49" i="3" s="1"/>
  <c r="T31" i="3"/>
  <c r="Q31" i="3"/>
  <c r="N31" i="3" a="1"/>
  <c r="N31" i="3" s="1"/>
  <c r="V31" i="3"/>
  <c r="S31" i="3"/>
  <c r="P31" i="3"/>
  <c r="M31" i="3" a="1"/>
  <c r="M31" i="3" s="1"/>
  <c r="W31" i="3"/>
  <c r="O31" i="3"/>
  <c r="X31" i="3"/>
  <c r="U31" i="3"/>
  <c r="R31" i="3"/>
  <c r="T39" i="3"/>
  <c r="Q39" i="3"/>
  <c r="X39" i="3"/>
  <c r="U39" i="3"/>
  <c r="R39" i="3"/>
  <c r="V39" i="3"/>
  <c r="S39" i="3"/>
  <c r="O39" i="3"/>
  <c r="M39" i="3" a="1"/>
  <c r="M39" i="3" s="1"/>
  <c r="W39" i="3"/>
  <c r="P39" i="3"/>
  <c r="N39" i="3" a="1"/>
  <c r="N39" i="3" s="1"/>
  <c r="V42" i="3"/>
  <c r="S42" i="3"/>
  <c r="P42" i="3"/>
  <c r="R42" i="3"/>
  <c r="W42" i="3"/>
  <c r="N42" i="3" a="1"/>
  <c r="N42" i="3" s="1"/>
  <c r="T42" i="3"/>
  <c r="Q42" i="3"/>
  <c r="M42" i="3" a="1"/>
  <c r="M42" i="3" s="1"/>
  <c r="X42" i="3"/>
  <c r="U42" i="3"/>
  <c r="O42" i="3"/>
  <c r="X38" i="3"/>
  <c r="U38" i="3"/>
  <c r="R38" i="3"/>
  <c r="V38" i="3"/>
  <c r="S38" i="3"/>
  <c r="O38" i="3"/>
  <c r="P38" i="3"/>
  <c r="W38" i="3"/>
  <c r="T38" i="3"/>
  <c r="Q38" i="3"/>
  <c r="N38" i="3" a="1"/>
  <c r="N38" i="3" s="1"/>
  <c r="M38" i="3" a="1"/>
  <c r="M38" i="3" s="1"/>
  <c r="S29" i="3"/>
  <c r="P29" i="3"/>
  <c r="O29" i="3"/>
  <c r="X29" i="3"/>
  <c r="R29" i="3"/>
  <c r="W29" i="3"/>
  <c r="V29" i="3"/>
  <c r="T29" i="3"/>
  <c r="Q29" i="3"/>
  <c r="N29" i="3" a="1"/>
  <c r="N29" i="3" s="1"/>
  <c r="U29" i="3"/>
  <c r="M29" i="3" a="1"/>
  <c r="M29" i="3" s="1"/>
  <c r="W18" i="3"/>
  <c r="V18" i="3"/>
  <c r="X18" i="3"/>
  <c r="U18" i="3"/>
  <c r="T18" i="3"/>
  <c r="R18" i="3"/>
  <c r="Q18" i="3"/>
  <c r="S18" i="3"/>
  <c r="P18" i="3"/>
  <c r="O18" i="3"/>
  <c r="N18" i="3" a="1"/>
  <c r="N18" i="3" s="1"/>
  <c r="M18" i="3" a="1"/>
  <c r="M18" i="3" s="1"/>
  <c r="W40" i="3"/>
  <c r="T40" i="3"/>
  <c r="Q40" i="3"/>
  <c r="X40" i="3"/>
  <c r="U40" i="3"/>
  <c r="R40" i="3"/>
  <c r="V40" i="3"/>
  <c r="S40" i="3"/>
  <c r="P40" i="3"/>
  <c r="N40" i="3" a="1"/>
  <c r="N40" i="3" s="1"/>
  <c r="M40" i="3" a="1"/>
  <c r="M40" i="3" s="1"/>
  <c r="O40" i="3"/>
  <c r="P17" i="3"/>
  <c r="N17" i="3" a="1"/>
  <c r="N17" i="3" s="1"/>
  <c r="X17" i="3"/>
  <c r="U17" i="3"/>
  <c r="T17" i="3"/>
  <c r="R17" i="3"/>
  <c r="Q17" i="3"/>
  <c r="S17" i="3"/>
  <c r="O17" i="3"/>
  <c r="W17" i="3"/>
  <c r="V17" i="3"/>
  <c r="M17" i="3" a="1"/>
  <c r="M17" i="3" s="1"/>
  <c r="V50" i="3"/>
  <c r="S50" i="3"/>
  <c r="P50" i="3"/>
  <c r="U50" i="3"/>
  <c r="W50" i="3"/>
  <c r="T50" i="3"/>
  <c r="Q50" i="3"/>
  <c r="O50" i="3"/>
  <c r="N50" i="3" a="1"/>
  <c r="N50" i="3" s="1"/>
  <c r="X50" i="3"/>
  <c r="M50" i="3" a="1"/>
  <c r="M50" i="3" s="1"/>
  <c r="R50" i="3"/>
  <c r="W48" i="3"/>
  <c r="T48" i="3"/>
  <c r="Q48" i="3"/>
  <c r="N48" i="3" a="1"/>
  <c r="N48" i="3" s="1"/>
  <c r="O48" i="3"/>
  <c r="X48" i="3"/>
  <c r="U48" i="3"/>
  <c r="R48" i="3"/>
  <c r="M48" i="3" a="1"/>
  <c r="M48" i="3" s="1"/>
  <c r="V48" i="3"/>
  <c r="S48" i="3"/>
  <c r="P48" i="3"/>
  <c r="N46" i="3" a="1"/>
  <c r="N46" i="3" s="1"/>
  <c r="X46" i="3"/>
  <c r="U46" i="3"/>
  <c r="R46" i="3"/>
  <c r="M46" i="3" a="1"/>
  <c r="M46" i="3" s="1"/>
  <c r="O46" i="3"/>
  <c r="V46" i="3"/>
  <c r="S46" i="3"/>
  <c r="P46" i="3"/>
  <c r="W46" i="3"/>
  <c r="T46" i="3"/>
  <c r="Q46" i="3"/>
  <c r="M19" i="3" a="1"/>
  <c r="M19" i="3" s="1"/>
  <c r="U19" i="3"/>
  <c r="R19" i="3"/>
  <c r="W19" i="3"/>
  <c r="V19" i="3"/>
  <c r="T19" i="3"/>
  <c r="Q19" i="3"/>
  <c r="X19" i="3"/>
  <c r="S19" i="3"/>
  <c r="P19" i="3"/>
  <c r="O19" i="3"/>
  <c r="N19" i="3" a="1"/>
  <c r="N19" i="3" s="1"/>
  <c r="N41" i="3" a="1"/>
  <c r="N41" i="3" s="1"/>
  <c r="O41" i="3"/>
  <c r="W41" i="3"/>
  <c r="M41" i="3" a="1"/>
  <c r="M41" i="3" s="1"/>
  <c r="X41" i="3"/>
  <c r="T41" i="3"/>
  <c r="Q41" i="3"/>
  <c r="V41" i="3"/>
  <c r="S41" i="3"/>
  <c r="P41" i="3"/>
  <c r="U41" i="3"/>
  <c r="R41" i="3"/>
  <c r="N30" i="3" a="1"/>
  <c r="N30" i="3" s="1"/>
  <c r="S30" i="3"/>
  <c r="P30" i="3"/>
  <c r="M30" i="3" a="1"/>
  <c r="M30" i="3" s="1"/>
  <c r="O30" i="3"/>
  <c r="V30" i="3"/>
  <c r="W30" i="3"/>
  <c r="X30" i="3"/>
  <c r="U30" i="3"/>
  <c r="R30" i="3"/>
  <c r="T30" i="3"/>
  <c r="Q30" i="3"/>
  <c r="M13" i="3" a="1"/>
  <c r="M13" i="3" s="1"/>
  <c r="V13" i="3"/>
  <c r="S13" i="3"/>
  <c r="P13" i="3"/>
  <c r="T13" i="3"/>
  <c r="W13" i="3"/>
  <c r="X13" i="3"/>
  <c r="Y13" i="3" s="1"/>
  <c r="U13" i="3"/>
  <c r="R13" i="3"/>
  <c r="O13" i="3"/>
  <c r="N13" i="3" a="1"/>
  <c r="N13" i="3" s="1"/>
  <c r="Q13" i="3"/>
  <c r="O44" i="3"/>
  <c r="W44" i="3"/>
  <c r="T44" i="3"/>
  <c r="N44" i="3" a="1"/>
  <c r="N44" i="3" s="1"/>
  <c r="Q44" i="3"/>
  <c r="V44" i="3"/>
  <c r="S44" i="3"/>
  <c r="P44" i="3"/>
  <c r="X44" i="3"/>
  <c r="U44" i="3"/>
  <c r="R44" i="3"/>
  <c r="M44" i="3" a="1"/>
  <c r="M44" i="3" s="1"/>
  <c r="V43" i="3"/>
  <c r="S43" i="3"/>
  <c r="P43" i="3"/>
  <c r="Q43" i="3"/>
  <c r="W43" i="3"/>
  <c r="N43" i="3" a="1"/>
  <c r="N43" i="3" s="1"/>
  <c r="X43" i="3"/>
  <c r="U43" i="3"/>
  <c r="R43" i="3"/>
  <c r="O43" i="3"/>
  <c r="T43" i="3"/>
  <c r="M43" i="3" a="1"/>
  <c r="M43" i="3" s="1"/>
  <c r="T47" i="3"/>
  <c r="Q47" i="3"/>
  <c r="N47" i="3" a="1"/>
  <c r="N47" i="3" s="1"/>
  <c r="X47" i="3"/>
  <c r="U47" i="3"/>
  <c r="R47" i="3"/>
  <c r="M47" i="3" a="1"/>
  <c r="M47" i="3" s="1"/>
  <c r="P47" i="3"/>
  <c r="O47" i="3"/>
  <c r="S47" i="3"/>
  <c r="W47" i="3"/>
  <c r="V47" i="3"/>
  <c r="D20" i="3"/>
  <c r="N20" i="3" s="1" a="1"/>
  <c r="N20" i="3" s="1"/>
  <c r="D33" i="3"/>
  <c r="D34" i="3" s="1"/>
  <c r="D35" i="3" s="1"/>
  <c r="D14" i="3"/>
  <c r="D15" i="3" s="1"/>
  <c r="N15" i="3" s="1" a="1"/>
  <c r="N15" i="3" s="1"/>
  <c r="J17" i="3" a="1"/>
  <c r="J17" i="3" s="1"/>
  <c r="AS22" i="1"/>
  <c r="AU5" i="1"/>
  <c r="AS39" i="1"/>
  <c r="AS9" i="1"/>
  <c r="R97" i="4" l="1"/>
  <c r="N100" i="4"/>
  <c r="Q100" i="4"/>
  <c r="R100" i="4"/>
  <c r="O68" i="4"/>
  <c r="R68" i="4"/>
  <c r="Q68" i="4"/>
  <c r="Q97" i="4"/>
  <c r="O97" i="4"/>
  <c r="M81" i="4"/>
  <c r="O73" i="4"/>
  <c r="P81" i="4"/>
  <c r="Q73" i="4"/>
  <c r="R73" i="4"/>
  <c r="N32" i="3" a="1"/>
  <c r="N32" i="3" s="1"/>
  <c r="T32" i="3" s="1"/>
  <c r="L56" i="4"/>
  <c r="N56" i="4" s="1"/>
  <c r="P71" i="4"/>
  <c r="L71" i="4"/>
  <c r="N71" i="4" s="1"/>
  <c r="M87" i="4"/>
  <c r="N80" i="4"/>
  <c r="O72" i="4"/>
  <c r="R72" i="4"/>
  <c r="P61" i="4"/>
  <c r="Q72" i="4"/>
  <c r="Q80" i="4"/>
  <c r="L57" i="4"/>
  <c r="N57" i="4" s="1"/>
  <c r="O80" i="4"/>
  <c r="P87" i="4"/>
  <c r="M99" i="4"/>
  <c r="P99" i="4"/>
  <c r="L88" i="4"/>
  <c r="N88" i="4" s="1"/>
  <c r="L99" i="4"/>
  <c r="N99" i="4" s="1"/>
  <c r="P93" i="4"/>
  <c r="P88" i="4"/>
  <c r="P85" i="4"/>
  <c r="M85" i="4"/>
  <c r="P59" i="4"/>
  <c r="P67" i="4"/>
  <c r="R80" i="4"/>
  <c r="L69" i="4"/>
  <c r="N69" i="4" s="1"/>
  <c r="M88" i="4"/>
  <c r="P80" i="4"/>
  <c r="M80" i="4"/>
  <c r="Q81" i="4"/>
  <c r="R81" i="4"/>
  <c r="O83" i="4"/>
  <c r="R83" i="4"/>
  <c r="Q83" i="4"/>
  <c r="O81" i="4"/>
  <c r="N64" i="4"/>
  <c r="Q64" i="4"/>
  <c r="P57" i="4"/>
  <c r="R64" i="4"/>
  <c r="L101" i="4"/>
  <c r="M101" i="4"/>
  <c r="P101" i="4"/>
  <c r="M15" i="3" a="1"/>
  <c r="M15" i="3" s="1"/>
  <c r="V15" i="3" s="1"/>
  <c r="M57" i="4"/>
  <c r="P77" i="4"/>
  <c r="L77" i="4"/>
  <c r="M77" i="4"/>
  <c r="N96" i="4"/>
  <c r="O32" i="3"/>
  <c r="R96" i="4"/>
  <c r="I34" i="3" a="1"/>
  <c r="I34" i="3" s="1"/>
  <c r="Q96" i="4"/>
  <c r="M67" i="4"/>
  <c r="L67" i="4"/>
  <c r="P69" i="4"/>
  <c r="M69" i="4"/>
  <c r="M75" i="4"/>
  <c r="L75" i="4"/>
  <c r="P75" i="4"/>
  <c r="N14" i="3" a="1"/>
  <c r="N14" i="3" s="1"/>
  <c r="Q32" i="3"/>
  <c r="N33" i="3" a="1"/>
  <c r="N33" i="3" s="1"/>
  <c r="L84" i="4"/>
  <c r="M84" i="4"/>
  <c r="P76" i="4"/>
  <c r="L76" i="4"/>
  <c r="M76" i="4"/>
  <c r="P84" i="4"/>
  <c r="L91" i="4"/>
  <c r="P91" i="4"/>
  <c r="L60" i="4"/>
  <c r="N60" i="4" s="1"/>
  <c r="P60" i="4"/>
  <c r="N85" i="4"/>
  <c r="R85" i="4"/>
  <c r="Q85" i="4"/>
  <c r="L92" i="4"/>
  <c r="P92" i="4"/>
  <c r="L65" i="4"/>
  <c r="O65" i="4" s="1"/>
  <c r="P65" i="4"/>
  <c r="N87" i="4"/>
  <c r="Q87" i="4"/>
  <c r="R87" i="4"/>
  <c r="L63" i="4"/>
  <c r="P63" i="4"/>
  <c r="O87" i="4"/>
  <c r="M65" i="4"/>
  <c r="L93" i="4"/>
  <c r="M93" i="4"/>
  <c r="M91" i="4"/>
  <c r="L61" i="4"/>
  <c r="M61" i="4"/>
  <c r="M92" i="4"/>
  <c r="M59" i="4"/>
  <c r="L59" i="4"/>
  <c r="M60" i="4"/>
  <c r="O85" i="4"/>
  <c r="M63" i="4"/>
  <c r="M56" i="4"/>
  <c r="P56" i="4"/>
  <c r="Q55" i="4"/>
  <c r="O55" i="4"/>
  <c r="N55" i="4"/>
  <c r="M35" i="3" a="1"/>
  <c r="M35" i="3" s="1"/>
  <c r="N35" i="3" a="1"/>
  <c r="N35" i="3" s="1"/>
  <c r="M20" i="3" a="1"/>
  <c r="M20" i="3" s="1"/>
  <c r="M14" i="3" a="1"/>
  <c r="M14" i="3" s="1"/>
  <c r="M34" i="3" a="1"/>
  <c r="M34" i="3" s="1"/>
  <c r="M33" i="3" a="1"/>
  <c r="M33" i="3" s="1"/>
  <c r="V32" i="3"/>
  <c r="N34" i="3" a="1"/>
  <c r="N34" i="3" s="1"/>
  <c r="I14" i="3" a="1"/>
  <c r="I14" i="3" s="1"/>
  <c r="K14" i="3" s="1" a="1"/>
  <c r="K14" i="3" s="1"/>
  <c r="I20" i="3" a="1"/>
  <c r="I20" i="3" s="1"/>
  <c r="D21" i="3"/>
  <c r="I33" i="3" a="1"/>
  <c r="I33" i="3" s="1"/>
  <c r="D16" i="3"/>
  <c r="I15" i="3" a="1"/>
  <c r="I15" i="3" s="1"/>
  <c r="K15" i="3" s="1" a="1"/>
  <c r="K15" i="3" s="1"/>
  <c r="D36" i="3"/>
  <c r="I35" i="3" a="1"/>
  <c r="I35" i="3" s="1"/>
  <c r="J18" i="3" a="1"/>
  <c r="J18" i="3" s="1"/>
  <c r="BG39" i="1"/>
  <c r="BG22" i="1"/>
  <c r="BI5" i="1"/>
  <c r="BG9" i="1"/>
  <c r="R32" i="3"/>
  <c r="O56" i="4" l="1"/>
  <c r="Q56" i="4"/>
  <c r="R56" i="4"/>
  <c r="O71" i="4"/>
  <c r="R71" i="4"/>
  <c r="Q71" i="4"/>
  <c r="R57" i="4"/>
  <c r="O57" i="4"/>
  <c r="O88" i="4"/>
  <c r="Q88" i="4"/>
  <c r="Q57" i="4"/>
  <c r="R99" i="4"/>
  <c r="R88" i="4"/>
  <c r="O99" i="4"/>
  <c r="Q99" i="4"/>
  <c r="R69" i="4"/>
  <c r="O69" i="4"/>
  <c r="Q69" i="4"/>
  <c r="O15" i="3"/>
  <c r="T15" i="3"/>
  <c r="N101" i="4"/>
  <c r="O101" i="4"/>
  <c r="Q101" i="4"/>
  <c r="R101" i="4"/>
  <c r="Q15" i="3"/>
  <c r="O77" i="4"/>
  <c r="R77" i="4"/>
  <c r="Q77" i="4"/>
  <c r="N77" i="4"/>
  <c r="O67" i="4"/>
  <c r="R67" i="4"/>
  <c r="N67" i="4"/>
  <c r="Q67" i="4"/>
  <c r="N76" i="4"/>
  <c r="R76" i="4"/>
  <c r="Q76" i="4"/>
  <c r="O76" i="4"/>
  <c r="N84" i="4"/>
  <c r="O84" i="4"/>
  <c r="R84" i="4"/>
  <c r="Q84" i="4"/>
  <c r="O75" i="4"/>
  <c r="R75" i="4"/>
  <c r="N75" i="4"/>
  <c r="Q75" i="4"/>
  <c r="N92" i="4"/>
  <c r="R92" i="4"/>
  <c r="Q92" i="4"/>
  <c r="O92" i="4"/>
  <c r="N63" i="4"/>
  <c r="Q63" i="4"/>
  <c r="R63" i="4"/>
  <c r="R93" i="4"/>
  <c r="Q93" i="4"/>
  <c r="N91" i="4"/>
  <c r="Q91" i="4"/>
  <c r="R91" i="4"/>
  <c r="Q61" i="4"/>
  <c r="R61" i="4"/>
  <c r="O91" i="4"/>
  <c r="O63" i="4"/>
  <c r="O60" i="4"/>
  <c r="R60" i="4"/>
  <c r="Q60" i="4"/>
  <c r="Q59" i="4"/>
  <c r="R59" i="4"/>
  <c r="N65" i="4"/>
  <c r="R65" i="4"/>
  <c r="Q65" i="4"/>
  <c r="O61" i="4"/>
  <c r="N61" i="4"/>
  <c r="N59" i="4"/>
  <c r="O59" i="4"/>
  <c r="O93" i="4"/>
  <c r="N93" i="4"/>
  <c r="V33" i="3"/>
  <c r="Q33" i="3"/>
  <c r="T33" i="3"/>
  <c r="O33" i="3"/>
  <c r="N36" i="3" a="1"/>
  <c r="N36" i="3" s="1"/>
  <c r="M36" i="3" a="1"/>
  <c r="M36" i="3" s="1"/>
  <c r="N16" i="3" a="1"/>
  <c r="N16" i="3" s="1"/>
  <c r="M16" i="3" a="1"/>
  <c r="M16" i="3" s="1"/>
  <c r="Q34" i="3"/>
  <c r="O34" i="3"/>
  <c r="V34" i="3"/>
  <c r="T34" i="3"/>
  <c r="T14" i="3"/>
  <c r="O14" i="3"/>
  <c r="Q14" i="3"/>
  <c r="V14" i="3"/>
  <c r="N21" i="3" a="1"/>
  <c r="N21" i="3" s="1"/>
  <c r="M21" i="3" a="1"/>
  <c r="M21" i="3" s="1"/>
  <c r="T20" i="3"/>
  <c r="Q20" i="3"/>
  <c r="O20" i="3"/>
  <c r="V20" i="3"/>
  <c r="Q35" i="3"/>
  <c r="O35" i="3"/>
  <c r="T35" i="3"/>
  <c r="V35" i="3"/>
  <c r="D22" i="3"/>
  <c r="I21" i="3" a="1"/>
  <c r="I21" i="3" s="1"/>
  <c r="D37" i="3"/>
  <c r="I37" i="3" s="1" a="1"/>
  <c r="I37" i="3" s="1"/>
  <c r="K37" i="3" s="1" a="1"/>
  <c r="K37" i="3" s="1"/>
  <c r="I36" i="3" a="1"/>
  <c r="I36" i="3" s="1"/>
  <c r="D17" i="3"/>
  <c r="I17" i="3" s="1" a="1"/>
  <c r="I17" i="3" s="1"/>
  <c r="K17" i="3" s="1" a="1"/>
  <c r="K17" i="3" s="1"/>
  <c r="I16" i="3" a="1"/>
  <c r="I16" i="3" s="1"/>
  <c r="K16" i="3" s="1" a="1"/>
  <c r="K16" i="3" s="1"/>
  <c r="J19" i="3" a="1"/>
  <c r="J19" i="3" s="1"/>
  <c r="BU39" i="1"/>
  <c r="BW5" i="1"/>
  <c r="BU22" i="1"/>
  <c r="BU9" i="1"/>
  <c r="R15" i="3"/>
  <c r="R34" i="3"/>
  <c r="R33" i="3"/>
  <c r="R20" i="3"/>
  <c r="R14" i="3"/>
  <c r="R35" i="3"/>
  <c r="P14" i="3"/>
  <c r="P15" i="3"/>
  <c r="O36" i="3" l="1"/>
  <c r="T36" i="3"/>
  <c r="V36" i="3"/>
  <c r="Q36" i="3"/>
  <c r="M22" i="3" a="1"/>
  <c r="M22" i="3" s="1"/>
  <c r="N22" i="3" a="1"/>
  <c r="N22" i="3" s="1"/>
  <c r="O21" i="3"/>
  <c r="Q21" i="3"/>
  <c r="V21" i="3"/>
  <c r="T21" i="3"/>
  <c r="T16" i="3"/>
  <c r="Q16" i="3"/>
  <c r="O16" i="3"/>
  <c r="V16" i="3"/>
  <c r="S15" i="3"/>
  <c r="S14" i="3"/>
  <c r="D23" i="3"/>
  <c r="I22" i="3" a="1"/>
  <c r="I22" i="3" s="1"/>
  <c r="J20" i="3" a="1"/>
  <c r="J20" i="3" s="1"/>
  <c r="K20" i="3" s="1" a="1"/>
  <c r="K20" i="3" s="1"/>
  <c r="CI39" i="1"/>
  <c r="CK5" i="1"/>
  <c r="CI22" i="1"/>
  <c r="CI9" i="1"/>
  <c r="R36" i="3"/>
  <c r="R16" i="3"/>
  <c r="R21" i="3"/>
  <c r="P16" i="3"/>
  <c r="M23" i="3" l="1" a="1"/>
  <c r="M23" i="3" s="1"/>
  <c r="N23" i="3" a="1"/>
  <c r="N23" i="3" s="1"/>
  <c r="T22" i="3"/>
  <c r="Q22" i="3"/>
  <c r="V22" i="3"/>
  <c r="O22" i="3"/>
  <c r="S16" i="3"/>
  <c r="D24" i="3"/>
  <c r="I23" i="3" a="1"/>
  <c r="I23" i="3" s="1"/>
  <c r="J21" i="3" a="1"/>
  <c r="J21" i="3" s="1"/>
  <c r="K21" i="3" s="1" a="1"/>
  <c r="K21" i="3" s="1"/>
  <c r="CW22" i="1"/>
  <c r="CW9" i="1"/>
  <c r="CY5" i="1"/>
  <c r="CW39" i="1"/>
  <c r="R22" i="3"/>
  <c r="U14" i="3"/>
  <c r="U15" i="3"/>
  <c r="N24" i="3" l="1" a="1"/>
  <c r="N24" i="3" s="1"/>
  <c r="M24" i="3" a="1"/>
  <c r="M24" i="3" s="1"/>
  <c r="O23" i="3"/>
  <c r="V23" i="3"/>
  <c r="T23" i="3"/>
  <c r="Q23" i="3"/>
  <c r="I24" i="3" a="1"/>
  <c r="I24" i="3" s="1"/>
  <c r="D25" i="3"/>
  <c r="J22" i="3" a="1"/>
  <c r="J22" i="3" s="1"/>
  <c r="K22" i="3" s="1" a="1"/>
  <c r="K22" i="3" s="1"/>
  <c r="DK39" i="1"/>
  <c r="DK22" i="1"/>
  <c r="DM5" i="1"/>
  <c r="DK9" i="1"/>
  <c r="R23" i="3"/>
  <c r="W14" i="3"/>
  <c r="U16" i="3"/>
  <c r="W15" i="3"/>
  <c r="N25" i="3" l="1" a="1"/>
  <c r="N25" i="3" s="1"/>
  <c r="M25" i="3" a="1"/>
  <c r="M25" i="3" s="1"/>
  <c r="V24" i="3"/>
  <c r="Q24" i="3"/>
  <c r="T24" i="3"/>
  <c r="O24" i="3"/>
  <c r="X14" i="3"/>
  <c r="X15" i="3"/>
  <c r="D26" i="3"/>
  <c r="I25" i="3" a="1"/>
  <c r="I25" i="3" s="1"/>
  <c r="J23" i="3" a="1"/>
  <c r="J23" i="3" s="1"/>
  <c r="K23" i="3" s="1" a="1"/>
  <c r="K23" i="3" s="1"/>
  <c r="DY39" i="1"/>
  <c r="DY22" i="1"/>
  <c r="EA5" i="1"/>
  <c r="DY9" i="1"/>
  <c r="R24" i="3"/>
  <c r="W16" i="3"/>
  <c r="N26" i="3" l="1" a="1"/>
  <c r="N26" i="3" s="1"/>
  <c r="M26" i="3" a="1"/>
  <c r="M26" i="3" s="1"/>
  <c r="O25" i="3"/>
  <c r="T25" i="3"/>
  <c r="Q25" i="3"/>
  <c r="V25" i="3"/>
  <c r="X16" i="3"/>
  <c r="Y19" i="3" s="1"/>
  <c r="I26" i="3" a="1"/>
  <c r="I26" i="3" s="1"/>
  <c r="D27" i="3"/>
  <c r="J24" i="3" a="1"/>
  <c r="J24" i="3" s="1"/>
  <c r="K24" i="3" s="1" a="1"/>
  <c r="K24" i="3" s="1"/>
  <c r="EM9" i="1"/>
  <c r="EM39" i="1"/>
  <c r="EM22" i="1"/>
  <c r="R25" i="3"/>
  <c r="F41" i="4" l="1" a="1"/>
  <c r="F41" i="4" s="1"/>
  <c r="V26" i="3"/>
  <c r="T26" i="3"/>
  <c r="Q26" i="3"/>
  <c r="O26" i="3"/>
  <c r="M27" i="3" a="1"/>
  <c r="M27" i="3" s="1"/>
  <c r="N27" i="3" a="1"/>
  <c r="N27" i="3" s="1"/>
  <c r="AA17" i="3"/>
  <c r="Z17" i="3"/>
  <c r="Y17" i="3"/>
  <c r="D28" i="3"/>
  <c r="I27" i="3" a="1"/>
  <c r="I27" i="3" s="1"/>
  <c r="J25" i="3" a="1"/>
  <c r="J25" i="3" s="1"/>
  <c r="K25" i="3" s="1" a="1"/>
  <c r="K25" i="3" s="1"/>
  <c r="R26" i="3"/>
  <c r="Q27" i="3" l="1"/>
  <c r="O27" i="3"/>
  <c r="V27" i="3"/>
  <c r="T27" i="3"/>
  <c r="M28" i="3" a="1"/>
  <c r="M28" i="3" s="1"/>
  <c r="N28" i="3" a="1"/>
  <c r="N28" i="3" s="1"/>
  <c r="AD17" i="3"/>
  <c r="AB17" i="3"/>
  <c r="AC17" i="3"/>
  <c r="I28" i="3" a="1"/>
  <c r="I28" i="3" s="1"/>
  <c r="D29" i="3"/>
  <c r="I29" i="3" s="1" a="1"/>
  <c r="I29" i="3" s="1"/>
  <c r="K29" i="3" s="1" a="1"/>
  <c r="K29" i="3" s="1"/>
  <c r="J26" i="3" a="1"/>
  <c r="J26" i="3" s="1"/>
  <c r="K26" i="3" s="1" a="1"/>
  <c r="K26" i="3" s="1"/>
  <c r="R27" i="3"/>
  <c r="V28" i="3" l="1"/>
  <c r="Q28" i="3"/>
  <c r="O28" i="3"/>
  <c r="T28" i="3"/>
  <c r="J27" i="3" a="1"/>
  <c r="J27" i="3" s="1"/>
  <c r="K27" i="3" s="1" a="1"/>
  <c r="K27" i="3" s="1"/>
  <c r="R28" i="3"/>
  <c r="J28" i="3" l="1" a="1"/>
  <c r="J28" i="3" s="1"/>
  <c r="K28" i="3" s="1" a="1"/>
  <c r="K28" i="3" s="1"/>
  <c r="P27" i="3"/>
  <c r="P22" i="3"/>
  <c r="P20" i="3"/>
  <c r="P21" i="3"/>
  <c r="P25" i="3"/>
  <c r="P26" i="3"/>
  <c r="P24" i="3"/>
  <c r="P23" i="3"/>
  <c r="S26" i="3" l="1"/>
  <c r="S25" i="3"/>
  <c r="S23" i="3"/>
  <c r="S21" i="3"/>
  <c r="S20" i="3"/>
  <c r="S22" i="3"/>
  <c r="S24" i="3"/>
  <c r="S27" i="3"/>
  <c r="J29" i="3" a="1"/>
  <c r="J29" i="3" s="1"/>
  <c r="P28" i="3"/>
  <c r="S28" i="3" l="1"/>
  <c r="J30" i="3" a="1"/>
  <c r="J30" i="3" s="1"/>
  <c r="U23" i="3"/>
  <c r="U24" i="3"/>
  <c r="U27" i="3"/>
  <c r="U25" i="3"/>
  <c r="U26" i="3"/>
  <c r="U22" i="3"/>
  <c r="U20" i="3"/>
  <c r="U21" i="3"/>
  <c r="J31" i="3" l="1" a="1"/>
  <c r="J31" i="3" s="1"/>
  <c r="W20" i="3"/>
  <c r="U28" i="3"/>
  <c r="W21" i="3"/>
  <c r="W22" i="3"/>
  <c r="W27" i="3"/>
  <c r="W25" i="3"/>
  <c r="W26" i="3"/>
  <c r="W24" i="3"/>
  <c r="W23" i="3"/>
  <c r="X20" i="3" l="1"/>
  <c r="X24" i="3"/>
  <c r="X27" i="3"/>
  <c r="X23" i="3"/>
  <c r="X26" i="3"/>
  <c r="X22" i="3"/>
  <c r="X21" i="3"/>
  <c r="X25" i="3"/>
  <c r="J32" i="3" a="1"/>
  <c r="J32" i="3" s="1"/>
  <c r="K32" i="3" s="1" a="1"/>
  <c r="K32" i="3" s="1"/>
  <c r="W28" i="3"/>
  <c r="X28" i="3" l="1"/>
  <c r="J33" i="3" a="1"/>
  <c r="J33" i="3" s="1"/>
  <c r="K33" i="3" s="1" a="1"/>
  <c r="K33" i="3" s="1"/>
  <c r="Y29" i="3" l="1"/>
  <c r="AA29" i="3"/>
  <c r="Z29" i="3"/>
  <c r="Y31" i="3"/>
  <c r="J34" i="3" a="1"/>
  <c r="J34" i="3" s="1"/>
  <c r="K34" i="3" s="1" a="1"/>
  <c r="K34" i="3" s="1"/>
  <c r="AD29" i="3" l="1"/>
  <c r="AC29" i="3"/>
  <c r="AB29" i="3"/>
  <c r="J35" i="3" a="1"/>
  <c r="J35" i="3" s="1"/>
  <c r="K35" i="3" s="1" a="1"/>
  <c r="K35" i="3" s="1"/>
  <c r="J36" i="3" l="1" a="1"/>
  <c r="J36" i="3" s="1"/>
  <c r="K36" i="3" s="1" a="1"/>
  <c r="K36" i="3" s="1"/>
  <c r="P34" i="3"/>
  <c r="P33" i="3"/>
  <c r="P35" i="3"/>
  <c r="P32" i="3"/>
  <c r="S35" i="3" l="1"/>
  <c r="S33" i="3"/>
  <c r="S32" i="3"/>
  <c r="S34" i="3"/>
  <c r="J37" i="3" a="1"/>
  <c r="J37" i="3" s="1"/>
  <c r="P36" i="3"/>
  <c r="S36" i="3" l="1"/>
  <c r="J38" i="3" a="1"/>
  <c r="J38" i="3" s="1"/>
  <c r="U33" i="3"/>
  <c r="U32" i="3"/>
  <c r="U35" i="3"/>
  <c r="U34" i="3"/>
  <c r="J39" i="3" l="1" a="1"/>
  <c r="J39" i="3" s="1"/>
  <c r="W35" i="3"/>
  <c r="W33" i="3"/>
  <c r="W32" i="3"/>
  <c r="U36" i="3"/>
  <c r="W34" i="3"/>
  <c r="X32" i="3" l="1"/>
  <c r="X33" i="3"/>
  <c r="X34" i="3"/>
  <c r="X35" i="3"/>
  <c r="J40" i="3" a="1"/>
  <c r="J40" i="3" s="1"/>
  <c r="W36" i="3"/>
  <c r="F37" i="4" l="1" a="1"/>
  <c r="F37" i="4" s="1"/>
  <c r="J36" i="4" a="1"/>
  <c r="J36" i="4" s="1"/>
  <c r="AI20" i="3"/>
  <c r="AJ20" i="3"/>
  <c r="X36" i="3"/>
  <c r="F36" i="4" s="1" a="1"/>
  <c r="F36" i="4" s="1"/>
  <c r="J41" i="3" a="1"/>
  <c r="J41" i="3" s="1"/>
  <c r="AJ17" i="3" l="1"/>
  <c r="E36" i="4" a="1"/>
  <c r="E36" i="4" s="1"/>
  <c r="AI17" i="3" s="1"/>
  <c r="E37" i="4" a="1"/>
  <c r="E37" i="4" s="1"/>
  <c r="AI18" i="3" s="1"/>
  <c r="AJ18" i="3"/>
  <c r="J39" i="4" a="1"/>
  <c r="J39" i="4" s="1"/>
  <c r="J35" i="4" a="1"/>
  <c r="J35" i="4" s="1"/>
  <c r="N36" i="4" a="1"/>
  <c r="N36" i="4" s="1"/>
  <c r="M36" i="4" s="1" a="1"/>
  <c r="M36" i="4" s="1"/>
  <c r="AP30" i="3" s="1"/>
  <c r="F35" i="4" a="1"/>
  <c r="F35" i="4" s="1"/>
  <c r="I36" i="4" a="1"/>
  <c r="I36" i="4" s="1"/>
  <c r="AI30" i="3" s="1"/>
  <c r="AJ30" i="3"/>
  <c r="Z34" i="3"/>
  <c r="J37" i="4" a="1"/>
  <c r="J37" i="4" s="1"/>
  <c r="N39" i="4" a="1"/>
  <c r="N39" i="4" s="1"/>
  <c r="M39" i="4" s="1" a="1"/>
  <c r="M39" i="4" s="1"/>
  <c r="AP33" i="3" s="1"/>
  <c r="J38" i="4" a="1"/>
  <c r="J38" i="4" s="1"/>
  <c r="N37" i="4" a="1"/>
  <c r="N37" i="4" s="1"/>
  <c r="M37" i="4" s="1" a="1"/>
  <c r="M37" i="4" s="1"/>
  <c r="AP31" i="3" s="1"/>
  <c r="N35" i="4" a="1"/>
  <c r="N35" i="4" s="1"/>
  <c r="M35" i="4" s="1" a="1"/>
  <c r="M35" i="4" s="1"/>
  <c r="AP29" i="3" s="1"/>
  <c r="N41" i="4" a="1"/>
  <c r="N41" i="4" s="1"/>
  <c r="AQ35" i="3" s="1"/>
  <c r="N38" i="4" a="1"/>
  <c r="N38" i="4" s="1"/>
  <c r="AQ32" i="3" s="1"/>
  <c r="AI19" i="3"/>
  <c r="J41" i="4" a="1"/>
  <c r="J41" i="4" s="1"/>
  <c r="Y36" i="3"/>
  <c r="AJ22" i="3"/>
  <c r="AJ19" i="3"/>
  <c r="AA33" i="3"/>
  <c r="Y27" i="3"/>
  <c r="Y20" i="3"/>
  <c r="AA21" i="3"/>
  <c r="AA23" i="3"/>
  <c r="Z20" i="3"/>
  <c r="Y28" i="3"/>
  <c r="Y15" i="3"/>
  <c r="AA15" i="3"/>
  <c r="Y25" i="3"/>
  <c r="AA27" i="3"/>
  <c r="AA20" i="3"/>
  <c r="Z22" i="3"/>
  <c r="AA14" i="3"/>
  <c r="Z23" i="3"/>
  <c r="Y16" i="3"/>
  <c r="Y34" i="3"/>
  <c r="Y24" i="3"/>
  <c r="Y14" i="3"/>
  <c r="Z16" i="3"/>
  <c r="AA32" i="3"/>
  <c r="Y32" i="3"/>
  <c r="Y33" i="3"/>
  <c r="AA28" i="3"/>
  <c r="AA25" i="3"/>
  <c r="Y21" i="3"/>
  <c r="Z15" i="3"/>
  <c r="AA34" i="3"/>
  <c r="AA24" i="3"/>
  <c r="AA26" i="3"/>
  <c r="AA16" i="3"/>
  <c r="Y23" i="3"/>
  <c r="Z25" i="3"/>
  <c r="Z27" i="3"/>
  <c r="Y26" i="3"/>
  <c r="Z21" i="3"/>
  <c r="Z32" i="3"/>
  <c r="Z24" i="3"/>
  <c r="Z33" i="3"/>
  <c r="Z14" i="3"/>
  <c r="AA22" i="3"/>
  <c r="Y22" i="3"/>
  <c r="Z26" i="3"/>
  <c r="Z28" i="3"/>
  <c r="Z35" i="3"/>
  <c r="AA35" i="3"/>
  <c r="Y35" i="3"/>
  <c r="AA37" i="3"/>
  <c r="AA36" i="3"/>
  <c r="Z37" i="3"/>
  <c r="Z36" i="3"/>
  <c r="Y37" i="3"/>
  <c r="J42" i="3" a="1"/>
  <c r="J42" i="3" s="1"/>
  <c r="E27" i="4" l="1"/>
  <c r="E25" i="4"/>
  <c r="E26" i="4" s="1"/>
  <c r="AD34" i="3"/>
  <c r="AQ31" i="3"/>
  <c r="AQ33" i="3"/>
  <c r="AQ30" i="3"/>
  <c r="I37" i="4" a="1"/>
  <c r="I37" i="4" s="1"/>
  <c r="AI31" i="3" s="1"/>
  <c r="AJ31" i="3"/>
  <c r="AJ16" i="3"/>
  <c r="E35" i="4" a="1"/>
  <c r="E35" i="4" s="1"/>
  <c r="AI16" i="3" s="1"/>
  <c r="F40" i="4"/>
  <c r="I38" i="4" a="1"/>
  <c r="I38" i="4" s="1"/>
  <c r="AI32" i="3" s="1"/>
  <c r="AJ32" i="3"/>
  <c r="I35" i="4" a="1"/>
  <c r="I35" i="4" s="1"/>
  <c r="AI29" i="3" s="1"/>
  <c r="AJ29" i="3"/>
  <c r="I39" i="4" a="1"/>
  <c r="I39" i="4" s="1"/>
  <c r="AI33" i="3" s="1"/>
  <c r="AJ33" i="3"/>
  <c r="AB21" i="3"/>
  <c r="AB25" i="3"/>
  <c r="AQ29" i="3"/>
  <c r="N40" i="4"/>
  <c r="M40" i="4" s="1"/>
  <c r="AP34" i="3" s="1"/>
  <c r="M38" i="4" a="1"/>
  <c r="M38" i="4" s="1"/>
  <c r="AP32" i="3" s="1"/>
  <c r="AJ35" i="3"/>
  <c r="J40" i="4"/>
  <c r="I40" i="4" s="1"/>
  <c r="AC33" i="3"/>
  <c r="AB23" i="3"/>
  <c r="AC32" i="3"/>
  <c r="AB15" i="3"/>
  <c r="AB34" i="3"/>
  <c r="AC34" i="3"/>
  <c r="AD32" i="3"/>
  <c r="AB26" i="3"/>
  <c r="AB14" i="3"/>
  <c r="AB28" i="3"/>
  <c r="AB33" i="3"/>
  <c r="AD33" i="3"/>
  <c r="AC27" i="3"/>
  <c r="AD27" i="3"/>
  <c r="AD16" i="3"/>
  <c r="AC16" i="3"/>
  <c r="AD25" i="3"/>
  <c r="AC25" i="3"/>
  <c r="AD21" i="3"/>
  <c r="AB32" i="3"/>
  <c r="AB24" i="3"/>
  <c r="AD26" i="3"/>
  <c r="AC26" i="3"/>
  <c r="AD28" i="3"/>
  <c r="AC28" i="3"/>
  <c r="AC21" i="3"/>
  <c r="AD24" i="3"/>
  <c r="AC24" i="3"/>
  <c r="AD15" i="3"/>
  <c r="AC15" i="3"/>
  <c r="AD22" i="3"/>
  <c r="AC22" i="3"/>
  <c r="AD14" i="3"/>
  <c r="AC14" i="3"/>
  <c r="AD23" i="3"/>
  <c r="AB22" i="3"/>
  <c r="AB27" i="3"/>
  <c r="AC23" i="3"/>
  <c r="AB16" i="3"/>
  <c r="AC20" i="3"/>
  <c r="AD20" i="3"/>
  <c r="AB20" i="3"/>
  <c r="AD35" i="3"/>
  <c r="AC37" i="3"/>
  <c r="AD37" i="3"/>
  <c r="AD36" i="3"/>
  <c r="AC36" i="3"/>
  <c r="AB37" i="3"/>
  <c r="AB35" i="3"/>
  <c r="AC35" i="3"/>
  <c r="AB36" i="3"/>
  <c r="J43" i="3" a="1"/>
  <c r="J43" i="3" s="1"/>
  <c r="AJ21" i="3" l="1"/>
  <c r="E40" i="4"/>
  <c r="AI21" i="3" s="1"/>
  <c r="AQ34" i="3"/>
  <c r="AJ34" i="3"/>
  <c r="AI34" i="3"/>
  <c r="J44" i="3" a="1"/>
  <c r="J44" i="3" s="1"/>
  <c r="J45" i="3" l="1" a="1"/>
  <c r="J45" i="3" s="1"/>
  <c r="J46" i="3" l="1" a="1"/>
  <c r="J46" i="3" s="1"/>
  <c r="J47" i="3" l="1" a="1"/>
  <c r="J47" i="3" s="1"/>
  <c r="J48" i="3" l="1" a="1"/>
  <c r="J48" i="3" s="1"/>
  <c r="J50" i="3" l="1" a="1"/>
  <c r="J50" i="3" s="1"/>
  <c r="J49" i="3" a="1"/>
  <c r="J49" i="3"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<sst xmlns="http://schemas.openxmlformats.org/spreadsheetml/2006/main" count="299" uniqueCount="118">
  <si>
    <t>Budget Planning</t>
  </si>
  <si>
    <t>Settings</t>
  </si>
  <si>
    <t xml:space="preserve">General </t>
  </si>
  <si>
    <t>Starting Year:</t>
  </si>
  <si>
    <r>
      <t xml:space="preserve">Define starting year in Setting </t>
    </r>
    <r>
      <rPr>
        <sz val="11"/>
        <color theme="0" tint="-0.34998626667073579"/>
        <rFont val="Symbol"/>
        <family val="1"/>
        <charset val="2"/>
      </rPr>
      <t>Þ</t>
    </r>
  </si>
  <si>
    <t>Income</t>
  </si>
  <si>
    <t>Enter Income Category…</t>
  </si>
  <si>
    <t>Total</t>
  </si>
  <si>
    <t>Salary</t>
  </si>
  <si>
    <t>Dividends</t>
  </si>
  <si>
    <t>Parking rental</t>
  </si>
  <si>
    <t>Expenses</t>
  </si>
  <si>
    <t>Bond</t>
  </si>
  <si>
    <t>Levy</t>
  </si>
  <si>
    <t>Groceries</t>
  </si>
  <si>
    <t>Enter Expenses Category…</t>
  </si>
  <si>
    <t>Savings</t>
  </si>
  <si>
    <t>Emergency fund</t>
  </si>
  <si>
    <t>Retirement</t>
  </si>
  <si>
    <t>To be allocated:</t>
  </si>
  <si>
    <t>Transport</t>
  </si>
  <si>
    <t>Insurances</t>
  </si>
  <si>
    <t>Body Care &amp; Meds</t>
  </si>
  <si>
    <t>Meida</t>
  </si>
  <si>
    <t>Fun &amp; Holidays</t>
  </si>
  <si>
    <t>Clothing</t>
  </si>
  <si>
    <t>Sinking fund down payment</t>
  </si>
  <si>
    <t>Sinking fund rest</t>
  </si>
  <si>
    <t>Stock Portfolio</t>
  </si>
  <si>
    <t>Budget Tracking</t>
  </si>
  <si>
    <t>Date</t>
  </si>
  <si>
    <t>Type</t>
  </si>
  <si>
    <t>Category</t>
  </si>
  <si>
    <t>Amount</t>
  </si>
  <si>
    <t>Details</t>
  </si>
  <si>
    <t>Balance</t>
  </si>
  <si>
    <t>Effective Date</t>
  </si>
  <si>
    <t>Set the starting year (yyyy) once at the beginning and do not change again</t>
  </si>
  <si>
    <t>Budget Tracking Dashboard</t>
  </si>
  <si>
    <t>Late Monthly Income</t>
  </si>
  <si>
    <t>Shift late income</t>
  </si>
  <si>
    <t>Starting on day x in month:</t>
  </si>
  <si>
    <t>Activate this option to treat late income received on or after a certain day of the month for the next month. This is especially recommended in case you receive your monthly paycheck towards the end of the month and prefer to consider this income as the disposal incoome for the next month.</t>
  </si>
  <si>
    <t>Active</t>
  </si>
  <si>
    <t>Calculations</t>
  </si>
  <si>
    <t>Worksheet: Budget Tracking</t>
  </si>
  <si>
    <t>Today:</t>
  </si>
  <si>
    <t># Records this year:</t>
  </si>
  <si>
    <t># Records:</t>
  </si>
  <si>
    <t>Delta Last record:</t>
  </si>
  <si>
    <t>Last record:</t>
  </si>
  <si>
    <t>Tracking Balance:</t>
  </si>
  <si>
    <t>Balance Analysis Text:</t>
  </si>
  <si>
    <t>Budget Dashboard</t>
  </si>
  <si>
    <t>Year</t>
  </si>
  <si>
    <t>Select the year to view →</t>
  </si>
  <si>
    <t>Period</t>
  </si>
  <si>
    <t>Select the period to view →</t>
  </si>
  <si>
    <t>Dropdown Data</t>
  </si>
  <si>
    <t>Year Dropdown</t>
  </si>
  <si>
    <t>Current Year</t>
  </si>
  <si>
    <t>Period Dropdown</t>
  </si>
  <si>
    <t>Total Year</t>
  </si>
  <si>
    <t>Current Month</t>
  </si>
  <si>
    <t>Worksheet: Budget Dashboard</t>
  </si>
  <si>
    <t>Selected Year:</t>
  </si>
  <si>
    <t>Selected Period:</t>
  </si>
  <si>
    <t>Selected Period (Display):</t>
  </si>
  <si>
    <t>row_id</t>
  </si>
  <si>
    <t>header_row_id</t>
  </si>
  <si>
    <t>is_header</t>
  </si>
  <si>
    <t>is_cat</t>
  </si>
  <si>
    <t>is_total</t>
  </si>
  <si>
    <t>is_empty</t>
  </si>
  <si>
    <t>type</t>
  </si>
  <si>
    <t>item</t>
  </si>
  <si>
    <t>tracked</t>
  </si>
  <si>
    <t>budget</t>
  </si>
  <si>
    <t>sort_max_row</t>
  </si>
  <si>
    <t>sort_min_row</t>
  </si>
  <si>
    <t>tracked_range</t>
  </si>
  <si>
    <t>tranked_rank</t>
  </si>
  <si>
    <t>budget_range</t>
  </si>
  <si>
    <t>budget_rank</t>
  </si>
  <si>
    <t>comb_rank_range</t>
  </si>
  <si>
    <t>comb_rank_norm</t>
  </si>
  <si>
    <t>comb_rank_unqiue</t>
  </si>
  <si>
    <t>comb_rank</t>
  </si>
  <si>
    <t>comb_rank_norm_run_range</t>
  </si>
  <si>
    <t>sorted_row_id [Lookup]</t>
  </si>
  <si>
    <r>
      <rPr>
        <b/>
        <sz val="11"/>
        <color rgb="FF00B0F0"/>
        <rFont val="Calibri"/>
        <family val="2"/>
        <scheme val="minor"/>
      </rPr>
      <t>Chart Calculations:</t>
    </r>
    <r>
      <rPr>
        <sz val="11"/>
        <color rgb="FF00B0F0"/>
        <rFont val="Calibri"/>
        <family val="2"/>
        <scheme val="minor"/>
      </rPr>
      <t xml:space="preserve"> Category Distribution Chart</t>
    </r>
  </si>
  <si>
    <r>
      <rPr>
        <b/>
        <sz val="11"/>
        <color rgb="FF00B0F0"/>
        <rFont val="Calibri"/>
        <family val="2"/>
        <scheme val="minor"/>
      </rPr>
      <t>Chart Calculations:</t>
    </r>
    <r>
      <rPr>
        <sz val="11"/>
        <color rgb="FF00B0F0"/>
        <rFont val="Calibri"/>
        <family val="2"/>
        <scheme val="minor"/>
      </rPr>
      <t xml:space="preserve"> Tracked (vs. Budget) Chart</t>
    </r>
  </si>
  <si>
    <t>Month</t>
  </si>
  <si>
    <t>Month Num.</t>
  </si>
  <si>
    <t>In Focus</t>
  </si>
  <si>
    <t>Show Type</t>
  </si>
  <si>
    <t>Show Rem. Budget</t>
  </si>
  <si>
    <t>Tracked</t>
  </si>
  <si>
    <t>Budget</t>
  </si>
  <si>
    <t>Delta</t>
  </si>
  <si>
    <t>Period in Focus</t>
  </si>
  <si>
    <t>Remaining</t>
  </si>
  <si>
    <t>Excess</t>
  </si>
  <si>
    <t>In Budget</t>
  </si>
  <si>
    <t>Period not in Focus</t>
  </si>
  <si>
    <t>Show Income:</t>
  </si>
  <si>
    <t>Show Expense:</t>
  </si>
  <si>
    <t>Show Savings:</t>
  </si>
  <si>
    <t>Show Rem. Budget:</t>
  </si>
  <si>
    <t>Days in Period:</t>
  </si>
  <si>
    <t>Days passed in Period %:</t>
  </si>
  <si>
    <t>Days passed in Period:</t>
  </si>
  <si>
    <t>Period Tracking Balance:</t>
  </si>
  <si>
    <t>Period Savings Rate:</t>
  </si>
  <si>
    <t>KPI Calculation in Dashboard</t>
  </si>
  <si>
    <t xml:space="preserve">Savings Rate as % of income: </t>
  </si>
  <si>
    <t>Choose how you want the savings rate (SR) to be calculated in the dashboard KPI tiles: 
1) Active Option (% allocated to Savings):                SR = Savings / Income
2) Passive Option (% not allocated to Expenses):     SR = (Income - Expenses) / Income</t>
  </si>
  <si>
    <t>% allocated to Savings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</si>
</sst>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8">
    <numFmt numFmtId="43" formatCode="_-* #,##0.00_-;\-* #,##0.00_-;_-* &quot;-&quot;??_-;_-@_-"/>
    <numFmt numFmtId="164" formatCode="mmm"/>
    <numFmt numFmtId="165" formatCode="_-&quot;R&quot;* #,##0_-;\-&quot;R&quot;* #,##0_-;_-&quot;R&quot;* &quot;-&quot;??_-;_-@_-"/>
    <numFmt numFmtId="166" formatCode="d\-mmm\-yy"/>
    <numFmt numFmtId="167" formatCode="_-* #,##0_-;\-* #,##0_-;_-* &quot;-&quot;??_-;_-@_-"/>
    <numFmt numFmtId="168" formatCode="mmmm"/>
    <numFmt numFmtId="169" formatCode="0;[Red]0"/>
    <numFmt numFmtId="174" formatCode="0.0%"/>
  </numFmts>
  <fonts count="28" x14ac:knownFonts="1">
    <font>
      <sz val="11"/>
      <color theme="1"/>
      <name val="Calibri"/>
      <family val="2"/>
      <scheme val="minor"/>
    </font>
    <font>
      <b/>
      <sz val="11"/>
      <color theme="0"/>
      <name val="Calibri"/>
      <family val="2"/>
      <scheme val="minor"/>
    </font>
    <font>
      <b/>
      <sz val="11"/>
      <color theme="1"/>
      <name val="Calibri"/>
      <family val="2"/>
      <scheme val="minor"/>
    </font>
    <font>
      <b/>
      <sz val="14"/>
      <color theme="0"/>
      <name val="Calibri"/>
      <family val="2"/>
      <scheme val="minor"/>
    </font>
    <font>
      <sz val="10"/>
      <color theme="1"/>
      <name val="Calibri"/>
      <family val="2"/>
      <scheme val="minor"/>
    </font>
    <font>
      <sz val="9"/>
      <color theme="1"/>
      <name val="Calibri"/>
      <family val="2"/>
      <scheme val="minor"/>
    </font>
    <font>
      <i/>
      <sz val="9"/>
      <color theme="0" tint="-0.499984740745262"/>
      <name val="Calibri"/>
      <family val="2"/>
      <scheme val="minor"/>
    </font>
    <font>
      <sz val="11"/>
      <color theme="0" tint="-0.34998626667073579"/>
      <name val="Symbol"/>
      <family val="1"/>
      <charset val="2"/>
    </font>
    <font>
      <sz val="11"/>
      <color theme="0" tint="-0.34998626667073579"/>
      <name val="Calibri"/>
      <family val="2"/>
      <scheme val="minor"/>
    </font>
    <font>
      <b/>
      <sz val="10"/>
      <color theme="0"/>
      <name val="Calibri"/>
      <family val="2"/>
      <scheme val="minor"/>
    </font>
    <font>
      <i/>
      <sz val="11"/>
      <color theme="1"/>
      <name val="Calibri"/>
      <family val="2"/>
      <scheme val="minor"/>
    </font>
    <font>
      <b/>
      <sz val="9"/>
      <color theme="1"/>
      <name val="Calibri"/>
      <family val="2"/>
      <scheme val="minor"/>
    </font>
    <font>
      <sz val="10"/>
      <name val="Calibri"/>
      <family val="2"/>
      <scheme val="minor"/>
    </font>
    <font>
      <b/>
      <sz val="16"/>
      <color theme="0"/>
      <name val="Calibri"/>
      <family val="2"/>
      <scheme val="minor"/>
    </font>
    <font>
      <sz val="11"/>
      <color theme="0" tint="-0.499984740745262"/>
      <name val="Calibri"/>
      <family val="2"/>
      <scheme val="minor"/>
    </font>
    <font>
      <sz val="11"/>
      <color theme="1"/>
      <name val="Calibri"/>
      <family val="2"/>
      <scheme val="minor"/>
    </font>
    <font>
      <b/>
      <sz val="11"/>
      <color rgb="FF7030A0"/>
      <name val="Calibri"/>
      <family val="2"/>
      <scheme val="minor"/>
    </font>
    <font>
      <sz val="10"/>
      <color theme="0" tint="-0.499984740745262"/>
      <name val="Calibri"/>
      <family val="2"/>
      <scheme val="minor"/>
    </font>
    <font>
      <b/>
      <sz val="22"/>
      <color theme="1"/>
      <name val="Calibri"/>
      <family val="2"/>
      <scheme val="minor"/>
    </font>
    <font>
      <b/>
      <sz val="22"/>
      <color theme="0"/>
      <name val="Calibri"/>
      <family val="2"/>
      <scheme val="minor"/>
    </font>
    <font>
      <i/>
      <sz val="11"/>
      <color theme="0" tint="-0.499984740745262"/>
      <name val="Calibri"/>
      <family val="2"/>
      <scheme val="minor"/>
    </font>
    <font>
      <sz val="8"/>
      <color theme="1"/>
      <name val="Calibri"/>
      <family val="2"/>
      <scheme val="minor"/>
    </font>
    <font>
      <sz val="11"/>
      <color rgb="FF00B0F0"/>
      <name val="Calibri"/>
      <family val="2"/>
      <scheme val="minor"/>
    </font>
    <font>
      <b/>
      <sz val="11"/>
      <color rgb="FF00B0F0"/>
      <name val="Calibri"/>
      <family val="2"/>
      <scheme val="minor"/>
    </font>
    <font>
      <sz val="8"/>
      <name val="Calibri"/>
      <family val="2"/>
      <scheme val="minor"/>
    </font>
    <font>
      <b/>
      <sz val="10"/>
      <color theme="1"/>
      <name val="Calibri"/>
      <family val="2"/>
      <scheme val="minor"/>
    </font>
    <font>
      <sz val="8"/>
      <name val="Segoe UI"/>
      <family val="2"/>
    </font>
    <font>
      <b/>
      <sz val="11"/>
      <name val="Calibri"/>
      <family val="2"/>
      <scheme val="minor"/>
    </font>
  </fonts>
  <fills count="12">
    <fill>
      <patternFill patternType="none"/>
    </fill>
    <fill>
      <patternFill patternType="gray125"/>
    </fill>
    <fill>
      <patternFill patternType="solid">
        <fgColor theme="3" tint="-0.249977111117893"/>
        <bgColor indexed="64"/>
      </patternFill>
    </fill>
    <fill>
      <patternFill patternType="solid">
        <fgColor theme="4" tint="0.39997558519241921"/>
        <bgColor indexed="64"/>
      </patternFill>
    </fill>
    <fill>
      <patternFill patternType="solid">
        <fgColor rgb="FF00B050"/>
        <bgColor indexed="64"/>
      </patternFill>
    </fill>
    <fill>
      <patternFill patternType="solid">
        <fgColor theme="0" tint="-0.249977111117893"/>
        <bgColor indexed="64"/>
      </patternFill>
    </fill>
    <fill>
      <patternFill patternType="solid">
        <fgColor theme="0" tint="-4.9989318521683403E-2"/>
        <bgColor indexed="64"/>
      </patternFill>
    </fill>
    <fill>
      <patternFill patternType="solid">
        <fgColor rgb="FFFF33CC"/>
        <bgColor indexed="64"/>
      </patternFill>
    </fill>
    <fill>
      <patternFill patternType="solid">
        <fgColor rgb="FF00B0F0"/>
        <bgColor indexed="64"/>
      </patternFill>
    </fill>
    <fill>
      <patternFill patternType="solid">
        <fgColor theme="3"/>
        <bgColor indexed="64"/>
      </patternFill>
    </fill>
    <fill>
      <patternFill patternType="solid">
        <fgColor theme="9" tint="0.79998168889431442"/>
        <bgColor indexed="64"/>
      </patternFill>
    </fill>
    <fill>
      <patternFill patternType="solid">
        <fgColor rgb="FF002060"/>
        <bgColor indexed="64"/>
      </patternFill>
    </fill>
  </fills>
  <borders count="30">
    <border>
      <left/>
      <right/>
      <top/>
      <bottom/>
      <diagonal/>
    </border>
    <border>
      <left style="thin">
        <color theme="0" tint="-0.24994659260841701"/>
      </left>
      <right/>
      <top/>
      <bottom/>
      <diagonal/>
    </border>
    <border>
      <left style="thin">
        <color theme="0" tint="-0.24994659260841701"/>
      </left>
      <right/>
      <top/>
      <bottom style="thin">
        <color theme="0" tint="-0.24994659260841701"/>
      </bottom>
      <diagonal/>
    </border>
    <border>
      <left/>
      <right/>
      <top/>
      <bottom style="thin">
        <color theme="0" tint="-0.2499465926084170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14996795556505021"/>
      </left>
      <right/>
      <top style="thin">
        <color theme="0" tint="-0.14996795556505021"/>
      </top>
      <bottom/>
      <diagonal/>
    </border>
    <border>
      <left/>
      <right/>
      <top style="thin">
        <color theme="0" tint="-0.14996795556505021"/>
      </top>
      <bottom/>
      <diagonal/>
    </border>
    <border>
      <left/>
      <right style="thin">
        <color theme="0" tint="-0.14996795556505021"/>
      </right>
      <top style="thin">
        <color theme="0" tint="-0.14996795556505021"/>
      </top>
      <bottom/>
      <diagonal/>
    </border>
    <border>
      <left style="thin">
        <color theme="0" tint="-0.24994659260841701"/>
      </left>
      <right/>
      <top style="thin">
        <color theme="0" tint="-0.24994659260841701"/>
      </top>
      <bottom/>
      <diagonal/>
    </border>
    <border>
      <left/>
      <right/>
      <top style="thin">
        <color theme="0" tint="-0.24994659260841701"/>
      </top>
      <bottom/>
      <diagonal/>
    </border>
    <border>
      <left/>
      <right style="thin">
        <color theme="0" tint="-0.24994659260841701"/>
      </right>
      <top style="thin">
        <color theme="0" tint="-0.24994659260841701"/>
      </top>
      <bottom/>
      <diagonal/>
    </border>
    <border>
      <left/>
      <right style="thin">
        <color theme="0" tint="-0.24994659260841701"/>
      </right>
      <top/>
      <bottom/>
      <diagonal/>
    </border>
    <border>
      <left/>
      <right style="thin">
        <color theme="0" tint="-0.24994659260841701"/>
      </right>
      <top/>
      <bottom style="thin">
        <color theme="0" tint="-0.24994659260841701"/>
      </bottom>
      <diagonal/>
    </border>
    <border>
      <left style="thin">
        <color theme="0" tint="-0.14996795556505021"/>
      </left>
      <right/>
      <top style="thin">
        <color theme="0" tint="-0.14996795556505021"/>
      </top>
      <bottom style="thin">
        <color theme="0" tint="-0.14996795556505021"/>
      </bottom>
      <diagonal/>
    </border>
    <border>
      <left/>
      <right style="thin">
        <color theme="0" tint="-0.14996795556505021"/>
      </right>
      <top style="thin">
        <color theme="0" tint="-0.14996795556505021"/>
      </top>
      <bottom style="thin">
        <color theme="0" tint="-0.14996795556505021"/>
      </bottom>
      <diagonal/>
    </border>
    <border>
      <left style="thin">
        <color theme="0" tint="-0.24994659260841701"/>
      </left>
      <right style="thin">
        <color theme="0" tint="-0.24994659260841701"/>
      </right>
      <top style="thin">
        <color theme="0" tint="-0.24994659260841701"/>
      </top>
      <bottom/>
      <diagonal/>
    </border>
    <border>
      <left style="thin">
        <color theme="0" tint="-0.24994659260841701"/>
      </left>
      <right style="thin">
        <color theme="0" tint="-0.24994659260841701"/>
      </right>
      <top/>
      <bottom/>
      <diagonal/>
    </border>
    <border>
      <left style="thin">
        <color theme="0" tint="-0.24994659260841701"/>
      </left>
      <right style="thin">
        <color theme="0" tint="-0.24994659260841701"/>
      </right>
      <top/>
      <bottom style="thin">
        <color theme="0" tint="-0.24994659260841701"/>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diagonal/>
    </border>
    <border>
      <left style="thin">
        <color theme="0" tint="-0.34998626667073579"/>
      </left>
      <right style="thin">
        <color theme="0" tint="-0.34998626667073579"/>
      </right>
      <top/>
      <bottom style="thin">
        <color theme="0" tint="-0.34998626667073579"/>
      </bottom>
      <diagonal/>
    </border>
    <border>
      <left/>
      <right/>
      <top/>
      <bottom style="thin">
        <color theme="0" tint="-0.34998626667073579"/>
      </bottom>
      <diagonal/>
    </border>
    <border>
      <left style="thin">
        <color theme="0" tint="-0.499984740745262"/>
      </left>
      <right style="thin">
        <color theme="0" tint="-0.499984740745262"/>
      </right>
      <top/>
      <bottom/>
      <diagonal/>
    </border>
    <border>
      <left style="thin">
        <color theme="0" tint="-0.499984740745262"/>
      </left>
      <right/>
      <top/>
      <bottom/>
      <diagonal/>
    </border>
    <border>
      <left/>
      <right style="thin">
        <color theme="0" tint="-0.499984740745262"/>
      </right>
      <top/>
      <bottom/>
      <diagonal/>
    </border>
    <border>
      <left/>
      <right/>
      <top style="thin">
        <color theme="0" tint="-0.24994659260841701"/>
      </top>
      <bottom style="thin">
        <color theme="0" tint="-0.24994659260841701"/>
      </bottom>
      <diagonal/>
    </border>
    <border>
      <left/>
      <right/>
      <top/>
      <bottom style="thin">
        <color indexed="64"/>
      </bottom>
      <diagonal/>
    </border>
    <border>
      <left/>
      <right/>
      <top style="dotted">
        <color auto="1"/>
      </top>
      <bottom style="double">
        <color auto="1"/>
      </bottom>
      <diagonal/>
    </border>
    <border>
      <left/>
      <right/>
      <top style="thin">
        <color auto="1"/>
      </top>
      <bottom/>
      <diagonal/>
    </border>
    <border>
      <left/>
      <right/>
      <top style="hair">
        <color auto="1"/>
      </top>
      <bottom/>
      <diagonal/>
    </border>
  </borders>
  <cellStyleXfs count="3">
    <xf numFmtId="0" fontId="0" fillId="0" borderId="0"/>
    <xf numFmtId="43" fontId="15" fillId="0" borderId="0" applyFont="0" applyFill="0" applyBorder="0" applyAlignment="0" applyProtection="0"/>
    <xf numFmtId="9" fontId="15" fillId="0" borderId="0" applyFont="0" applyFill="0" applyBorder="0" applyAlignment="0" applyProtection="0"/>
  </cellStyleXfs>
  <cellXfs count="118">
    <xf numFmtId="0" fontId="0" fillId="0" borderId="0" xfId="0"/>
    <xf numFmtId="0" fontId="0" fillId="0" borderId="1" xfId="0" applyBorder="1"/>
    <xf numFmtId="0" fontId="0" fillId="0" borderId="0" xfId="0" applyBorder="1"/>
    <xf numFmtId="0" fontId="0" fillId="0" borderId="2" xfId="0" applyBorder="1"/>
    <xf numFmtId="0" fontId="0" fillId="0" borderId="3" xfId="0" applyBorder="1"/>
    <xf numFmtId="0" fontId="0" fillId="3" borderId="0" xfId="0" applyFill="1" applyBorder="1" applyAlignment="1">
      <alignment horizontal="center" vertical="center"/>
    </xf>
    <xf numFmtId="0" fontId="6" fillId="0" borderId="0" xfId="0" applyFont="1" applyBorder="1"/>
    <xf numFmtId="0" fontId="8" fillId="0" borderId="0" xfId="0" applyFont="1" applyAlignment="1">
      <alignment horizontal="right" vertical="center"/>
    </xf>
    <xf numFmtId="0" fontId="2" fillId="0" borderId="0" xfId="0" applyFont="1" applyAlignment="1">
      <alignment horizontal="left" indent="1"/>
    </xf>
    <xf numFmtId="0" fontId="2" fillId="0" borderId="4" xfId="0" applyFont="1" applyBorder="1" applyAlignment="1">
      <alignment horizontal="left" indent="1"/>
    </xf>
    <xf numFmtId="0" fontId="9" fillId="4" borderId="0" xfId="0" applyNumberFormat="1" applyFont="1" applyFill="1" applyAlignment="1">
      <alignment horizontal="center" vertical="center"/>
    </xf>
    <xf numFmtId="164" fontId="9" fillId="4" borderId="0" xfId="0" applyNumberFormat="1" applyFont="1" applyFill="1" applyAlignment="1">
      <alignment horizontal="center" vertical="center"/>
    </xf>
    <xf numFmtId="0" fontId="4" fillId="5" borderId="0" xfId="0" applyFont="1" applyFill="1" applyAlignment="1">
      <alignment horizontal="left" indent="1"/>
    </xf>
    <xf numFmtId="165" fontId="0" fillId="5" borderId="4" xfId="0" applyNumberFormat="1" applyFill="1" applyBorder="1"/>
    <xf numFmtId="165" fontId="2" fillId="5" borderId="4" xfId="0" applyNumberFormat="1" applyFont="1" applyFill="1" applyBorder="1"/>
    <xf numFmtId="165" fontId="2" fillId="0" borderId="4" xfId="0" quotePrefix="1" applyNumberFormat="1" applyFont="1" applyBorder="1"/>
    <xf numFmtId="165" fontId="0" fillId="6" borderId="4" xfId="0" applyNumberFormat="1" applyFill="1" applyBorder="1"/>
    <xf numFmtId="165" fontId="2" fillId="6" borderId="4" xfId="0" applyNumberFormat="1" applyFont="1" applyFill="1" applyBorder="1"/>
    <xf numFmtId="0" fontId="4" fillId="6" borderId="0" xfId="0" applyFont="1" applyFill="1" applyAlignment="1">
      <alignment horizontal="left" indent="1"/>
    </xf>
    <xf numFmtId="164" fontId="9" fillId="7" borderId="0" xfId="0" applyNumberFormat="1" applyFont="1" applyFill="1" applyAlignment="1">
      <alignment horizontal="center" vertical="center"/>
    </xf>
    <xf numFmtId="0" fontId="9" fillId="7" borderId="0" xfId="0" applyNumberFormat="1" applyFont="1" applyFill="1" applyAlignment="1">
      <alignment horizontal="center" vertical="center"/>
    </xf>
    <xf numFmtId="164" fontId="9" fillId="8" borderId="0" xfId="0" applyNumberFormat="1" applyFont="1" applyFill="1" applyAlignment="1">
      <alignment horizontal="center" vertical="center"/>
    </xf>
    <xf numFmtId="0" fontId="9" fillId="8" borderId="0" xfId="0" applyNumberFormat="1" applyFont="1" applyFill="1" applyAlignment="1">
      <alignment horizontal="center" vertical="center"/>
    </xf>
    <xf numFmtId="0" fontId="10" fillId="0" borderId="0" xfId="0" applyFont="1" applyAlignment="1">
      <alignment horizontal="right"/>
    </xf>
    <xf numFmtId="0" fontId="0" fillId="0" borderId="0" xfId="0" applyFont="1" applyAlignment="1">
      <alignment horizontal="right"/>
    </xf>
    <xf numFmtId="165" fontId="5" fillId="0" borderId="4" xfId="0" applyNumberFormat="1" applyFont="1" applyBorder="1"/>
    <xf numFmtId="165" fontId="11" fillId="0" borderId="4" xfId="0" applyNumberFormat="1" applyFont="1" applyBorder="1"/>
    <xf numFmtId="0" fontId="12" fillId="0" borderId="4" xfId="0" applyFont="1" applyBorder="1" applyAlignment="1">
      <alignment horizontal="center" vertical="center"/>
    </xf>
    <xf numFmtId="0" fontId="4" fillId="0" borderId="0" xfId="0" applyFont="1"/>
    <xf numFmtId="166" fontId="4" fillId="0" borderId="0" xfId="0" applyNumberFormat="1" applyFont="1"/>
    <xf numFmtId="0" fontId="14" fillId="5" borderId="0" xfId="0" applyFont="1" applyFill="1"/>
    <xf numFmtId="0" fontId="16" fillId="0" borderId="0" xfId="0" applyFont="1" applyBorder="1"/>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2" fillId="0" borderId="0" xfId="0" applyFont="1" applyBorder="1"/>
    <xf numFmtId="0" fontId="17" fillId="0" borderId="0" xfId="0" applyFont="1"/>
    <xf numFmtId="166" fontId="17" fillId="0" borderId="0" xfId="0" applyNumberFormat="1" applyFont="1" applyAlignment="1">
      <alignment horizontal="right"/>
    </xf>
    <xf numFmtId="0" fontId="2" fillId="0" borderId="0" xfId="0" applyFont="1"/>
    <xf numFmtId="166" fontId="0" fillId="0" borderId="0" xfId="0" applyNumberFormat="1"/>
    <xf numFmtId="167" fontId="0" fillId="0" borderId="0" xfId="1" applyNumberFormat="1" applyFont="1"/>
    <xf numFmtId="0" fontId="0" fillId="2" borderId="0" xfId="0" applyFill="1"/>
    <xf numFmtId="0" fontId="1" fillId="9" borderId="0" xfId="0" applyFont="1" applyFill="1" applyAlignment="1">
      <alignment horizontal="center" vertical="center"/>
    </xf>
    <xf numFmtId="0" fontId="4" fillId="0" borderId="15" xfId="0" applyFont="1" applyBorder="1" applyAlignment="1">
      <alignment horizontal="center" vertical="center"/>
    </xf>
    <xf numFmtId="0" fontId="4" fillId="0" borderId="16" xfId="0" applyFont="1" applyBorder="1" applyAlignment="1">
      <alignment horizontal="center" vertical="center"/>
    </xf>
    <xf numFmtId="0" fontId="4" fillId="0" borderId="17" xfId="0" applyFont="1" applyBorder="1" applyAlignment="1">
      <alignment horizontal="center" vertical="center"/>
    </xf>
    <xf numFmtId="0" fontId="0" fillId="0" borderId="18" xfId="0" applyBorder="1" applyAlignment="1">
      <alignment horizontal="center" vertical="center"/>
    </xf>
    <xf numFmtId="0" fontId="0" fillId="0" borderId="19" xfId="0" applyBorder="1" applyAlignment="1">
      <alignment horizontal="center" vertical="center"/>
    </xf>
    <xf numFmtId="168" fontId="0" fillId="0" borderId="19" xfId="0" applyNumberFormat="1" applyBorder="1" applyAlignment="1">
      <alignment horizontal="center" vertical="center"/>
    </xf>
    <xf numFmtId="168" fontId="0" fillId="0" borderId="20" xfId="0" applyNumberFormat="1" applyBorder="1" applyAlignment="1">
      <alignment horizontal="center" vertical="center"/>
    </xf>
    <xf numFmtId="0" fontId="2" fillId="0" borderId="21" xfId="0" applyFont="1" applyBorder="1"/>
    <xf numFmtId="0" fontId="0" fillId="0" borderId="0" xfId="0" applyAlignment="1">
      <alignment horizontal="right"/>
    </xf>
    <xf numFmtId="0" fontId="21" fillId="6" borderId="22" xfId="0" applyFont="1" applyFill="1" applyBorder="1" applyAlignment="1">
      <alignment horizontal="center" vertical="center"/>
    </xf>
    <xf numFmtId="0" fontId="21" fillId="6" borderId="23" xfId="0" applyFont="1" applyFill="1" applyBorder="1" applyAlignment="1">
      <alignment horizontal="center" vertical="center"/>
    </xf>
    <xf numFmtId="0" fontId="21" fillId="6" borderId="0" xfId="0" applyFont="1" applyFill="1" applyBorder="1" applyAlignment="1">
      <alignment horizontal="center" vertical="center"/>
    </xf>
    <xf numFmtId="0" fontId="21" fillId="6" borderId="24" xfId="0" applyFont="1" applyFill="1" applyBorder="1" applyAlignment="1">
      <alignment horizontal="center" vertical="center"/>
    </xf>
    <xf numFmtId="0" fontId="0" fillId="0" borderId="23" xfId="0" applyBorder="1"/>
    <xf numFmtId="0" fontId="0" fillId="0" borderId="24" xfId="0" applyBorder="1"/>
    <xf numFmtId="0" fontId="17" fillId="0" borderId="0" xfId="0" applyNumberFormat="1" applyFont="1"/>
    <xf numFmtId="167" fontId="0" fillId="0" borderId="0" xfId="0" applyNumberFormat="1" applyBorder="1"/>
    <xf numFmtId="167" fontId="0" fillId="0" borderId="24" xfId="0" applyNumberFormat="1" applyBorder="1"/>
    <xf numFmtId="167" fontId="0" fillId="0" borderId="22" xfId="0" applyNumberFormat="1" applyBorder="1"/>
    <xf numFmtId="167" fontId="0" fillId="0" borderId="23" xfId="0" applyNumberFormat="1" applyBorder="1"/>
    <xf numFmtId="167" fontId="4" fillId="0" borderId="0" xfId="0" applyNumberFormat="1" applyFont="1" applyBorder="1" applyAlignment="1">
      <alignment vertical="center"/>
    </xf>
    <xf numFmtId="167" fontId="4" fillId="0" borderId="0" xfId="0" applyNumberFormat="1" applyFont="1" applyBorder="1" applyAlignment="1">
      <alignment horizontal="center" vertical="center"/>
    </xf>
    <xf numFmtId="9" fontId="4" fillId="0" borderId="0" xfId="2" applyFont="1" applyBorder="1" applyAlignment="1">
      <alignment horizontal="center" vertical="center"/>
    </xf>
    <xf numFmtId="169" fontId="4" fillId="0" borderId="0" xfId="0" applyNumberFormat="1" applyFont="1"/>
    <xf numFmtId="0" fontId="0" fillId="0" borderId="25" xfId="0" applyBorder="1"/>
    <xf numFmtId="0" fontId="1" fillId="2" borderId="0" xfId="0" applyFont="1" applyFill="1" applyAlignment="1">
      <alignment horizontal="center"/>
    </xf>
    <xf numFmtId="0" fontId="13" fillId="9" borderId="0" xfId="0" applyFont="1" applyFill="1" applyAlignment="1">
      <alignment horizontal="left" vertical="center" indent="2"/>
    </xf>
    <xf numFmtId="0" fontId="1" fillId="2" borderId="0" xfId="0" applyFont="1" applyFill="1" applyAlignment="1">
      <alignment horizontal="center" vertical="center"/>
    </xf>
    <xf numFmtId="0" fontId="2" fillId="0" borderId="13" xfId="0" applyFont="1" applyBorder="1" applyAlignment="1">
      <alignment horizontal="center" vertical="center"/>
    </xf>
    <xf numFmtId="0" fontId="2" fillId="0" borderId="14" xfId="0" applyFont="1" applyBorder="1" applyAlignment="1">
      <alignment horizontal="center" vertical="center"/>
    </xf>
    <xf numFmtId="0" fontId="4" fillId="10" borderId="6" xfId="0" applyFont="1" applyFill="1" applyBorder="1" applyAlignment="1">
      <alignment horizontal="center" vertical="center"/>
    </xf>
    <xf numFmtId="0" fontId="20" fillId="0" borderId="0" xfId="0" applyFont="1" applyAlignment="1">
      <alignment horizontal="right" vertical="center"/>
    </xf>
    <xf numFmtId="168" fontId="4" fillId="10" borderId="6" xfId="0" applyNumberFormat="1" applyFont="1" applyFill="1" applyBorder="1" applyAlignment="1">
      <alignment horizontal="center" vertical="center"/>
    </xf>
    <xf numFmtId="0" fontId="18" fillId="0" borderId="0" xfId="0" applyFont="1" applyAlignment="1">
      <alignment horizontal="left" vertical="center" indent="2"/>
    </xf>
    <xf numFmtId="0" fontId="1" fillId="9" borderId="0" xfId="0" applyFont="1" applyFill="1" applyAlignment="1">
      <alignment horizontal="left" vertical="center"/>
    </xf>
    <xf numFmtId="0" fontId="19" fillId="2" borderId="0" xfId="0" applyFont="1" applyFill="1" applyAlignment="1">
      <alignment horizontal="left" vertical="center" indent="4"/>
    </xf>
    <xf numFmtId="0" fontId="1" fillId="2" borderId="5" xfId="0" applyFont="1" applyFill="1" applyBorder="1" applyAlignment="1">
      <alignment horizontal="center" vertical="center"/>
    </xf>
    <xf numFmtId="0" fontId="1" fillId="2" borderId="6" xfId="0" applyFont="1" applyFill="1" applyBorder="1" applyAlignment="1">
      <alignment horizontal="center" vertical="center"/>
    </xf>
    <xf numFmtId="0" fontId="1" fillId="2" borderId="7" xfId="0" applyFont="1" applyFill="1" applyBorder="1" applyAlignment="1">
      <alignment horizontal="center" vertical="center"/>
    </xf>
    <xf numFmtId="0" fontId="6" fillId="0" borderId="0" xfId="0" applyFont="1" applyBorder="1" applyAlignment="1">
      <alignment horizontal="left" vertical="center" wrapText="1"/>
    </xf>
    <xf numFmtId="0" fontId="22" fillId="0" borderId="25" xfId="0" applyFont="1" applyBorder="1"/>
    <xf numFmtId="0" fontId="2" fillId="0" borderId="26" xfId="0" applyFont="1" applyBorder="1"/>
    <xf numFmtId="0" fontId="2" fillId="0" borderId="26" xfId="0" applyFont="1" applyBorder="1" applyAlignment="1">
      <alignment horizontal="center"/>
    </xf>
    <xf numFmtId="0" fontId="0" fillId="0" borderId="0" xfId="0" applyAlignment="1">
      <alignment horizontal="center"/>
    </xf>
    <xf numFmtId="0" fontId="0" fillId="0" borderId="27" xfId="0" applyBorder="1" applyAlignment="1">
      <alignment horizontal="center"/>
    </xf>
    <xf numFmtId="0" fontId="2" fillId="0" borderId="0" xfId="0" applyFont="1" applyAlignment="1">
      <alignment horizontal="center"/>
    </xf>
    <xf numFmtId="167" fontId="0" fillId="0" borderId="0" xfId="1" applyNumberFormat="1" applyFont="1" applyAlignment="1">
      <alignment horizontal="center"/>
    </xf>
    <xf numFmtId="167" fontId="0" fillId="0" borderId="27" xfId="1" applyNumberFormat="1" applyFont="1" applyBorder="1" applyAlignment="1">
      <alignment horizontal="center"/>
    </xf>
    <xf numFmtId="167" fontId="2" fillId="0" borderId="0" xfId="1" applyNumberFormat="1" applyFont="1" applyAlignment="1">
      <alignment horizontal="center"/>
    </xf>
    <xf numFmtId="0" fontId="5" fillId="0" borderId="0" xfId="0" applyFont="1" applyBorder="1" applyAlignment="1">
      <alignment horizontal="left" indent="1"/>
    </xf>
    <xf numFmtId="167" fontId="5" fillId="0" borderId="0" xfId="1" applyNumberFormat="1" applyFont="1" applyBorder="1"/>
    <xf numFmtId="0" fontId="11" fillId="0" borderId="29" xfId="0" applyFont="1" applyBorder="1" applyAlignment="1">
      <alignment horizontal="left" indent="1"/>
    </xf>
    <xf numFmtId="167" fontId="11" fillId="0" borderId="29" xfId="1" applyNumberFormat="1" applyFont="1" applyBorder="1"/>
    <xf numFmtId="0" fontId="5" fillId="0" borderId="0" xfId="0" applyFont="1" applyFill="1" applyBorder="1" applyAlignment="1">
      <alignment horizontal="left" indent="1"/>
    </xf>
    <xf numFmtId="0" fontId="1" fillId="11" borderId="0" xfId="0" applyFont="1" applyFill="1" applyAlignment="1">
      <alignment horizontal="center"/>
    </xf>
    <xf numFmtId="0" fontId="27" fillId="5" borderId="0" xfId="0" applyFont="1" applyFill="1" applyAlignment="1">
      <alignment horizontal="center"/>
    </xf>
    <xf numFmtId="0" fontId="0" fillId="0" borderId="28" xfId="0" applyBorder="1"/>
    <xf numFmtId="0" fontId="0" fillId="0" borderId="26" xfId="0" applyBorder="1"/>
    <xf numFmtId="164" fontId="0" fillId="0" borderId="28" xfId="0" applyNumberFormat="1" applyBorder="1" applyAlignment="1">
      <alignment horizontal="center" vertical="center"/>
    </xf>
    <xf numFmtId="164" fontId="0" fillId="0" borderId="0" xfId="0" applyNumberFormat="1" applyBorder="1" applyAlignment="1">
      <alignment horizontal="center" vertical="center"/>
    </xf>
    <xf numFmtId="164" fontId="0" fillId="0" borderId="26" xfId="0" applyNumberFormat="1" applyBorder="1" applyAlignment="1">
      <alignment horizontal="center" vertical="center"/>
    </xf>
    <xf numFmtId="167" fontId="0" fillId="0" borderId="0" xfId="1" applyNumberFormat="1" applyFont="1" applyBorder="1"/>
    <xf numFmtId="0" fontId="25" fillId="0" borderId="0" xfId="0" applyFont="1"/>
    <xf numFmtId="167" fontId="0" fillId="0" borderId="26" xfId="1" applyNumberFormat="1" applyFont="1" applyBorder="1"/>
    <xf numFmtId="0" fontId="0" fillId="0" borderId="0" xfId="0" applyBorder="1" applyAlignment="1">
      <alignment horizontal="center"/>
    </xf>
    <xf numFmtId="0" fontId="0" fillId="0" borderId="26" xfId="0" applyBorder="1" applyAlignment="1">
      <alignment horizontal="center"/>
    </xf>
    <xf numFmtId="0" fontId="0" fillId="0" borderId="21" xfId="0" applyBorder="1" applyAlignment="1">
      <alignment horizontal="right"/>
    </xf>
    <xf numFmtId="9" fontId="0" fillId="0" borderId="0" xfId="2" applyFont="1"/>
    <xf numFmtId="167" fontId="0" fillId="0" borderId="0" xfId="0" applyNumberFormat="1"/>
    <xf numFmtId="174" fontId="0" fillId="0" borderId="0" xfId="2" applyNumberFormat="1" applyFont="1"/>
    <xf numFmtId="0" fontId="3" fillId="2" borderId="0" xfId="0" applyFont="1" applyFill="1" applyAlignment="1">
      <alignment horizontal="left" vertical="center" indent="4"/>
    </xf>
    <xf numFmtId="0" fontId="19" fillId="2" borderId="0" xfId="0" applyFont="1" applyFill="1" applyAlignment="1">
      <alignment horizontal="left" vertical="center" indent="3"/>
    </xf>
    <xf numFmtId="0" fontId="13" fillId="2" borderId="0" xfId="0" applyFont="1" applyFill="1" applyAlignment="1">
      <alignment horizontal="left" vertical="center" indent="3"/>
    </xf>
  </cellXfs>
  <cellStyles count="3">
    <cellStyle name="Comma" xfId="1" builtinId="3"/>
    <cellStyle name="Normal" xfId="0" builtinId="0"/>
    <cellStyle name="Per cent" xfId="2" builtinId="5"/>
  </cellStyles>
  <dxfs count="87">
    <dxf>
      <font>
        <color theme="0" tint="-0.499984740745262"/>
      </font>
      <fill>
        <patternFill>
          <bgColor theme="0" tint="-4.9989318521683403E-2"/>
        </patternFill>
      </fill>
    </dxf>
    <dxf>
      <fill>
        <patternFill>
          <bgColor theme="9" tint="0.59996337778862885"/>
        </patternFill>
      </fill>
    </dxf>
    <dxf>
      <fill>
        <patternFill>
          <bgColor theme="8" tint="0.59996337778862885"/>
        </patternFill>
      </fill>
    </dxf>
    <dxf>
      <fill>
        <patternFill>
          <bgColor theme="9" tint="0.39994506668294322"/>
        </patternFill>
      </fill>
    </dxf>
    <dxf>
      <fill>
        <patternFill>
          <bgColor theme="8" tint="0.39994506668294322"/>
        </patternFill>
      </fill>
    </dxf>
    <dxf>
      <fill>
        <patternFill>
          <bgColor rgb="FF00B050"/>
        </patternFill>
      </fill>
    </dxf>
    <dxf>
      <fill>
        <patternFill>
          <bgColor theme="8" tint="-0.499984740745262"/>
        </patternFill>
      </fill>
    </dxf>
    <dxf>
      <fill>
        <patternFill>
          <bgColor rgb="FF92D050"/>
        </patternFill>
      </fill>
    </dxf>
    <dxf>
      <fill>
        <patternFill>
          <bgColor theme="8" tint="-0.24994659260841701"/>
        </patternFill>
      </fill>
    </dxf>
    <dxf>
      <fill>
        <patternFill>
          <bgColor theme="0" tint="-4.9989318521683403E-2"/>
        </patternFill>
      </fill>
    </dxf>
    <dxf>
      <fill>
        <patternFill>
          <bgColor theme="8" tint="0.79998168889431442"/>
        </patternFill>
      </fill>
    </dxf>
    <dxf>
      <fill>
        <patternFill>
          <bgColor theme="0" tint="-4.9989318521683403E-2"/>
        </patternFill>
      </fill>
    </dxf>
    <dxf>
      <fill>
        <patternFill>
          <bgColor theme="9" tint="0.59996337778862885"/>
        </patternFill>
      </fill>
    </dxf>
    <dxf>
      <fill>
        <patternFill>
          <bgColor rgb="FFFFCCFF"/>
        </patternFill>
      </fill>
    </dxf>
    <dxf>
      <fill>
        <patternFill>
          <bgColor theme="9" tint="0.39994506668294322"/>
        </patternFill>
      </fill>
    </dxf>
    <dxf>
      <fill>
        <patternFill>
          <bgColor rgb="FFFF99CC"/>
        </patternFill>
      </fill>
    </dxf>
    <dxf>
      <fill>
        <patternFill>
          <bgColor rgb="FF00B050"/>
        </patternFill>
      </fill>
    </dxf>
    <dxf>
      <fill>
        <patternFill>
          <bgColor rgb="FFFF3399"/>
        </patternFill>
      </fill>
    </dxf>
    <dxf>
      <fill>
        <patternFill>
          <bgColor rgb="FF92D050"/>
        </patternFill>
      </fill>
    </dxf>
    <dxf>
      <fill>
        <patternFill>
          <bgColor rgb="FFFF66CC"/>
        </patternFill>
      </fill>
    </dxf>
    <dxf>
      <fill>
        <patternFill>
          <bgColor rgb="FFFFEFFF"/>
        </patternFill>
      </fill>
    </dxf>
    <dxf>
      <fill>
        <patternFill>
          <bgColor theme="0" tint="-4.9989318521683403E-2"/>
        </patternFill>
      </fill>
    </dxf>
    <dxf>
      <fill>
        <patternFill>
          <bgColor theme="9" tint="0.59996337778862885"/>
        </patternFill>
      </fill>
    </dxf>
    <dxf>
      <fill>
        <patternFill>
          <bgColor theme="9" tint="0.39994506668294322"/>
        </patternFill>
      </fill>
    </dxf>
    <dxf>
      <fill>
        <patternFill>
          <bgColor rgb="FF00B050"/>
        </patternFill>
      </fill>
    </dxf>
    <dxf>
      <fill>
        <patternFill>
          <bgColor rgb="FF92D050"/>
        </patternFill>
      </fill>
    </dxf>
    <dxf>
      <fill>
        <patternFill>
          <bgColor theme="9" tint="0.79998168889431442"/>
        </patternFill>
      </fill>
    </dxf>
    <dxf>
      <fill>
        <patternFill>
          <bgColor theme="8" tint="0.59996337778862885"/>
        </patternFill>
      </fill>
    </dxf>
    <dxf>
      <fill>
        <patternFill>
          <bgColor rgb="FFFF99FF"/>
        </patternFill>
      </fill>
    </dxf>
    <dxf>
      <fill>
        <patternFill>
          <bgColor theme="9" tint="0.59996337778862885"/>
        </patternFill>
      </fill>
    </dxf>
    <dxf>
      <font>
        <b/>
        <i val="0"/>
      </font>
      <border>
        <top style="thin">
          <color auto="1"/>
        </top>
        <vertical/>
        <horizontal/>
      </border>
    </dxf>
    <dxf>
      <font>
        <b/>
        <i val="0"/>
        <color theme="0"/>
      </font>
      <fill>
        <patternFill>
          <bgColor rgb="FF0070C0"/>
        </patternFill>
      </fill>
    </dxf>
    <dxf>
      <font>
        <b/>
        <i val="0"/>
        <color theme="0"/>
      </font>
      <fill>
        <patternFill>
          <bgColor rgb="FFFF33CC"/>
        </patternFill>
      </fill>
    </dxf>
    <dxf>
      <font>
        <b/>
        <i val="0"/>
        <color theme="0"/>
      </font>
      <fill>
        <patternFill>
          <bgColor theme="9" tint="-0.24994659260841701"/>
        </patternFill>
      </fill>
    </dxf>
    <dxf>
      <font>
        <color theme="0" tint="-0.499984740745262"/>
      </font>
      <numFmt numFmtId="170" formatCode="\→\ d\-mmm\-yy"/>
    </dxf>
    <dxf>
      <font>
        <b/>
        <i val="0"/>
        <color theme="9"/>
      </font>
      <numFmt numFmtId="171" formatCode="#,##0_ ;\-#,##0\ "/>
    </dxf>
    <dxf>
      <font>
        <color rgb="FFFF0000"/>
      </font>
    </dxf>
    <dxf>
      <font>
        <color theme="1"/>
      </font>
      <fill>
        <patternFill>
          <bgColor rgb="FFFBCFF6"/>
        </patternFill>
      </fill>
    </dxf>
    <dxf>
      <font>
        <color theme="1"/>
      </font>
      <fill>
        <patternFill>
          <bgColor theme="9" tint="0.79998168889431442"/>
        </patternFill>
      </fill>
    </dxf>
    <dxf>
      <font>
        <color theme="1"/>
      </font>
      <fill>
        <patternFill>
          <bgColor rgb="FFFBCFF6"/>
        </patternFill>
      </fill>
    </dxf>
    <dxf>
      <font>
        <color theme="1"/>
      </font>
      <fill>
        <patternFill>
          <bgColor theme="9" tint="0.79998168889431442"/>
        </patternFill>
      </fill>
    </dxf>
    <dxf>
      <font>
        <color theme="1"/>
      </font>
      <fill>
        <patternFill>
          <bgColor rgb="FFFBCFF6"/>
        </patternFill>
      </fill>
    </dxf>
    <dxf>
      <font>
        <color theme="1"/>
      </font>
      <fill>
        <patternFill>
          <bgColor theme="9" tint="0.79998168889431442"/>
        </patternFill>
      </fill>
    </dxf>
    <dxf>
      <font>
        <color theme="1"/>
      </font>
      <fill>
        <patternFill>
          <bgColor rgb="FFFBCFF6"/>
        </patternFill>
      </fill>
    </dxf>
    <dxf>
      <font>
        <color theme="1"/>
      </font>
      <fill>
        <patternFill>
          <bgColor theme="9" tint="0.79998168889431442"/>
        </patternFill>
      </fill>
    </dxf>
    <dxf>
      <font>
        <color theme="1"/>
      </font>
      <fill>
        <patternFill>
          <bgColor rgb="FFFBCFF6"/>
        </patternFill>
      </fill>
    </dxf>
    <dxf>
      <font>
        <color theme="1"/>
      </font>
      <fill>
        <patternFill>
          <bgColor theme="9" tint="0.79998168889431442"/>
        </patternFill>
      </fill>
    </dxf>
    <dxf>
      <font>
        <color theme="1"/>
      </font>
      <fill>
        <patternFill>
          <bgColor rgb="FFFBCFF6"/>
        </patternFill>
      </fill>
    </dxf>
    <dxf>
      <font>
        <color theme="1"/>
      </font>
      <fill>
        <patternFill>
          <bgColor theme="9" tint="0.79998168889431442"/>
        </patternFill>
      </fill>
    </dxf>
    <dxf>
      <font>
        <color theme="1"/>
      </font>
      <fill>
        <patternFill>
          <bgColor rgb="FFFBCFF6"/>
        </patternFill>
      </fill>
    </dxf>
    <dxf>
      <font>
        <color theme="1"/>
      </font>
      <fill>
        <patternFill>
          <bgColor theme="9" tint="0.79998168889431442"/>
        </patternFill>
      </fill>
    </dxf>
    <dxf>
      <font>
        <color theme="1"/>
      </font>
      <fill>
        <patternFill>
          <bgColor rgb="FFFBCFF6"/>
        </patternFill>
      </fill>
    </dxf>
    <dxf>
      <font>
        <color theme="1"/>
      </font>
      <fill>
        <patternFill>
          <bgColor theme="9" tint="0.79998168889431442"/>
        </patternFill>
      </fill>
    </dxf>
    <dxf>
      <font>
        <color theme="1"/>
      </font>
      <fill>
        <patternFill>
          <bgColor rgb="FFFBCFF6"/>
        </patternFill>
      </fill>
    </dxf>
    <dxf>
      <font>
        <color theme="1"/>
      </font>
      <fill>
        <patternFill>
          <bgColor theme="9" tint="0.79998168889431442"/>
        </patternFill>
      </fill>
    </dxf>
    <dxf>
      <font>
        <color rgb="FFFF0000"/>
      </font>
    </dxf>
    <dxf>
      <font>
        <color rgb="FF00B050"/>
      </font>
    </dxf>
    <dxf>
      <font>
        <color theme="0" tint="-0.24994659260841701"/>
      </font>
    </dxf>
    <dxf>
      <font>
        <color theme="1"/>
      </font>
      <fill>
        <patternFill>
          <bgColor theme="4" tint="0.59996337778862885"/>
        </patternFill>
      </fill>
    </dxf>
    <dxf>
      <font>
        <color theme="1"/>
      </font>
      <fill>
        <patternFill>
          <bgColor rgb="FFFBCFF6"/>
        </patternFill>
      </fill>
    </dxf>
    <dxf>
      <font>
        <color theme="1"/>
      </font>
      <fill>
        <patternFill>
          <bgColor theme="9" tint="0.79998168889431442"/>
        </patternFill>
      </fill>
    </dxf>
    <dxf>
      <font>
        <strike val="0"/>
        <outline val="0"/>
        <shadow val="0"/>
        <u val="none"/>
        <vertAlign val="baseline"/>
        <sz val="10"/>
        <color theme="0" tint="-0.499984740745262"/>
        <name val="Calibri"/>
        <family val="2"/>
        <scheme val="minor"/>
      </font>
      <numFmt numFmtId="166" formatCode="d\-mmm\-yy"/>
      <alignment horizontal="right" vertical="bottom" textRotation="0" wrapText="0" indent="0" justifyLastLine="0" shrinkToFit="0" readingOrder="0"/>
    </dxf>
    <dxf>
      <font>
        <strike val="0"/>
        <outline val="0"/>
        <shadow val="0"/>
        <u val="none"/>
        <vertAlign val="baseline"/>
        <sz val="10"/>
        <color theme="0" tint="-0.499984740745262"/>
        <name val="Calibri"/>
        <family val="2"/>
        <scheme val="minor"/>
      </font>
      <numFmt numFmtId="0" formatCode="General"/>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numFmt numFmtId="169" formatCode="0;[Red]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numFmt numFmtId="166" formatCode="d\-mmm\-yy"/>
    </dxf>
    <dxf>
      <font>
        <strike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fill>
        <patternFill patternType="solid">
          <fgColor indexed="64"/>
          <bgColor theme="0" tint="-4.9989318521683403E-2"/>
        </patternFill>
      </fill>
      <alignment horizontal="left" vertical="bottom" textRotation="0" wrapText="0" indent="1"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0" tint="-4.9989318521683403E-2"/>
        </patternFill>
      </fill>
      <alignment horizontal="left" vertical="bottom" textRotation="0" wrapText="0" indent="1" justifyLastLine="0" shrinkToFit="0" readingOrder="0"/>
    </dxf>
    <dxf>
      <font>
        <b/>
        <i val="0"/>
        <strike val="0"/>
        <condense val="0"/>
        <extend val="0"/>
        <outline val="0"/>
        <shadow val="0"/>
        <u val="none"/>
        <vertAlign val="baseline"/>
        <sz val="11"/>
        <color theme="1"/>
        <name val="Calibri"/>
        <family val="2"/>
        <scheme val="minor"/>
      </font>
      <alignment horizontal="left" vertical="bottom" textRotation="0" wrapText="0" indent="1"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0" tint="-4.9989318521683403E-2"/>
        </patternFill>
      </fill>
      <alignment horizontal="left" vertical="bottom" textRotation="0" wrapText="0" indent="1"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0" tint="-4.9989318521683403E-2"/>
        </patternFill>
      </fill>
      <alignment horizontal="left" vertical="bottom" textRotation="0" wrapText="0" indent="1" justifyLastLine="0" shrinkToFit="0" readingOrder="0"/>
    </dxf>
    <dxf>
      <font>
        <b/>
        <i val="0"/>
        <strike val="0"/>
        <condense val="0"/>
        <extend val="0"/>
        <outline val="0"/>
        <shadow val="0"/>
        <u val="none"/>
        <vertAlign val="baseline"/>
        <sz val="11"/>
        <color theme="1"/>
        <name val="Calibri"/>
        <family val="2"/>
        <scheme val="minor"/>
      </font>
      <alignment horizontal="left" vertical="bottom" textRotation="0" wrapText="0" indent="1"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0" tint="-0.249977111117893"/>
        </patternFill>
      </fill>
      <alignment horizontal="left" vertical="bottom" textRotation="0" wrapText="0" indent="1"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0" tint="-0.249977111117893"/>
        </patternFill>
      </fill>
      <alignment horizontal="left" vertical="bottom" textRotation="0" wrapText="0" indent="1" justifyLastLine="0" shrinkToFit="0" readingOrder="0"/>
    </dxf>
    <dxf>
      <font>
        <b/>
        <i val="0"/>
        <strike val="0"/>
        <condense val="0"/>
        <extend val="0"/>
        <outline val="0"/>
        <shadow val="0"/>
        <u val="none"/>
        <vertAlign val="baseline"/>
        <sz val="11"/>
        <color theme="1"/>
        <name val="Calibri"/>
        <family val="2"/>
        <scheme val="minor"/>
      </font>
      <alignment horizontal="left" vertical="bottom" textRotation="0" wrapText="0" indent="1" justifyLastLine="0" shrinkToFit="0" readingOrder="0"/>
    </dxf>
    <dxf>
      <fill>
        <patternFill>
          <bgColor theme="0" tint="-0.14996795556505021"/>
        </patternFill>
      </fill>
    </dxf>
    <dxf>
      <font>
        <b/>
        <i val="0"/>
        <color theme="0"/>
      </font>
      <fill>
        <patternFill>
          <bgColor theme="3"/>
        </patternFill>
      </fill>
      <border>
        <left style="thin">
          <color theme="0" tint="-0.14996795556505021"/>
        </left>
        <right style="thin">
          <color theme="0" tint="-0.14996795556505021"/>
        </right>
        <top style="thin">
          <color theme="0" tint="-0.14996795556505021"/>
        </top>
        <bottom style="thin">
          <color theme="0" tint="-0.14996795556505021"/>
        </bottom>
        <vertical style="thin">
          <color theme="0" tint="-0.14996795556505021"/>
        </vertical>
        <horizontal style="thin">
          <color theme="0" tint="-0.14996795556505021"/>
        </horizontal>
      </border>
    </dxf>
    <dxf>
      <border>
        <left style="thin">
          <color theme="0" tint="-0.34998626667073579"/>
        </left>
        <right style="thin">
          <color theme="0" tint="-0.34998626667073579"/>
        </right>
        <top style="thin">
          <color theme="0" tint="-0.34998626667073579"/>
        </top>
        <bottom style="thin">
          <color theme="0" tint="-0.34998626667073579"/>
        </bottom>
        <vertical style="thin">
          <color theme="0" tint="-0.34998626667073579"/>
        </vertical>
        <horizontal/>
      </border>
    </dxf>
    <dxf>
      <font>
        <b/>
        <i val="0"/>
        <color theme="0"/>
      </font>
      <fill>
        <patternFill>
          <bgColor rgb="FF00B0F0"/>
        </patternFill>
      </fill>
    </dxf>
    <dxf>
      <border>
        <left style="thin">
          <color theme="0" tint="-0.34998626667073579"/>
        </left>
        <right style="thin">
          <color theme="0" tint="-0.34998626667073579"/>
        </right>
        <top style="thin">
          <color theme="0" tint="-0.34998626667073579"/>
        </top>
        <bottom style="thin">
          <color theme="0" tint="-0.34998626667073579"/>
        </bottom>
        <vertical style="thin">
          <color theme="0" tint="-0.34998626667073579"/>
        </vertical>
        <horizontal style="thin">
          <color theme="0" tint="-0.34998626667073579"/>
        </horizontal>
      </border>
    </dxf>
    <dxf>
      <font>
        <b/>
        <i val="0"/>
        <color theme="0"/>
      </font>
      <fill>
        <patternFill>
          <bgColor rgb="FF00B050"/>
        </patternFill>
      </fill>
    </dxf>
    <dxf>
      <border>
        <left style="thin">
          <color theme="0" tint="-0.34998626667073579"/>
        </left>
        <right style="thin">
          <color theme="0" tint="-0.34998626667073579"/>
        </right>
        <top style="thin">
          <color theme="0" tint="-0.34998626667073579"/>
        </top>
        <bottom style="thin">
          <color theme="0" tint="-0.34998626667073579"/>
        </bottom>
        <vertical style="thin">
          <color theme="0" tint="-0.34998626667073579"/>
        </vertical>
        <horizontal style="thin">
          <color theme="0" tint="-0.34998626667073579"/>
        </horizontal>
      </border>
    </dxf>
    <dxf>
      <font>
        <b/>
        <i val="0"/>
        <color theme="0"/>
      </font>
      <fill>
        <patternFill>
          <bgColor rgb="FFFF33CC"/>
        </patternFill>
      </fill>
    </dxf>
    <dxf>
      <border>
        <left style="thin">
          <color theme="0" tint="-0.34998626667073579"/>
        </left>
        <right style="thin">
          <color theme="0" tint="-0.34998626667073579"/>
        </right>
        <top style="thin">
          <color theme="0" tint="-0.34998626667073579"/>
        </top>
        <bottom style="thin">
          <color theme="0" tint="-0.34998626667073579"/>
        </bottom>
        <vertical style="thin">
          <color theme="0" tint="-0.34998626667073579"/>
        </vertical>
        <horizontal style="thin">
          <color theme="0" tint="-0.34998626667073579"/>
        </horizontal>
      </border>
    </dxf>
  </dxfs>
  <tableStyles count="4" defaultTableStyle="TableStyleMedium2" defaultPivotStyle="PivotStyleLight16">
    <tableStyle name="Expenses Table Style" pivot="0" count="2" xr9:uid="{611B9575-C0BC-443B-BE3F-C74DB3CCC051}">
      <tableStyleElement type="wholeTable" dxfId="86"/>
      <tableStyleElement type="headerRow" dxfId="85"/>
    </tableStyle>
    <tableStyle name="Income Table Style" pivot="0" count="2" xr9:uid="{C17A7B70-73D9-423F-8CBC-E7C73368AD01}">
      <tableStyleElement type="wholeTable" dxfId="84"/>
      <tableStyleElement type="headerRow" dxfId="83"/>
    </tableStyle>
    <tableStyle name="Savings Table Style" pivot="0" count="2" xr9:uid="{CBE52841-220C-4977-A5E4-2B55420E97DC}">
      <tableStyleElement type="wholeTable" dxfId="82"/>
      <tableStyleElement type="headerRow" dxfId="81"/>
    </tableStyle>
    <tableStyle name="Tracking Table Style" pivot="0" count="3" xr9:uid="{2635D14D-8E48-494F-A99E-4D184D8E2279}">
      <tableStyleElement type="wholeTable" dxfId="80"/>
      <tableStyleElement type="headerRow" dxfId="79"/>
      <tableStyleElement type="firstRowStripe" dxfId="78"/>
    </tableStyle>
  </tableStyles>
  <colors>
    <mruColors>
      <color rgb="FFFF0066"/>
      <color rgb="FFFFCCCC"/>
      <color rgb="FFC4C4C4"/>
      <color rgb="FFD5D5D5"/>
      <color rgb="FFE2E2E2"/>
      <color rgb="FFD1D1D1"/>
      <color rgb="FFE4E4E4"/>
      <color rgb="FFFFEFFF"/>
      <color rgb="FFFDD7FE"/>
      <color rgb="FFFDE7F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7/10/relationships/person" Target="persons/perso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rgbClr val="00B050"/>
              </a:solidFill>
              <a:ln w="19050">
                <a:solidFill>
                  <a:schemeClr val="lt1"/>
                </a:solidFill>
              </a:ln>
              <a:effectLst/>
            </c:spPr>
            <c:extLst>
              <c:ext xmlns:c16="http://schemas.microsoft.com/office/drawing/2014/chart" uri="{C3380CC4-5D6E-409C-BE32-E72D297353CC}">
                <c16:uniqueId val="{00000001-ACFA-44F7-A2AC-B4B913AF4516}"/>
              </c:ext>
            </c:extLst>
          </c:dPt>
          <c:dPt>
            <c:idx val="1"/>
            <c:bubble3D val="0"/>
            <c:spPr>
              <a:solidFill>
                <a:srgbClr val="00CC66"/>
              </a:solidFill>
              <a:ln w="19050">
                <a:solidFill>
                  <a:schemeClr val="lt1"/>
                </a:solidFill>
              </a:ln>
              <a:effectLst/>
            </c:spPr>
            <c:extLst>
              <c:ext xmlns:c16="http://schemas.microsoft.com/office/drawing/2014/chart" uri="{C3380CC4-5D6E-409C-BE32-E72D297353CC}">
                <c16:uniqueId val="{00000003-ACFA-44F7-A2AC-B4B913AF4516}"/>
              </c:ext>
            </c:extLst>
          </c:dPt>
          <c:dPt>
            <c:idx val="2"/>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005-ACFA-44F7-A2AC-B4B913AF4516}"/>
              </c:ext>
            </c:extLst>
          </c:dPt>
          <c:dPt>
            <c:idx val="3"/>
            <c:bubble3D val="0"/>
            <c:spPr>
              <a:solidFill>
                <a:schemeClr val="accent6">
                  <a:lumMod val="40000"/>
                  <a:lumOff val="60000"/>
                </a:schemeClr>
              </a:solidFill>
              <a:ln w="19050">
                <a:solidFill>
                  <a:schemeClr val="lt1"/>
                </a:solidFill>
              </a:ln>
              <a:effectLst/>
            </c:spPr>
            <c:extLst>
              <c:ext xmlns:c16="http://schemas.microsoft.com/office/drawing/2014/chart" uri="{C3380CC4-5D6E-409C-BE32-E72D297353CC}">
                <c16:uniqueId val="{00000007-ACFA-44F7-A2AC-B4B913AF4516}"/>
              </c:ext>
            </c:extLst>
          </c:dPt>
          <c:dPt>
            <c:idx val="4"/>
            <c:bubble3D val="0"/>
            <c:spPr>
              <a:solidFill>
                <a:schemeClr val="accent6">
                  <a:lumMod val="20000"/>
                  <a:lumOff val="80000"/>
                </a:schemeClr>
              </a:solidFill>
              <a:ln w="19050">
                <a:solidFill>
                  <a:schemeClr val="lt1"/>
                </a:solidFill>
              </a:ln>
              <a:effectLst/>
            </c:spPr>
            <c:extLst>
              <c:ext xmlns:c16="http://schemas.microsoft.com/office/drawing/2014/chart" uri="{C3380CC4-5D6E-409C-BE32-E72D297353CC}">
                <c16:uniqueId val="{00000009-ACFA-44F7-A2AC-B4B913AF4516}"/>
              </c:ext>
            </c:extLst>
          </c:dPt>
          <c:dPt>
            <c:idx val="5"/>
            <c:bubble3D val="0"/>
            <c:spPr>
              <a:solidFill>
                <a:schemeClr val="bg1">
                  <a:lumMod val="95000"/>
                </a:schemeClr>
              </a:solidFill>
              <a:ln w="19050">
                <a:solidFill>
                  <a:schemeClr val="lt1"/>
                </a:solidFill>
              </a:ln>
              <a:effectLst/>
            </c:spPr>
            <c:extLst>
              <c:ext xmlns:c16="http://schemas.microsoft.com/office/drawing/2014/chart" uri="{C3380CC4-5D6E-409C-BE32-E72D297353CC}">
                <c16:uniqueId val="{0000000B-ACFA-44F7-A2AC-B4B913AF4516}"/>
              </c:ext>
            </c:extLst>
          </c:dPt>
          <c:cat>
            <c:strRef>
              <c:f>Calculations!$E$35:$E$40</c:f>
              <c:strCache>
                <c:ptCount val="6"/>
                <c:pt idx="0">
                  <c:v>Salary</c:v>
                </c:pt>
                <c:pt idx="1">
                  <c:v>Parking rental</c:v>
                </c:pt>
                <c:pt idx="2">
                  <c:v>Dividends</c:v>
                </c:pt>
                <c:pt idx="5">
                  <c:v>Other</c:v>
                </c:pt>
              </c:strCache>
            </c:strRef>
          </c:cat>
          <c:val>
            <c:numRef>
              <c:f>Calculations!$F$35:$F$40</c:f>
              <c:numCache>
                <c:formatCode>_-* #,##0_-;\-* #,##0_-;_-* "-"??_-;_-@_-</c:formatCode>
                <c:ptCount val="6"/>
                <c:pt idx="0">
                  <c:v>10500</c:v>
                </c:pt>
                <c:pt idx="1">
                  <c:v>2800</c:v>
                </c:pt>
                <c:pt idx="2">
                  <c:v>300</c:v>
                </c:pt>
                <c:pt idx="3">
                  <c:v>0</c:v>
                </c:pt>
                <c:pt idx="4">
                  <c:v>0</c:v>
                </c:pt>
                <c:pt idx="5">
                  <c:v>0</c:v>
                </c:pt>
              </c:numCache>
            </c:numRef>
          </c:val>
          <c:extLst>
            <c:ext xmlns:c16="http://schemas.microsoft.com/office/drawing/2014/chart" uri="{C3380CC4-5D6E-409C-BE32-E72D297353CC}">
              <c16:uniqueId val="{0000000C-ACFA-44F7-A2AC-B4B913AF4516}"/>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rgbClr val="FF33CC"/>
              </a:solidFill>
              <a:ln w="19050">
                <a:solidFill>
                  <a:schemeClr val="lt1"/>
                </a:solidFill>
              </a:ln>
              <a:effectLst/>
            </c:spPr>
            <c:extLst>
              <c:ext xmlns:c16="http://schemas.microsoft.com/office/drawing/2014/chart" uri="{C3380CC4-5D6E-409C-BE32-E72D297353CC}">
                <c16:uniqueId val="{00000001-E6AE-4763-AB88-17FB03E769A6}"/>
              </c:ext>
            </c:extLst>
          </c:dPt>
          <c:dPt>
            <c:idx val="1"/>
            <c:bubble3D val="0"/>
            <c:spPr>
              <a:solidFill>
                <a:srgbClr val="FF66CC"/>
              </a:solidFill>
              <a:ln w="19050">
                <a:solidFill>
                  <a:schemeClr val="lt1"/>
                </a:solidFill>
              </a:ln>
              <a:effectLst/>
            </c:spPr>
            <c:extLst>
              <c:ext xmlns:c16="http://schemas.microsoft.com/office/drawing/2014/chart" uri="{C3380CC4-5D6E-409C-BE32-E72D297353CC}">
                <c16:uniqueId val="{00000003-E6AE-4763-AB88-17FB03E769A6}"/>
              </c:ext>
            </c:extLst>
          </c:dPt>
          <c:dPt>
            <c:idx val="2"/>
            <c:bubble3D val="0"/>
            <c:spPr>
              <a:solidFill>
                <a:srgbClr val="FF99CC"/>
              </a:solidFill>
              <a:ln w="19050">
                <a:solidFill>
                  <a:schemeClr val="lt1"/>
                </a:solidFill>
              </a:ln>
              <a:effectLst/>
            </c:spPr>
            <c:extLst>
              <c:ext xmlns:c16="http://schemas.microsoft.com/office/drawing/2014/chart" uri="{C3380CC4-5D6E-409C-BE32-E72D297353CC}">
                <c16:uniqueId val="{00000005-E6AE-4763-AB88-17FB03E769A6}"/>
              </c:ext>
            </c:extLst>
          </c:dPt>
          <c:dPt>
            <c:idx val="3"/>
            <c:bubble3D val="0"/>
            <c:spPr>
              <a:solidFill>
                <a:srgbClr val="FFD1FF"/>
              </a:solidFill>
              <a:ln w="19050">
                <a:solidFill>
                  <a:schemeClr val="lt1"/>
                </a:solidFill>
              </a:ln>
              <a:effectLst/>
            </c:spPr>
            <c:extLst>
              <c:ext xmlns:c16="http://schemas.microsoft.com/office/drawing/2014/chart" uri="{C3380CC4-5D6E-409C-BE32-E72D297353CC}">
                <c16:uniqueId val="{00000007-E6AE-4763-AB88-17FB03E769A6}"/>
              </c:ext>
            </c:extLst>
          </c:dPt>
          <c:dPt>
            <c:idx val="4"/>
            <c:bubble3D val="0"/>
            <c:spPr>
              <a:solidFill>
                <a:srgbClr val="F5DBF2"/>
              </a:solidFill>
              <a:ln w="19050">
                <a:solidFill>
                  <a:schemeClr val="lt1"/>
                </a:solidFill>
              </a:ln>
              <a:effectLst/>
            </c:spPr>
            <c:extLst>
              <c:ext xmlns:c16="http://schemas.microsoft.com/office/drawing/2014/chart" uri="{C3380CC4-5D6E-409C-BE32-E72D297353CC}">
                <c16:uniqueId val="{00000009-E6AE-4763-AB88-17FB03E769A6}"/>
              </c:ext>
            </c:extLst>
          </c:dPt>
          <c:dPt>
            <c:idx val="5"/>
            <c:bubble3D val="0"/>
            <c:spPr>
              <a:solidFill>
                <a:schemeClr val="bg1">
                  <a:lumMod val="95000"/>
                </a:schemeClr>
              </a:solidFill>
              <a:ln w="19050">
                <a:solidFill>
                  <a:schemeClr val="lt1"/>
                </a:solidFill>
              </a:ln>
              <a:effectLst/>
            </c:spPr>
            <c:extLst>
              <c:ext xmlns:c16="http://schemas.microsoft.com/office/drawing/2014/chart" uri="{C3380CC4-5D6E-409C-BE32-E72D297353CC}">
                <c16:uniqueId val="{0000000B-E6AE-4763-AB88-17FB03E769A6}"/>
              </c:ext>
            </c:extLst>
          </c:dPt>
          <c:cat>
            <c:strRef>
              <c:f>Calculations!$I$35:$I$40</c:f>
              <c:strCache>
                <c:ptCount val="6"/>
                <c:pt idx="0">
                  <c:v>Bond</c:v>
                </c:pt>
                <c:pt idx="1">
                  <c:v>Insurances</c:v>
                </c:pt>
                <c:pt idx="2">
                  <c:v>Groceries</c:v>
                </c:pt>
                <c:pt idx="3">
                  <c:v>Levy</c:v>
                </c:pt>
                <c:pt idx="4">
                  <c:v>Fun &amp; Holidays</c:v>
                </c:pt>
                <c:pt idx="5">
                  <c:v>Other</c:v>
                </c:pt>
              </c:strCache>
            </c:strRef>
          </c:cat>
          <c:val>
            <c:numRef>
              <c:f>Calculations!$J$35:$J$40</c:f>
              <c:numCache>
                <c:formatCode>_-* #,##0_-;\-* #,##0_-;_-* "-"??_-;_-@_-</c:formatCode>
                <c:ptCount val="6"/>
                <c:pt idx="0">
                  <c:v>2400</c:v>
                </c:pt>
                <c:pt idx="1">
                  <c:v>1350</c:v>
                </c:pt>
                <c:pt idx="2">
                  <c:v>1100</c:v>
                </c:pt>
                <c:pt idx="3">
                  <c:v>900</c:v>
                </c:pt>
                <c:pt idx="4">
                  <c:v>730</c:v>
                </c:pt>
                <c:pt idx="5">
                  <c:v>1550</c:v>
                </c:pt>
              </c:numCache>
            </c:numRef>
          </c:val>
          <c:extLst>
            <c:ext xmlns:c16="http://schemas.microsoft.com/office/drawing/2014/chart" uri="{C3380CC4-5D6E-409C-BE32-E72D297353CC}">
              <c16:uniqueId val="{0000000C-E6AE-4763-AB88-17FB03E769A6}"/>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001-78A4-4EB1-A3C6-8F1D35E3BDA9}"/>
              </c:ext>
            </c:extLst>
          </c:dPt>
          <c:dPt>
            <c:idx val="1"/>
            <c:bubble3D val="0"/>
            <c:spPr>
              <a:solidFill>
                <a:schemeClr val="accent5">
                  <a:lumMod val="75000"/>
                </a:schemeClr>
              </a:solidFill>
              <a:ln w="19050">
                <a:solidFill>
                  <a:schemeClr val="lt1"/>
                </a:solidFill>
              </a:ln>
              <a:effectLst/>
            </c:spPr>
            <c:extLst>
              <c:ext xmlns:c16="http://schemas.microsoft.com/office/drawing/2014/chart" uri="{C3380CC4-5D6E-409C-BE32-E72D297353CC}">
                <c16:uniqueId val="{00000003-78A4-4EB1-A3C6-8F1D35E3BDA9}"/>
              </c:ext>
            </c:extLst>
          </c:dPt>
          <c:dPt>
            <c:idx val="2"/>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005-78A4-4EB1-A3C6-8F1D35E3BDA9}"/>
              </c:ext>
            </c:extLst>
          </c:dPt>
          <c:dPt>
            <c:idx val="3"/>
            <c:bubble3D val="0"/>
            <c:spPr>
              <a:solidFill>
                <a:schemeClr val="accent5">
                  <a:lumMod val="40000"/>
                  <a:lumOff val="60000"/>
                </a:schemeClr>
              </a:solidFill>
              <a:ln w="19050">
                <a:solidFill>
                  <a:schemeClr val="lt1"/>
                </a:solidFill>
              </a:ln>
              <a:effectLst/>
            </c:spPr>
            <c:extLst>
              <c:ext xmlns:c16="http://schemas.microsoft.com/office/drawing/2014/chart" uri="{C3380CC4-5D6E-409C-BE32-E72D297353CC}">
                <c16:uniqueId val="{00000007-78A4-4EB1-A3C6-8F1D35E3BDA9}"/>
              </c:ext>
            </c:extLst>
          </c:dPt>
          <c:dPt>
            <c:idx val="4"/>
            <c:bubble3D val="0"/>
            <c:spPr>
              <a:solidFill>
                <a:schemeClr val="accent5">
                  <a:lumMod val="20000"/>
                  <a:lumOff val="80000"/>
                </a:schemeClr>
              </a:solidFill>
              <a:ln w="19050">
                <a:solidFill>
                  <a:schemeClr val="lt1"/>
                </a:solidFill>
              </a:ln>
              <a:effectLst/>
            </c:spPr>
            <c:extLst>
              <c:ext xmlns:c16="http://schemas.microsoft.com/office/drawing/2014/chart" uri="{C3380CC4-5D6E-409C-BE32-E72D297353CC}">
                <c16:uniqueId val="{00000009-78A4-4EB1-A3C6-8F1D35E3BDA9}"/>
              </c:ext>
            </c:extLst>
          </c:dPt>
          <c:dPt>
            <c:idx val="5"/>
            <c:bubble3D val="0"/>
            <c:spPr>
              <a:solidFill>
                <a:schemeClr val="bg1">
                  <a:lumMod val="95000"/>
                </a:schemeClr>
              </a:solidFill>
              <a:ln w="19050">
                <a:solidFill>
                  <a:schemeClr val="lt1"/>
                </a:solidFill>
              </a:ln>
              <a:effectLst/>
            </c:spPr>
            <c:extLst>
              <c:ext xmlns:c16="http://schemas.microsoft.com/office/drawing/2014/chart" uri="{C3380CC4-5D6E-409C-BE32-E72D297353CC}">
                <c16:uniqueId val="{0000000B-78A4-4EB1-A3C6-8F1D35E3BDA9}"/>
              </c:ext>
            </c:extLst>
          </c:dPt>
          <c:cat>
            <c:strRef>
              <c:f>Calculations!$I$35:$I$40</c:f>
              <c:strCache>
                <c:ptCount val="6"/>
                <c:pt idx="0">
                  <c:v>Bond</c:v>
                </c:pt>
                <c:pt idx="1">
                  <c:v>Insurances</c:v>
                </c:pt>
                <c:pt idx="2">
                  <c:v>Groceries</c:v>
                </c:pt>
                <c:pt idx="3">
                  <c:v>Levy</c:v>
                </c:pt>
                <c:pt idx="4">
                  <c:v>Fun &amp; Holidays</c:v>
                </c:pt>
                <c:pt idx="5">
                  <c:v>Other</c:v>
                </c:pt>
              </c:strCache>
            </c:strRef>
          </c:cat>
          <c:val>
            <c:numRef>
              <c:f>Calculations!$J$35:$J$40</c:f>
              <c:numCache>
                <c:formatCode>_-* #,##0_-;\-* #,##0_-;_-* "-"??_-;_-@_-</c:formatCode>
                <c:ptCount val="6"/>
                <c:pt idx="0">
                  <c:v>2400</c:v>
                </c:pt>
                <c:pt idx="1">
                  <c:v>1350</c:v>
                </c:pt>
                <c:pt idx="2">
                  <c:v>1100</c:v>
                </c:pt>
                <c:pt idx="3">
                  <c:v>900</c:v>
                </c:pt>
                <c:pt idx="4">
                  <c:v>730</c:v>
                </c:pt>
                <c:pt idx="5">
                  <c:v>1550</c:v>
                </c:pt>
              </c:numCache>
            </c:numRef>
          </c:val>
          <c:extLst>
            <c:ext xmlns:c16="http://schemas.microsoft.com/office/drawing/2014/chart" uri="{C3380CC4-5D6E-409C-BE32-E72D297353CC}">
              <c16:uniqueId val="{0000000C-78A4-4EB1-A3C6-8F1D35E3BDA9}"/>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stacked"/>
        <c:varyColors val="0"/>
        <c:ser>
          <c:idx val="0"/>
          <c:order val="0"/>
          <c:spPr>
            <a:solidFill>
              <a:srgbClr val="00B050"/>
            </a:solidFill>
            <a:ln>
              <a:noFill/>
            </a:ln>
            <a:effectLst/>
          </c:spPr>
          <c:invertIfNegative val="0"/>
          <c:dPt>
            <c:idx val="1"/>
            <c:invertIfNegative val="0"/>
            <c:bubble3D val="0"/>
            <c:spPr>
              <a:solidFill>
                <a:srgbClr val="FF0066"/>
              </a:solidFill>
              <a:ln>
                <a:noFill/>
              </a:ln>
              <a:effectLst/>
            </c:spPr>
            <c:extLst>
              <c:ext xmlns:c16="http://schemas.microsoft.com/office/drawing/2014/chart" uri="{C3380CC4-5D6E-409C-BE32-E72D297353CC}">
                <c16:uniqueId val="{00000001-6369-496A-9C27-ABAF323F8B1E}"/>
              </c:ext>
            </c:extLst>
          </c:dPt>
          <c:dPt>
            <c:idx val="2"/>
            <c:invertIfNegative val="0"/>
            <c:bubble3D val="0"/>
            <c:spPr>
              <a:solidFill>
                <a:srgbClr val="002060"/>
              </a:solidFill>
              <a:ln>
                <a:noFill/>
              </a:ln>
              <a:effectLst/>
            </c:spPr>
            <c:extLst>
              <c:ext xmlns:c16="http://schemas.microsoft.com/office/drawing/2014/chart" uri="{C3380CC4-5D6E-409C-BE32-E72D297353CC}">
                <c16:uniqueId val="{00000003-6369-496A-9C27-ABAF323F8B1E}"/>
              </c:ext>
            </c:extLst>
          </c:dPt>
          <c:dPt>
            <c:idx val="5"/>
            <c:invertIfNegative val="0"/>
            <c:bubble3D val="0"/>
            <c:spPr>
              <a:solidFill>
                <a:srgbClr val="FF0066"/>
              </a:solidFill>
              <a:ln>
                <a:noFill/>
              </a:ln>
              <a:effectLst/>
            </c:spPr>
            <c:extLst>
              <c:ext xmlns:c16="http://schemas.microsoft.com/office/drawing/2014/chart" uri="{C3380CC4-5D6E-409C-BE32-E72D297353CC}">
                <c16:uniqueId val="{00000005-6369-496A-9C27-ABAF323F8B1E}"/>
              </c:ext>
            </c:extLst>
          </c:dPt>
          <c:dPt>
            <c:idx val="6"/>
            <c:invertIfNegative val="0"/>
            <c:bubble3D val="0"/>
            <c:spPr>
              <a:solidFill>
                <a:srgbClr val="002060"/>
              </a:solidFill>
              <a:ln>
                <a:noFill/>
              </a:ln>
              <a:effectLst/>
            </c:spPr>
            <c:extLst>
              <c:ext xmlns:c16="http://schemas.microsoft.com/office/drawing/2014/chart" uri="{C3380CC4-5D6E-409C-BE32-E72D297353CC}">
                <c16:uniqueId val="{00000007-6369-496A-9C27-ABAF323F8B1E}"/>
              </c:ext>
            </c:extLst>
          </c:dPt>
          <c:dPt>
            <c:idx val="9"/>
            <c:invertIfNegative val="0"/>
            <c:bubble3D val="0"/>
            <c:spPr>
              <a:solidFill>
                <a:srgbClr val="FF0066"/>
              </a:solidFill>
              <a:ln>
                <a:noFill/>
              </a:ln>
              <a:effectLst/>
            </c:spPr>
            <c:extLst>
              <c:ext xmlns:c16="http://schemas.microsoft.com/office/drawing/2014/chart" uri="{C3380CC4-5D6E-409C-BE32-E72D297353CC}">
                <c16:uniqueId val="{00000009-6369-496A-9C27-ABAF323F8B1E}"/>
              </c:ext>
            </c:extLst>
          </c:dPt>
          <c:dPt>
            <c:idx val="10"/>
            <c:invertIfNegative val="0"/>
            <c:bubble3D val="0"/>
            <c:spPr>
              <a:solidFill>
                <a:srgbClr val="002060"/>
              </a:solidFill>
              <a:ln>
                <a:noFill/>
              </a:ln>
              <a:effectLst/>
            </c:spPr>
            <c:extLst>
              <c:ext xmlns:c16="http://schemas.microsoft.com/office/drawing/2014/chart" uri="{C3380CC4-5D6E-409C-BE32-E72D297353CC}">
                <c16:uniqueId val="{0000000B-6369-496A-9C27-ABAF323F8B1E}"/>
              </c:ext>
            </c:extLst>
          </c:dPt>
          <c:dPt>
            <c:idx val="13"/>
            <c:invertIfNegative val="0"/>
            <c:bubble3D val="0"/>
            <c:spPr>
              <a:solidFill>
                <a:srgbClr val="FF0066"/>
              </a:solidFill>
              <a:ln>
                <a:noFill/>
              </a:ln>
              <a:effectLst/>
            </c:spPr>
            <c:extLst>
              <c:ext xmlns:c16="http://schemas.microsoft.com/office/drawing/2014/chart" uri="{C3380CC4-5D6E-409C-BE32-E72D297353CC}">
                <c16:uniqueId val="{0000000D-6369-496A-9C27-ABAF323F8B1E}"/>
              </c:ext>
            </c:extLst>
          </c:dPt>
          <c:dPt>
            <c:idx val="14"/>
            <c:invertIfNegative val="0"/>
            <c:bubble3D val="0"/>
            <c:spPr>
              <a:solidFill>
                <a:srgbClr val="002060"/>
              </a:solidFill>
              <a:ln>
                <a:noFill/>
              </a:ln>
              <a:effectLst/>
            </c:spPr>
            <c:extLst>
              <c:ext xmlns:c16="http://schemas.microsoft.com/office/drawing/2014/chart" uri="{C3380CC4-5D6E-409C-BE32-E72D297353CC}">
                <c16:uniqueId val="{0000000F-6369-496A-9C27-ABAF323F8B1E}"/>
              </c:ext>
            </c:extLst>
          </c:dPt>
          <c:dPt>
            <c:idx val="17"/>
            <c:invertIfNegative val="0"/>
            <c:bubble3D val="0"/>
            <c:spPr>
              <a:solidFill>
                <a:srgbClr val="FF0066"/>
              </a:solidFill>
              <a:ln>
                <a:noFill/>
              </a:ln>
              <a:effectLst/>
            </c:spPr>
            <c:extLst>
              <c:ext xmlns:c16="http://schemas.microsoft.com/office/drawing/2014/chart" uri="{C3380CC4-5D6E-409C-BE32-E72D297353CC}">
                <c16:uniqueId val="{00000011-6369-496A-9C27-ABAF323F8B1E}"/>
              </c:ext>
            </c:extLst>
          </c:dPt>
          <c:dPt>
            <c:idx val="18"/>
            <c:invertIfNegative val="0"/>
            <c:bubble3D val="0"/>
            <c:spPr>
              <a:solidFill>
                <a:srgbClr val="002060"/>
              </a:solidFill>
              <a:ln>
                <a:noFill/>
              </a:ln>
              <a:effectLst/>
            </c:spPr>
            <c:extLst>
              <c:ext xmlns:c16="http://schemas.microsoft.com/office/drawing/2014/chart" uri="{C3380CC4-5D6E-409C-BE32-E72D297353CC}">
                <c16:uniqueId val="{00000013-6369-496A-9C27-ABAF323F8B1E}"/>
              </c:ext>
            </c:extLst>
          </c:dPt>
          <c:dPt>
            <c:idx val="21"/>
            <c:invertIfNegative val="0"/>
            <c:bubble3D val="0"/>
            <c:spPr>
              <a:solidFill>
                <a:srgbClr val="FF0066"/>
              </a:solidFill>
              <a:ln>
                <a:noFill/>
              </a:ln>
              <a:effectLst/>
            </c:spPr>
            <c:extLst>
              <c:ext xmlns:c16="http://schemas.microsoft.com/office/drawing/2014/chart" uri="{C3380CC4-5D6E-409C-BE32-E72D297353CC}">
                <c16:uniqueId val="{00000015-6369-496A-9C27-ABAF323F8B1E}"/>
              </c:ext>
            </c:extLst>
          </c:dPt>
          <c:dPt>
            <c:idx val="22"/>
            <c:invertIfNegative val="0"/>
            <c:bubble3D val="0"/>
            <c:spPr>
              <a:solidFill>
                <a:srgbClr val="002060"/>
              </a:solidFill>
              <a:ln>
                <a:noFill/>
              </a:ln>
              <a:effectLst/>
            </c:spPr>
            <c:extLst>
              <c:ext xmlns:c16="http://schemas.microsoft.com/office/drawing/2014/chart" uri="{C3380CC4-5D6E-409C-BE32-E72D297353CC}">
                <c16:uniqueId val="{00000017-6369-496A-9C27-ABAF323F8B1E}"/>
              </c:ext>
            </c:extLst>
          </c:dPt>
          <c:dPt>
            <c:idx val="25"/>
            <c:invertIfNegative val="0"/>
            <c:bubble3D val="0"/>
            <c:spPr>
              <a:solidFill>
                <a:srgbClr val="FF0066"/>
              </a:solidFill>
              <a:ln>
                <a:noFill/>
              </a:ln>
              <a:effectLst/>
            </c:spPr>
            <c:extLst>
              <c:ext xmlns:c16="http://schemas.microsoft.com/office/drawing/2014/chart" uri="{C3380CC4-5D6E-409C-BE32-E72D297353CC}">
                <c16:uniqueId val="{00000019-6369-496A-9C27-ABAF323F8B1E}"/>
              </c:ext>
            </c:extLst>
          </c:dPt>
          <c:dPt>
            <c:idx val="26"/>
            <c:invertIfNegative val="0"/>
            <c:bubble3D val="0"/>
            <c:spPr>
              <a:solidFill>
                <a:srgbClr val="002060"/>
              </a:solidFill>
              <a:ln>
                <a:noFill/>
              </a:ln>
              <a:effectLst/>
            </c:spPr>
            <c:extLst>
              <c:ext xmlns:c16="http://schemas.microsoft.com/office/drawing/2014/chart" uri="{C3380CC4-5D6E-409C-BE32-E72D297353CC}">
                <c16:uniqueId val="{0000001B-6369-496A-9C27-ABAF323F8B1E}"/>
              </c:ext>
            </c:extLst>
          </c:dPt>
          <c:dPt>
            <c:idx val="29"/>
            <c:invertIfNegative val="0"/>
            <c:bubble3D val="0"/>
            <c:spPr>
              <a:solidFill>
                <a:srgbClr val="FF0066"/>
              </a:solidFill>
              <a:ln>
                <a:noFill/>
              </a:ln>
              <a:effectLst/>
            </c:spPr>
            <c:extLst>
              <c:ext xmlns:c16="http://schemas.microsoft.com/office/drawing/2014/chart" uri="{C3380CC4-5D6E-409C-BE32-E72D297353CC}">
                <c16:uniqueId val="{0000001D-6369-496A-9C27-ABAF323F8B1E}"/>
              </c:ext>
            </c:extLst>
          </c:dPt>
          <c:dPt>
            <c:idx val="30"/>
            <c:invertIfNegative val="0"/>
            <c:bubble3D val="0"/>
            <c:spPr>
              <a:solidFill>
                <a:srgbClr val="002060"/>
              </a:solidFill>
              <a:ln>
                <a:noFill/>
              </a:ln>
              <a:effectLst/>
            </c:spPr>
            <c:extLst>
              <c:ext xmlns:c16="http://schemas.microsoft.com/office/drawing/2014/chart" uri="{C3380CC4-5D6E-409C-BE32-E72D297353CC}">
                <c16:uniqueId val="{0000001F-6369-496A-9C27-ABAF323F8B1E}"/>
              </c:ext>
            </c:extLst>
          </c:dPt>
          <c:dPt>
            <c:idx val="33"/>
            <c:invertIfNegative val="0"/>
            <c:bubble3D val="0"/>
            <c:spPr>
              <a:solidFill>
                <a:srgbClr val="FF0066"/>
              </a:solidFill>
              <a:ln>
                <a:noFill/>
              </a:ln>
              <a:effectLst/>
            </c:spPr>
            <c:extLst>
              <c:ext xmlns:c16="http://schemas.microsoft.com/office/drawing/2014/chart" uri="{C3380CC4-5D6E-409C-BE32-E72D297353CC}">
                <c16:uniqueId val="{00000021-6369-496A-9C27-ABAF323F8B1E}"/>
              </c:ext>
            </c:extLst>
          </c:dPt>
          <c:dPt>
            <c:idx val="34"/>
            <c:invertIfNegative val="0"/>
            <c:bubble3D val="0"/>
            <c:spPr>
              <a:solidFill>
                <a:srgbClr val="002060"/>
              </a:solidFill>
              <a:ln>
                <a:noFill/>
              </a:ln>
              <a:effectLst/>
            </c:spPr>
            <c:extLst>
              <c:ext xmlns:c16="http://schemas.microsoft.com/office/drawing/2014/chart" uri="{C3380CC4-5D6E-409C-BE32-E72D297353CC}">
                <c16:uniqueId val="{00000023-6369-496A-9C27-ABAF323F8B1E}"/>
              </c:ext>
            </c:extLst>
          </c:dPt>
          <c:dPt>
            <c:idx val="37"/>
            <c:invertIfNegative val="0"/>
            <c:bubble3D val="0"/>
            <c:spPr>
              <a:solidFill>
                <a:srgbClr val="FF0066"/>
              </a:solidFill>
              <a:ln>
                <a:noFill/>
              </a:ln>
              <a:effectLst/>
            </c:spPr>
            <c:extLst>
              <c:ext xmlns:c16="http://schemas.microsoft.com/office/drawing/2014/chart" uri="{C3380CC4-5D6E-409C-BE32-E72D297353CC}">
                <c16:uniqueId val="{00000025-6369-496A-9C27-ABAF323F8B1E}"/>
              </c:ext>
            </c:extLst>
          </c:dPt>
          <c:dPt>
            <c:idx val="38"/>
            <c:invertIfNegative val="0"/>
            <c:bubble3D val="0"/>
            <c:spPr>
              <a:solidFill>
                <a:srgbClr val="002060"/>
              </a:solidFill>
              <a:ln>
                <a:noFill/>
              </a:ln>
              <a:effectLst/>
            </c:spPr>
            <c:extLst>
              <c:ext xmlns:c16="http://schemas.microsoft.com/office/drawing/2014/chart" uri="{C3380CC4-5D6E-409C-BE32-E72D297353CC}">
                <c16:uniqueId val="{00000027-6369-496A-9C27-ABAF323F8B1E}"/>
              </c:ext>
            </c:extLst>
          </c:dPt>
          <c:dPt>
            <c:idx val="41"/>
            <c:invertIfNegative val="0"/>
            <c:bubble3D val="0"/>
            <c:spPr>
              <a:solidFill>
                <a:srgbClr val="FF0066"/>
              </a:solidFill>
              <a:ln>
                <a:noFill/>
              </a:ln>
              <a:effectLst/>
            </c:spPr>
            <c:extLst>
              <c:ext xmlns:c16="http://schemas.microsoft.com/office/drawing/2014/chart" uri="{C3380CC4-5D6E-409C-BE32-E72D297353CC}">
                <c16:uniqueId val="{00000029-6369-496A-9C27-ABAF323F8B1E}"/>
              </c:ext>
            </c:extLst>
          </c:dPt>
          <c:dPt>
            <c:idx val="42"/>
            <c:invertIfNegative val="0"/>
            <c:bubble3D val="0"/>
            <c:spPr>
              <a:solidFill>
                <a:srgbClr val="002060"/>
              </a:solidFill>
              <a:ln>
                <a:noFill/>
              </a:ln>
              <a:effectLst/>
            </c:spPr>
            <c:extLst>
              <c:ext xmlns:c16="http://schemas.microsoft.com/office/drawing/2014/chart" uri="{C3380CC4-5D6E-409C-BE32-E72D297353CC}">
                <c16:uniqueId val="{0000002B-6369-496A-9C27-ABAF323F8B1E}"/>
              </c:ext>
            </c:extLst>
          </c:dPt>
          <c:dPt>
            <c:idx val="45"/>
            <c:invertIfNegative val="0"/>
            <c:bubble3D val="0"/>
            <c:spPr>
              <a:solidFill>
                <a:srgbClr val="FF0066"/>
              </a:solidFill>
              <a:ln>
                <a:noFill/>
              </a:ln>
              <a:effectLst/>
            </c:spPr>
            <c:extLst>
              <c:ext xmlns:c16="http://schemas.microsoft.com/office/drawing/2014/chart" uri="{C3380CC4-5D6E-409C-BE32-E72D297353CC}">
                <c16:uniqueId val="{0000002D-6369-496A-9C27-ABAF323F8B1E}"/>
              </c:ext>
            </c:extLst>
          </c:dPt>
          <c:dPt>
            <c:idx val="46"/>
            <c:invertIfNegative val="0"/>
            <c:bubble3D val="0"/>
            <c:spPr>
              <a:solidFill>
                <a:srgbClr val="002060"/>
              </a:solidFill>
              <a:ln>
                <a:noFill/>
              </a:ln>
              <a:effectLst/>
            </c:spPr>
            <c:extLst>
              <c:ext xmlns:c16="http://schemas.microsoft.com/office/drawing/2014/chart" uri="{C3380CC4-5D6E-409C-BE32-E72D297353CC}">
                <c16:uniqueId val="{0000002F-6369-496A-9C27-ABAF323F8B1E}"/>
              </c:ext>
            </c:extLst>
          </c:dPt>
          <c:cat>
            <c:numRef>
              <c:f>Calculations!$D$55:$D$102</c:f>
              <c:numCache>
                <c:formatCode>mmm</c:formatCode>
                <c:ptCount val="48"/>
                <c:pt idx="0">
                  <c:v>44562</c:v>
                </c:pt>
                <c:pt idx="4">
                  <c:v>44593</c:v>
                </c:pt>
                <c:pt idx="8">
                  <c:v>44621</c:v>
                </c:pt>
                <c:pt idx="12">
                  <c:v>44652</c:v>
                </c:pt>
                <c:pt idx="16">
                  <c:v>44682</c:v>
                </c:pt>
                <c:pt idx="20">
                  <c:v>44713</c:v>
                </c:pt>
                <c:pt idx="24">
                  <c:v>44743</c:v>
                </c:pt>
                <c:pt idx="28">
                  <c:v>44774</c:v>
                </c:pt>
                <c:pt idx="32">
                  <c:v>44805</c:v>
                </c:pt>
                <c:pt idx="36">
                  <c:v>44835</c:v>
                </c:pt>
                <c:pt idx="40">
                  <c:v>44866</c:v>
                </c:pt>
                <c:pt idx="44">
                  <c:v>44896</c:v>
                </c:pt>
              </c:numCache>
            </c:numRef>
          </c:cat>
          <c:val>
            <c:numRef>
              <c:f>Calculations!$M$55:$M$102</c:f>
              <c:numCache>
                <c:formatCode>_-* #,##0_-;\-* #,##0_-;_-* "-"??_-;_-@_-</c:formatCode>
                <c:ptCount val="48"/>
                <c:pt idx="0">
                  <c:v>4650</c:v>
                </c:pt>
                <c:pt idx="1">
                  <c:v>2800</c:v>
                </c:pt>
                <c:pt idx="2">
                  <c:v>1750</c:v>
                </c:pt>
                <c:pt idx="4">
                  <c:v>4050</c:v>
                </c:pt>
                <c:pt idx="5">
                  <c:v>2900</c:v>
                </c:pt>
                <c:pt idx="6">
                  <c:v>1040</c:v>
                </c:pt>
                <c:pt idx="8">
                  <c:v>4600</c:v>
                </c:pt>
                <c:pt idx="9">
                  <c:v>2080</c:v>
                </c:pt>
                <c:pt idx="10">
                  <c:v>0</c:v>
                </c:pt>
                <c:pt idx="12">
                  <c:v>0</c:v>
                </c:pt>
                <c:pt idx="13">
                  <c:v>0</c:v>
                </c:pt>
                <c:pt idx="14">
                  <c:v>0</c:v>
                </c:pt>
                <c:pt idx="16">
                  <c:v>0</c:v>
                </c:pt>
                <c:pt idx="17">
                  <c:v>0</c:v>
                </c:pt>
                <c:pt idx="18">
                  <c:v>0</c:v>
                </c:pt>
                <c:pt idx="20">
                  <c:v>0</c:v>
                </c:pt>
                <c:pt idx="21">
                  <c:v>0</c:v>
                </c:pt>
                <c:pt idx="22">
                  <c:v>0</c:v>
                </c:pt>
                <c:pt idx="24">
                  <c:v>0</c:v>
                </c:pt>
                <c:pt idx="25">
                  <c:v>0</c:v>
                </c:pt>
                <c:pt idx="26">
                  <c:v>0</c:v>
                </c:pt>
                <c:pt idx="28">
                  <c:v>0</c:v>
                </c:pt>
                <c:pt idx="29">
                  <c:v>0</c:v>
                </c:pt>
                <c:pt idx="30">
                  <c:v>0</c:v>
                </c:pt>
                <c:pt idx="32">
                  <c:v>0</c:v>
                </c:pt>
                <c:pt idx="33">
                  <c:v>0</c:v>
                </c:pt>
                <c:pt idx="34">
                  <c:v>0</c:v>
                </c:pt>
                <c:pt idx="36">
                  <c:v>0</c:v>
                </c:pt>
                <c:pt idx="37">
                  <c:v>0</c:v>
                </c:pt>
                <c:pt idx="38">
                  <c:v>0</c:v>
                </c:pt>
                <c:pt idx="40">
                  <c:v>0</c:v>
                </c:pt>
                <c:pt idx="41">
                  <c:v>0</c:v>
                </c:pt>
                <c:pt idx="42">
                  <c:v>0</c:v>
                </c:pt>
                <c:pt idx="44">
                  <c:v>0</c:v>
                </c:pt>
                <c:pt idx="45">
                  <c:v>0</c:v>
                </c:pt>
                <c:pt idx="46">
                  <c:v>0</c:v>
                </c:pt>
              </c:numCache>
            </c:numRef>
          </c:val>
          <c:extLst>
            <c:ext xmlns:c16="http://schemas.microsoft.com/office/drawing/2014/chart" uri="{C3380CC4-5D6E-409C-BE32-E72D297353CC}">
              <c16:uniqueId val="{00000030-6369-496A-9C27-ABAF323F8B1E}"/>
            </c:ext>
          </c:extLst>
        </c:ser>
        <c:ser>
          <c:idx val="1"/>
          <c:order val="1"/>
          <c:spPr>
            <a:solidFill>
              <a:schemeClr val="accent6">
                <a:lumMod val="40000"/>
                <a:lumOff val="60000"/>
              </a:schemeClr>
            </a:solidFill>
            <a:ln>
              <a:solidFill>
                <a:schemeClr val="bg1"/>
              </a:solidFill>
            </a:ln>
            <a:effectLst/>
          </c:spPr>
          <c:invertIfNegative val="0"/>
          <c:dPt>
            <c:idx val="1"/>
            <c:invertIfNegative val="0"/>
            <c:bubble3D val="0"/>
            <c:spPr>
              <a:solidFill>
                <a:srgbClr val="FFCCCC"/>
              </a:solidFill>
              <a:ln>
                <a:solidFill>
                  <a:schemeClr val="bg1"/>
                </a:solidFill>
              </a:ln>
              <a:effectLst/>
            </c:spPr>
            <c:extLst>
              <c:ext xmlns:c16="http://schemas.microsoft.com/office/drawing/2014/chart" uri="{C3380CC4-5D6E-409C-BE32-E72D297353CC}">
                <c16:uniqueId val="{00000032-6369-496A-9C27-ABAF323F8B1E}"/>
              </c:ext>
            </c:extLst>
          </c:dPt>
          <c:dPt>
            <c:idx val="2"/>
            <c:invertIfNegative val="0"/>
            <c:bubble3D val="0"/>
            <c:spPr>
              <a:solidFill>
                <a:schemeClr val="accent5">
                  <a:lumMod val="40000"/>
                  <a:lumOff val="60000"/>
                </a:schemeClr>
              </a:solidFill>
              <a:ln>
                <a:solidFill>
                  <a:schemeClr val="bg1"/>
                </a:solidFill>
              </a:ln>
              <a:effectLst/>
            </c:spPr>
            <c:extLst>
              <c:ext xmlns:c16="http://schemas.microsoft.com/office/drawing/2014/chart" uri="{C3380CC4-5D6E-409C-BE32-E72D297353CC}">
                <c16:uniqueId val="{00000034-6369-496A-9C27-ABAF323F8B1E}"/>
              </c:ext>
            </c:extLst>
          </c:dPt>
          <c:dPt>
            <c:idx val="5"/>
            <c:invertIfNegative val="0"/>
            <c:bubble3D val="0"/>
            <c:spPr>
              <a:solidFill>
                <a:srgbClr val="FFCCCC"/>
              </a:solidFill>
              <a:ln>
                <a:solidFill>
                  <a:schemeClr val="bg1"/>
                </a:solidFill>
              </a:ln>
              <a:effectLst/>
            </c:spPr>
            <c:extLst>
              <c:ext xmlns:c16="http://schemas.microsoft.com/office/drawing/2014/chart" uri="{C3380CC4-5D6E-409C-BE32-E72D297353CC}">
                <c16:uniqueId val="{00000036-6369-496A-9C27-ABAF323F8B1E}"/>
              </c:ext>
            </c:extLst>
          </c:dPt>
          <c:dPt>
            <c:idx val="6"/>
            <c:invertIfNegative val="0"/>
            <c:bubble3D val="0"/>
            <c:spPr>
              <a:solidFill>
                <a:schemeClr val="accent5">
                  <a:lumMod val="40000"/>
                  <a:lumOff val="60000"/>
                </a:schemeClr>
              </a:solidFill>
              <a:ln>
                <a:solidFill>
                  <a:schemeClr val="bg1"/>
                </a:solidFill>
              </a:ln>
              <a:effectLst/>
            </c:spPr>
            <c:extLst>
              <c:ext xmlns:c16="http://schemas.microsoft.com/office/drawing/2014/chart" uri="{C3380CC4-5D6E-409C-BE32-E72D297353CC}">
                <c16:uniqueId val="{00000038-6369-496A-9C27-ABAF323F8B1E}"/>
              </c:ext>
            </c:extLst>
          </c:dPt>
          <c:dPt>
            <c:idx val="9"/>
            <c:invertIfNegative val="0"/>
            <c:bubble3D val="0"/>
            <c:spPr>
              <a:solidFill>
                <a:srgbClr val="FFCCCC"/>
              </a:solidFill>
              <a:ln>
                <a:solidFill>
                  <a:schemeClr val="bg1"/>
                </a:solidFill>
              </a:ln>
              <a:effectLst/>
            </c:spPr>
            <c:extLst>
              <c:ext xmlns:c16="http://schemas.microsoft.com/office/drawing/2014/chart" uri="{C3380CC4-5D6E-409C-BE32-E72D297353CC}">
                <c16:uniqueId val="{0000003A-6369-496A-9C27-ABAF323F8B1E}"/>
              </c:ext>
            </c:extLst>
          </c:dPt>
          <c:dPt>
            <c:idx val="10"/>
            <c:invertIfNegative val="0"/>
            <c:bubble3D val="0"/>
            <c:spPr>
              <a:solidFill>
                <a:schemeClr val="accent5">
                  <a:lumMod val="40000"/>
                  <a:lumOff val="60000"/>
                </a:schemeClr>
              </a:solidFill>
              <a:ln>
                <a:solidFill>
                  <a:schemeClr val="bg1"/>
                </a:solidFill>
              </a:ln>
              <a:effectLst/>
            </c:spPr>
            <c:extLst>
              <c:ext xmlns:c16="http://schemas.microsoft.com/office/drawing/2014/chart" uri="{C3380CC4-5D6E-409C-BE32-E72D297353CC}">
                <c16:uniqueId val="{0000003C-6369-496A-9C27-ABAF323F8B1E}"/>
              </c:ext>
            </c:extLst>
          </c:dPt>
          <c:dPt>
            <c:idx val="13"/>
            <c:invertIfNegative val="0"/>
            <c:bubble3D val="0"/>
            <c:spPr>
              <a:solidFill>
                <a:srgbClr val="FFCCCC"/>
              </a:solidFill>
              <a:ln>
                <a:solidFill>
                  <a:schemeClr val="bg1"/>
                </a:solidFill>
              </a:ln>
              <a:effectLst/>
            </c:spPr>
            <c:extLst>
              <c:ext xmlns:c16="http://schemas.microsoft.com/office/drawing/2014/chart" uri="{C3380CC4-5D6E-409C-BE32-E72D297353CC}">
                <c16:uniqueId val="{0000003E-6369-496A-9C27-ABAF323F8B1E}"/>
              </c:ext>
            </c:extLst>
          </c:dPt>
          <c:dPt>
            <c:idx val="14"/>
            <c:invertIfNegative val="0"/>
            <c:bubble3D val="0"/>
            <c:spPr>
              <a:solidFill>
                <a:schemeClr val="accent5">
                  <a:lumMod val="40000"/>
                  <a:lumOff val="60000"/>
                </a:schemeClr>
              </a:solidFill>
              <a:ln>
                <a:solidFill>
                  <a:schemeClr val="bg1"/>
                </a:solidFill>
              </a:ln>
              <a:effectLst/>
            </c:spPr>
            <c:extLst>
              <c:ext xmlns:c16="http://schemas.microsoft.com/office/drawing/2014/chart" uri="{C3380CC4-5D6E-409C-BE32-E72D297353CC}">
                <c16:uniqueId val="{00000040-6369-496A-9C27-ABAF323F8B1E}"/>
              </c:ext>
            </c:extLst>
          </c:dPt>
          <c:dPt>
            <c:idx val="17"/>
            <c:invertIfNegative val="0"/>
            <c:bubble3D val="0"/>
            <c:spPr>
              <a:solidFill>
                <a:srgbClr val="FFCCCC"/>
              </a:solidFill>
              <a:ln>
                <a:solidFill>
                  <a:schemeClr val="bg1"/>
                </a:solidFill>
              </a:ln>
              <a:effectLst/>
            </c:spPr>
            <c:extLst>
              <c:ext xmlns:c16="http://schemas.microsoft.com/office/drawing/2014/chart" uri="{C3380CC4-5D6E-409C-BE32-E72D297353CC}">
                <c16:uniqueId val="{00000042-6369-496A-9C27-ABAF323F8B1E}"/>
              </c:ext>
            </c:extLst>
          </c:dPt>
          <c:dPt>
            <c:idx val="18"/>
            <c:invertIfNegative val="0"/>
            <c:bubble3D val="0"/>
            <c:spPr>
              <a:solidFill>
                <a:schemeClr val="accent5">
                  <a:lumMod val="40000"/>
                  <a:lumOff val="60000"/>
                </a:schemeClr>
              </a:solidFill>
              <a:ln>
                <a:solidFill>
                  <a:schemeClr val="bg1"/>
                </a:solidFill>
              </a:ln>
              <a:effectLst/>
            </c:spPr>
            <c:extLst>
              <c:ext xmlns:c16="http://schemas.microsoft.com/office/drawing/2014/chart" uri="{C3380CC4-5D6E-409C-BE32-E72D297353CC}">
                <c16:uniqueId val="{00000044-6369-496A-9C27-ABAF323F8B1E}"/>
              </c:ext>
            </c:extLst>
          </c:dPt>
          <c:dPt>
            <c:idx val="21"/>
            <c:invertIfNegative val="0"/>
            <c:bubble3D val="0"/>
            <c:spPr>
              <a:solidFill>
                <a:srgbClr val="FFCCCC"/>
              </a:solidFill>
              <a:ln>
                <a:solidFill>
                  <a:schemeClr val="bg1"/>
                </a:solidFill>
              </a:ln>
              <a:effectLst/>
            </c:spPr>
            <c:extLst>
              <c:ext xmlns:c16="http://schemas.microsoft.com/office/drawing/2014/chart" uri="{C3380CC4-5D6E-409C-BE32-E72D297353CC}">
                <c16:uniqueId val="{00000046-6369-496A-9C27-ABAF323F8B1E}"/>
              </c:ext>
            </c:extLst>
          </c:dPt>
          <c:dPt>
            <c:idx val="22"/>
            <c:invertIfNegative val="0"/>
            <c:bubble3D val="0"/>
            <c:spPr>
              <a:solidFill>
                <a:schemeClr val="accent5">
                  <a:lumMod val="40000"/>
                  <a:lumOff val="60000"/>
                </a:schemeClr>
              </a:solidFill>
              <a:ln>
                <a:solidFill>
                  <a:schemeClr val="bg1"/>
                </a:solidFill>
              </a:ln>
              <a:effectLst/>
            </c:spPr>
            <c:extLst>
              <c:ext xmlns:c16="http://schemas.microsoft.com/office/drawing/2014/chart" uri="{C3380CC4-5D6E-409C-BE32-E72D297353CC}">
                <c16:uniqueId val="{00000048-6369-496A-9C27-ABAF323F8B1E}"/>
              </c:ext>
            </c:extLst>
          </c:dPt>
          <c:dPt>
            <c:idx val="25"/>
            <c:invertIfNegative val="0"/>
            <c:bubble3D val="0"/>
            <c:spPr>
              <a:solidFill>
                <a:srgbClr val="FFCCCC"/>
              </a:solidFill>
              <a:ln>
                <a:solidFill>
                  <a:schemeClr val="bg1"/>
                </a:solidFill>
              </a:ln>
              <a:effectLst/>
            </c:spPr>
            <c:extLst>
              <c:ext xmlns:c16="http://schemas.microsoft.com/office/drawing/2014/chart" uri="{C3380CC4-5D6E-409C-BE32-E72D297353CC}">
                <c16:uniqueId val="{0000004A-6369-496A-9C27-ABAF323F8B1E}"/>
              </c:ext>
            </c:extLst>
          </c:dPt>
          <c:dPt>
            <c:idx val="26"/>
            <c:invertIfNegative val="0"/>
            <c:bubble3D val="0"/>
            <c:spPr>
              <a:solidFill>
                <a:schemeClr val="accent5">
                  <a:lumMod val="40000"/>
                  <a:lumOff val="60000"/>
                </a:schemeClr>
              </a:solidFill>
              <a:ln>
                <a:solidFill>
                  <a:schemeClr val="bg1"/>
                </a:solidFill>
              </a:ln>
              <a:effectLst/>
            </c:spPr>
            <c:extLst>
              <c:ext xmlns:c16="http://schemas.microsoft.com/office/drawing/2014/chart" uri="{C3380CC4-5D6E-409C-BE32-E72D297353CC}">
                <c16:uniqueId val="{0000004C-6369-496A-9C27-ABAF323F8B1E}"/>
              </c:ext>
            </c:extLst>
          </c:dPt>
          <c:dPt>
            <c:idx val="29"/>
            <c:invertIfNegative val="0"/>
            <c:bubble3D val="0"/>
            <c:spPr>
              <a:solidFill>
                <a:srgbClr val="FFCCCC"/>
              </a:solidFill>
              <a:ln>
                <a:solidFill>
                  <a:schemeClr val="bg1"/>
                </a:solidFill>
              </a:ln>
              <a:effectLst/>
            </c:spPr>
            <c:extLst>
              <c:ext xmlns:c16="http://schemas.microsoft.com/office/drawing/2014/chart" uri="{C3380CC4-5D6E-409C-BE32-E72D297353CC}">
                <c16:uniqueId val="{0000004E-6369-496A-9C27-ABAF323F8B1E}"/>
              </c:ext>
            </c:extLst>
          </c:dPt>
          <c:dPt>
            <c:idx val="30"/>
            <c:invertIfNegative val="0"/>
            <c:bubble3D val="0"/>
            <c:spPr>
              <a:solidFill>
                <a:schemeClr val="accent5">
                  <a:lumMod val="40000"/>
                  <a:lumOff val="60000"/>
                </a:schemeClr>
              </a:solidFill>
              <a:ln>
                <a:solidFill>
                  <a:schemeClr val="bg1"/>
                </a:solidFill>
              </a:ln>
              <a:effectLst/>
            </c:spPr>
            <c:extLst>
              <c:ext xmlns:c16="http://schemas.microsoft.com/office/drawing/2014/chart" uri="{C3380CC4-5D6E-409C-BE32-E72D297353CC}">
                <c16:uniqueId val="{00000050-6369-496A-9C27-ABAF323F8B1E}"/>
              </c:ext>
            </c:extLst>
          </c:dPt>
          <c:dPt>
            <c:idx val="33"/>
            <c:invertIfNegative val="0"/>
            <c:bubble3D val="0"/>
            <c:spPr>
              <a:solidFill>
                <a:srgbClr val="FFCCCC"/>
              </a:solidFill>
              <a:ln>
                <a:solidFill>
                  <a:schemeClr val="bg1"/>
                </a:solidFill>
              </a:ln>
              <a:effectLst/>
            </c:spPr>
            <c:extLst>
              <c:ext xmlns:c16="http://schemas.microsoft.com/office/drawing/2014/chart" uri="{C3380CC4-5D6E-409C-BE32-E72D297353CC}">
                <c16:uniqueId val="{00000052-6369-496A-9C27-ABAF323F8B1E}"/>
              </c:ext>
            </c:extLst>
          </c:dPt>
          <c:dPt>
            <c:idx val="34"/>
            <c:invertIfNegative val="0"/>
            <c:bubble3D val="0"/>
            <c:spPr>
              <a:solidFill>
                <a:schemeClr val="accent5">
                  <a:lumMod val="40000"/>
                  <a:lumOff val="60000"/>
                </a:schemeClr>
              </a:solidFill>
              <a:ln>
                <a:solidFill>
                  <a:schemeClr val="bg1"/>
                </a:solidFill>
              </a:ln>
              <a:effectLst/>
            </c:spPr>
            <c:extLst>
              <c:ext xmlns:c16="http://schemas.microsoft.com/office/drawing/2014/chart" uri="{C3380CC4-5D6E-409C-BE32-E72D297353CC}">
                <c16:uniqueId val="{00000054-6369-496A-9C27-ABAF323F8B1E}"/>
              </c:ext>
            </c:extLst>
          </c:dPt>
          <c:dPt>
            <c:idx val="37"/>
            <c:invertIfNegative val="0"/>
            <c:bubble3D val="0"/>
            <c:spPr>
              <a:solidFill>
                <a:srgbClr val="FFCCCC"/>
              </a:solidFill>
              <a:ln>
                <a:noFill/>
              </a:ln>
              <a:effectLst/>
            </c:spPr>
            <c:extLst>
              <c:ext xmlns:c16="http://schemas.microsoft.com/office/drawing/2014/chart" uri="{C3380CC4-5D6E-409C-BE32-E72D297353CC}">
                <c16:uniqueId val="{00000056-6369-496A-9C27-ABAF323F8B1E}"/>
              </c:ext>
            </c:extLst>
          </c:dPt>
          <c:dPt>
            <c:idx val="38"/>
            <c:invertIfNegative val="0"/>
            <c:bubble3D val="0"/>
            <c:spPr>
              <a:solidFill>
                <a:schemeClr val="accent5">
                  <a:lumMod val="40000"/>
                  <a:lumOff val="60000"/>
                </a:schemeClr>
              </a:solidFill>
              <a:ln>
                <a:solidFill>
                  <a:schemeClr val="bg1"/>
                </a:solidFill>
              </a:ln>
              <a:effectLst/>
            </c:spPr>
            <c:extLst>
              <c:ext xmlns:c16="http://schemas.microsoft.com/office/drawing/2014/chart" uri="{C3380CC4-5D6E-409C-BE32-E72D297353CC}">
                <c16:uniqueId val="{00000058-6369-496A-9C27-ABAF323F8B1E}"/>
              </c:ext>
            </c:extLst>
          </c:dPt>
          <c:dPt>
            <c:idx val="41"/>
            <c:invertIfNegative val="0"/>
            <c:bubble3D val="0"/>
            <c:spPr>
              <a:solidFill>
                <a:srgbClr val="FFCCCC"/>
              </a:solidFill>
              <a:ln>
                <a:solidFill>
                  <a:schemeClr val="bg1"/>
                </a:solidFill>
              </a:ln>
              <a:effectLst/>
            </c:spPr>
            <c:extLst>
              <c:ext xmlns:c16="http://schemas.microsoft.com/office/drawing/2014/chart" uri="{C3380CC4-5D6E-409C-BE32-E72D297353CC}">
                <c16:uniqueId val="{0000005A-6369-496A-9C27-ABAF323F8B1E}"/>
              </c:ext>
            </c:extLst>
          </c:dPt>
          <c:dPt>
            <c:idx val="42"/>
            <c:invertIfNegative val="0"/>
            <c:bubble3D val="0"/>
            <c:spPr>
              <a:solidFill>
                <a:schemeClr val="accent5">
                  <a:lumMod val="40000"/>
                  <a:lumOff val="60000"/>
                </a:schemeClr>
              </a:solidFill>
              <a:ln>
                <a:solidFill>
                  <a:schemeClr val="bg1"/>
                </a:solidFill>
              </a:ln>
              <a:effectLst/>
            </c:spPr>
            <c:extLst>
              <c:ext xmlns:c16="http://schemas.microsoft.com/office/drawing/2014/chart" uri="{C3380CC4-5D6E-409C-BE32-E72D297353CC}">
                <c16:uniqueId val="{0000005C-6369-496A-9C27-ABAF323F8B1E}"/>
              </c:ext>
            </c:extLst>
          </c:dPt>
          <c:dPt>
            <c:idx val="45"/>
            <c:invertIfNegative val="0"/>
            <c:bubble3D val="0"/>
            <c:spPr>
              <a:solidFill>
                <a:srgbClr val="FFCCCC"/>
              </a:solidFill>
              <a:ln>
                <a:solidFill>
                  <a:schemeClr val="bg1"/>
                </a:solidFill>
              </a:ln>
              <a:effectLst/>
            </c:spPr>
            <c:extLst>
              <c:ext xmlns:c16="http://schemas.microsoft.com/office/drawing/2014/chart" uri="{C3380CC4-5D6E-409C-BE32-E72D297353CC}">
                <c16:uniqueId val="{0000005E-6369-496A-9C27-ABAF323F8B1E}"/>
              </c:ext>
            </c:extLst>
          </c:dPt>
          <c:dPt>
            <c:idx val="46"/>
            <c:invertIfNegative val="0"/>
            <c:bubble3D val="0"/>
            <c:spPr>
              <a:solidFill>
                <a:schemeClr val="accent5">
                  <a:lumMod val="40000"/>
                  <a:lumOff val="60000"/>
                </a:schemeClr>
              </a:solidFill>
              <a:ln>
                <a:solidFill>
                  <a:schemeClr val="bg1"/>
                </a:solidFill>
              </a:ln>
              <a:effectLst/>
            </c:spPr>
            <c:extLst>
              <c:ext xmlns:c16="http://schemas.microsoft.com/office/drawing/2014/chart" uri="{C3380CC4-5D6E-409C-BE32-E72D297353CC}">
                <c16:uniqueId val="{00000060-6369-496A-9C27-ABAF323F8B1E}"/>
              </c:ext>
            </c:extLst>
          </c:dPt>
          <c:cat>
            <c:numRef>
              <c:f>Calculations!$D$55:$D$102</c:f>
              <c:numCache>
                <c:formatCode>mmm</c:formatCode>
                <c:ptCount val="48"/>
                <c:pt idx="0">
                  <c:v>44562</c:v>
                </c:pt>
                <c:pt idx="4">
                  <c:v>44593</c:v>
                </c:pt>
                <c:pt idx="8">
                  <c:v>44621</c:v>
                </c:pt>
                <c:pt idx="12">
                  <c:v>44652</c:v>
                </c:pt>
                <c:pt idx="16">
                  <c:v>44682</c:v>
                </c:pt>
                <c:pt idx="20">
                  <c:v>44713</c:v>
                </c:pt>
                <c:pt idx="24">
                  <c:v>44743</c:v>
                </c:pt>
                <c:pt idx="28">
                  <c:v>44774</c:v>
                </c:pt>
                <c:pt idx="32">
                  <c:v>44805</c:v>
                </c:pt>
                <c:pt idx="36">
                  <c:v>44835</c:v>
                </c:pt>
                <c:pt idx="40">
                  <c:v>44866</c:v>
                </c:pt>
                <c:pt idx="44">
                  <c:v>44896</c:v>
                </c:pt>
              </c:numCache>
            </c:numRef>
          </c:cat>
          <c:val>
            <c:numRef>
              <c:f>Calculations!$N$55:$N$102</c:f>
              <c:numCache>
                <c:formatCode>_-* #,##0_-;\-* #,##0_-;_-* "-"??_-;_-@_-</c:formatCode>
                <c:ptCount val="48"/>
                <c:pt idx="0">
                  <c:v>0</c:v>
                </c:pt>
                <c:pt idx="1">
                  <c:v>100</c:v>
                </c:pt>
                <c:pt idx="2">
                  <c:v>0</c:v>
                </c:pt>
                <c:pt idx="4">
                  <c:v>500</c:v>
                </c:pt>
                <c:pt idx="5">
                  <c:v>0</c:v>
                </c:pt>
                <c:pt idx="6">
                  <c:v>610</c:v>
                </c:pt>
                <c:pt idx="8">
                  <c:v>0</c:v>
                </c:pt>
                <c:pt idx="9">
                  <c:v>970</c:v>
                </c:pt>
                <c:pt idx="10">
                  <c:v>1550</c:v>
                </c:pt>
                <c:pt idx="12">
                  <c:v>5650</c:v>
                </c:pt>
                <c:pt idx="13">
                  <c:v>3800</c:v>
                </c:pt>
                <c:pt idx="14">
                  <c:v>1850</c:v>
                </c:pt>
                <c:pt idx="16">
                  <c:v>5550</c:v>
                </c:pt>
                <c:pt idx="17">
                  <c:v>2900</c:v>
                </c:pt>
                <c:pt idx="18">
                  <c:v>2650</c:v>
                </c:pt>
                <c:pt idx="20">
                  <c:v>5600</c:v>
                </c:pt>
                <c:pt idx="21">
                  <c:v>3050</c:v>
                </c:pt>
                <c:pt idx="22">
                  <c:v>2550</c:v>
                </c:pt>
                <c:pt idx="24">
                  <c:v>5650</c:v>
                </c:pt>
                <c:pt idx="25">
                  <c:v>2900</c:v>
                </c:pt>
                <c:pt idx="26">
                  <c:v>2750</c:v>
                </c:pt>
                <c:pt idx="28">
                  <c:v>5550</c:v>
                </c:pt>
                <c:pt idx="29">
                  <c:v>4100</c:v>
                </c:pt>
                <c:pt idx="30">
                  <c:v>1450</c:v>
                </c:pt>
                <c:pt idx="32">
                  <c:v>5600</c:v>
                </c:pt>
                <c:pt idx="33">
                  <c:v>3050</c:v>
                </c:pt>
                <c:pt idx="34">
                  <c:v>2550</c:v>
                </c:pt>
                <c:pt idx="36">
                  <c:v>5650</c:v>
                </c:pt>
                <c:pt idx="37">
                  <c:v>2900</c:v>
                </c:pt>
                <c:pt idx="38">
                  <c:v>2750</c:v>
                </c:pt>
                <c:pt idx="40">
                  <c:v>5550</c:v>
                </c:pt>
                <c:pt idx="41">
                  <c:v>2900</c:v>
                </c:pt>
                <c:pt idx="42">
                  <c:v>2650</c:v>
                </c:pt>
                <c:pt idx="44">
                  <c:v>5600</c:v>
                </c:pt>
                <c:pt idx="45">
                  <c:v>3350</c:v>
                </c:pt>
                <c:pt idx="46">
                  <c:v>2250</c:v>
                </c:pt>
              </c:numCache>
            </c:numRef>
          </c:val>
          <c:extLst>
            <c:ext xmlns:c16="http://schemas.microsoft.com/office/drawing/2014/chart" uri="{C3380CC4-5D6E-409C-BE32-E72D297353CC}">
              <c16:uniqueId val="{00000061-6369-496A-9C27-ABAF323F8B1E}"/>
            </c:ext>
          </c:extLst>
        </c:ser>
        <c:ser>
          <c:idx val="2"/>
          <c:order val="2"/>
          <c:spPr>
            <a:solidFill>
              <a:schemeClr val="accent6">
                <a:lumMod val="75000"/>
              </a:schemeClr>
            </a:solidFill>
            <a:ln>
              <a:noFill/>
            </a:ln>
            <a:effectLst/>
          </c:spPr>
          <c:invertIfNegative val="0"/>
          <c:dPt>
            <c:idx val="1"/>
            <c:invertIfNegative val="0"/>
            <c:bubble3D val="0"/>
            <c:spPr>
              <a:solidFill>
                <a:srgbClr val="C00000"/>
              </a:solidFill>
              <a:ln>
                <a:noFill/>
              </a:ln>
              <a:effectLst/>
            </c:spPr>
            <c:extLst>
              <c:ext xmlns:c16="http://schemas.microsoft.com/office/drawing/2014/chart" uri="{C3380CC4-5D6E-409C-BE32-E72D297353CC}">
                <c16:uniqueId val="{00000063-6369-496A-9C27-ABAF323F8B1E}"/>
              </c:ext>
            </c:extLst>
          </c:dPt>
          <c:dPt>
            <c:idx val="2"/>
            <c:invertIfNegative val="0"/>
            <c:bubble3D val="0"/>
            <c:spPr>
              <a:solidFill>
                <a:schemeClr val="accent5">
                  <a:lumMod val="75000"/>
                </a:schemeClr>
              </a:solidFill>
              <a:ln>
                <a:noFill/>
              </a:ln>
              <a:effectLst/>
            </c:spPr>
            <c:extLst>
              <c:ext xmlns:c16="http://schemas.microsoft.com/office/drawing/2014/chart" uri="{C3380CC4-5D6E-409C-BE32-E72D297353CC}">
                <c16:uniqueId val="{00000065-6369-496A-9C27-ABAF323F8B1E}"/>
              </c:ext>
            </c:extLst>
          </c:dPt>
          <c:dPt>
            <c:idx val="5"/>
            <c:invertIfNegative val="0"/>
            <c:bubble3D val="0"/>
            <c:spPr>
              <a:solidFill>
                <a:srgbClr val="C00000"/>
              </a:solidFill>
              <a:ln>
                <a:noFill/>
              </a:ln>
              <a:effectLst/>
            </c:spPr>
            <c:extLst>
              <c:ext xmlns:c16="http://schemas.microsoft.com/office/drawing/2014/chart" uri="{C3380CC4-5D6E-409C-BE32-E72D297353CC}">
                <c16:uniqueId val="{00000067-6369-496A-9C27-ABAF323F8B1E}"/>
              </c:ext>
            </c:extLst>
          </c:dPt>
          <c:dPt>
            <c:idx val="6"/>
            <c:invertIfNegative val="0"/>
            <c:bubble3D val="0"/>
            <c:spPr>
              <a:solidFill>
                <a:schemeClr val="accent5">
                  <a:lumMod val="75000"/>
                </a:schemeClr>
              </a:solidFill>
              <a:ln>
                <a:noFill/>
              </a:ln>
              <a:effectLst/>
            </c:spPr>
            <c:extLst>
              <c:ext xmlns:c16="http://schemas.microsoft.com/office/drawing/2014/chart" uri="{C3380CC4-5D6E-409C-BE32-E72D297353CC}">
                <c16:uniqueId val="{00000069-6369-496A-9C27-ABAF323F8B1E}"/>
              </c:ext>
            </c:extLst>
          </c:dPt>
          <c:dPt>
            <c:idx val="9"/>
            <c:invertIfNegative val="0"/>
            <c:bubble3D val="0"/>
            <c:spPr>
              <a:solidFill>
                <a:srgbClr val="C00000"/>
              </a:solidFill>
              <a:ln>
                <a:noFill/>
              </a:ln>
              <a:effectLst/>
            </c:spPr>
            <c:extLst>
              <c:ext xmlns:c16="http://schemas.microsoft.com/office/drawing/2014/chart" uri="{C3380CC4-5D6E-409C-BE32-E72D297353CC}">
                <c16:uniqueId val="{0000006B-6369-496A-9C27-ABAF323F8B1E}"/>
              </c:ext>
            </c:extLst>
          </c:dPt>
          <c:dPt>
            <c:idx val="10"/>
            <c:invertIfNegative val="0"/>
            <c:bubble3D val="0"/>
            <c:spPr>
              <a:solidFill>
                <a:schemeClr val="accent5">
                  <a:lumMod val="75000"/>
                </a:schemeClr>
              </a:solidFill>
              <a:ln>
                <a:noFill/>
              </a:ln>
              <a:effectLst/>
            </c:spPr>
            <c:extLst>
              <c:ext xmlns:c16="http://schemas.microsoft.com/office/drawing/2014/chart" uri="{C3380CC4-5D6E-409C-BE32-E72D297353CC}">
                <c16:uniqueId val="{0000006D-6369-496A-9C27-ABAF323F8B1E}"/>
              </c:ext>
            </c:extLst>
          </c:dPt>
          <c:dPt>
            <c:idx val="13"/>
            <c:invertIfNegative val="0"/>
            <c:bubble3D val="0"/>
            <c:spPr>
              <a:solidFill>
                <a:srgbClr val="C00000"/>
              </a:solidFill>
              <a:ln>
                <a:noFill/>
              </a:ln>
              <a:effectLst/>
            </c:spPr>
            <c:extLst>
              <c:ext xmlns:c16="http://schemas.microsoft.com/office/drawing/2014/chart" uri="{C3380CC4-5D6E-409C-BE32-E72D297353CC}">
                <c16:uniqueId val="{0000006F-6369-496A-9C27-ABAF323F8B1E}"/>
              </c:ext>
            </c:extLst>
          </c:dPt>
          <c:dPt>
            <c:idx val="14"/>
            <c:invertIfNegative val="0"/>
            <c:bubble3D val="0"/>
            <c:spPr>
              <a:solidFill>
                <a:schemeClr val="accent5">
                  <a:lumMod val="75000"/>
                </a:schemeClr>
              </a:solidFill>
              <a:ln>
                <a:noFill/>
              </a:ln>
              <a:effectLst/>
            </c:spPr>
            <c:extLst>
              <c:ext xmlns:c16="http://schemas.microsoft.com/office/drawing/2014/chart" uri="{C3380CC4-5D6E-409C-BE32-E72D297353CC}">
                <c16:uniqueId val="{00000071-6369-496A-9C27-ABAF323F8B1E}"/>
              </c:ext>
            </c:extLst>
          </c:dPt>
          <c:dPt>
            <c:idx val="17"/>
            <c:invertIfNegative val="0"/>
            <c:bubble3D val="0"/>
            <c:spPr>
              <a:solidFill>
                <a:srgbClr val="C00000"/>
              </a:solidFill>
              <a:ln>
                <a:noFill/>
              </a:ln>
              <a:effectLst/>
            </c:spPr>
            <c:extLst>
              <c:ext xmlns:c16="http://schemas.microsoft.com/office/drawing/2014/chart" uri="{C3380CC4-5D6E-409C-BE32-E72D297353CC}">
                <c16:uniqueId val="{00000073-6369-496A-9C27-ABAF323F8B1E}"/>
              </c:ext>
            </c:extLst>
          </c:dPt>
          <c:dPt>
            <c:idx val="18"/>
            <c:invertIfNegative val="0"/>
            <c:bubble3D val="0"/>
            <c:spPr>
              <a:solidFill>
                <a:schemeClr val="accent5">
                  <a:lumMod val="75000"/>
                </a:schemeClr>
              </a:solidFill>
              <a:ln>
                <a:noFill/>
              </a:ln>
              <a:effectLst/>
            </c:spPr>
            <c:extLst>
              <c:ext xmlns:c16="http://schemas.microsoft.com/office/drawing/2014/chart" uri="{C3380CC4-5D6E-409C-BE32-E72D297353CC}">
                <c16:uniqueId val="{00000075-6369-496A-9C27-ABAF323F8B1E}"/>
              </c:ext>
            </c:extLst>
          </c:dPt>
          <c:dPt>
            <c:idx val="21"/>
            <c:invertIfNegative val="0"/>
            <c:bubble3D val="0"/>
            <c:spPr>
              <a:solidFill>
                <a:srgbClr val="C00000"/>
              </a:solidFill>
              <a:ln>
                <a:noFill/>
              </a:ln>
              <a:effectLst/>
            </c:spPr>
            <c:extLst>
              <c:ext xmlns:c16="http://schemas.microsoft.com/office/drawing/2014/chart" uri="{C3380CC4-5D6E-409C-BE32-E72D297353CC}">
                <c16:uniqueId val="{00000077-6369-496A-9C27-ABAF323F8B1E}"/>
              </c:ext>
            </c:extLst>
          </c:dPt>
          <c:dPt>
            <c:idx val="22"/>
            <c:invertIfNegative val="0"/>
            <c:bubble3D val="0"/>
            <c:spPr>
              <a:solidFill>
                <a:schemeClr val="accent5">
                  <a:lumMod val="75000"/>
                </a:schemeClr>
              </a:solidFill>
              <a:ln>
                <a:noFill/>
              </a:ln>
              <a:effectLst/>
            </c:spPr>
            <c:extLst>
              <c:ext xmlns:c16="http://schemas.microsoft.com/office/drawing/2014/chart" uri="{C3380CC4-5D6E-409C-BE32-E72D297353CC}">
                <c16:uniqueId val="{00000079-6369-496A-9C27-ABAF323F8B1E}"/>
              </c:ext>
            </c:extLst>
          </c:dPt>
          <c:dPt>
            <c:idx val="25"/>
            <c:invertIfNegative val="0"/>
            <c:bubble3D val="0"/>
            <c:spPr>
              <a:solidFill>
                <a:srgbClr val="C00000"/>
              </a:solidFill>
              <a:ln>
                <a:noFill/>
              </a:ln>
              <a:effectLst/>
            </c:spPr>
            <c:extLst>
              <c:ext xmlns:c16="http://schemas.microsoft.com/office/drawing/2014/chart" uri="{C3380CC4-5D6E-409C-BE32-E72D297353CC}">
                <c16:uniqueId val="{0000007B-6369-496A-9C27-ABAF323F8B1E}"/>
              </c:ext>
            </c:extLst>
          </c:dPt>
          <c:dPt>
            <c:idx val="26"/>
            <c:invertIfNegative val="0"/>
            <c:bubble3D val="0"/>
            <c:spPr>
              <a:solidFill>
                <a:schemeClr val="accent5">
                  <a:lumMod val="75000"/>
                </a:schemeClr>
              </a:solidFill>
              <a:ln>
                <a:noFill/>
              </a:ln>
              <a:effectLst/>
            </c:spPr>
            <c:extLst>
              <c:ext xmlns:c16="http://schemas.microsoft.com/office/drawing/2014/chart" uri="{C3380CC4-5D6E-409C-BE32-E72D297353CC}">
                <c16:uniqueId val="{0000007D-6369-496A-9C27-ABAF323F8B1E}"/>
              </c:ext>
            </c:extLst>
          </c:dPt>
          <c:dPt>
            <c:idx val="29"/>
            <c:invertIfNegative val="0"/>
            <c:bubble3D val="0"/>
            <c:spPr>
              <a:solidFill>
                <a:srgbClr val="C00000"/>
              </a:solidFill>
              <a:ln>
                <a:noFill/>
              </a:ln>
              <a:effectLst/>
            </c:spPr>
            <c:extLst>
              <c:ext xmlns:c16="http://schemas.microsoft.com/office/drawing/2014/chart" uri="{C3380CC4-5D6E-409C-BE32-E72D297353CC}">
                <c16:uniqueId val="{0000007F-6369-496A-9C27-ABAF323F8B1E}"/>
              </c:ext>
            </c:extLst>
          </c:dPt>
          <c:dPt>
            <c:idx val="30"/>
            <c:invertIfNegative val="0"/>
            <c:bubble3D val="0"/>
            <c:spPr>
              <a:solidFill>
                <a:schemeClr val="accent5">
                  <a:lumMod val="75000"/>
                </a:schemeClr>
              </a:solidFill>
              <a:ln>
                <a:noFill/>
              </a:ln>
              <a:effectLst/>
            </c:spPr>
            <c:extLst>
              <c:ext xmlns:c16="http://schemas.microsoft.com/office/drawing/2014/chart" uri="{C3380CC4-5D6E-409C-BE32-E72D297353CC}">
                <c16:uniqueId val="{00000081-6369-496A-9C27-ABAF323F8B1E}"/>
              </c:ext>
            </c:extLst>
          </c:dPt>
          <c:dPt>
            <c:idx val="33"/>
            <c:invertIfNegative val="0"/>
            <c:bubble3D val="0"/>
            <c:spPr>
              <a:solidFill>
                <a:srgbClr val="C00000"/>
              </a:solidFill>
              <a:ln>
                <a:noFill/>
              </a:ln>
              <a:effectLst/>
            </c:spPr>
            <c:extLst>
              <c:ext xmlns:c16="http://schemas.microsoft.com/office/drawing/2014/chart" uri="{C3380CC4-5D6E-409C-BE32-E72D297353CC}">
                <c16:uniqueId val="{00000083-6369-496A-9C27-ABAF323F8B1E}"/>
              </c:ext>
            </c:extLst>
          </c:dPt>
          <c:dPt>
            <c:idx val="34"/>
            <c:invertIfNegative val="0"/>
            <c:bubble3D val="0"/>
            <c:spPr>
              <a:solidFill>
                <a:schemeClr val="accent5">
                  <a:lumMod val="75000"/>
                </a:schemeClr>
              </a:solidFill>
              <a:ln>
                <a:noFill/>
              </a:ln>
              <a:effectLst/>
            </c:spPr>
            <c:extLst>
              <c:ext xmlns:c16="http://schemas.microsoft.com/office/drawing/2014/chart" uri="{C3380CC4-5D6E-409C-BE32-E72D297353CC}">
                <c16:uniqueId val="{00000085-6369-496A-9C27-ABAF323F8B1E}"/>
              </c:ext>
            </c:extLst>
          </c:dPt>
          <c:dPt>
            <c:idx val="37"/>
            <c:invertIfNegative val="0"/>
            <c:bubble3D val="0"/>
            <c:spPr>
              <a:solidFill>
                <a:srgbClr val="C00000"/>
              </a:solidFill>
              <a:ln>
                <a:noFill/>
              </a:ln>
              <a:effectLst/>
            </c:spPr>
            <c:extLst>
              <c:ext xmlns:c16="http://schemas.microsoft.com/office/drawing/2014/chart" uri="{C3380CC4-5D6E-409C-BE32-E72D297353CC}">
                <c16:uniqueId val="{00000087-6369-496A-9C27-ABAF323F8B1E}"/>
              </c:ext>
            </c:extLst>
          </c:dPt>
          <c:dPt>
            <c:idx val="38"/>
            <c:invertIfNegative val="0"/>
            <c:bubble3D val="0"/>
            <c:spPr>
              <a:solidFill>
                <a:schemeClr val="accent5">
                  <a:lumMod val="75000"/>
                </a:schemeClr>
              </a:solidFill>
              <a:ln>
                <a:noFill/>
              </a:ln>
              <a:effectLst/>
            </c:spPr>
            <c:extLst>
              <c:ext xmlns:c16="http://schemas.microsoft.com/office/drawing/2014/chart" uri="{C3380CC4-5D6E-409C-BE32-E72D297353CC}">
                <c16:uniqueId val="{00000089-6369-496A-9C27-ABAF323F8B1E}"/>
              </c:ext>
            </c:extLst>
          </c:dPt>
          <c:dPt>
            <c:idx val="41"/>
            <c:invertIfNegative val="0"/>
            <c:bubble3D val="0"/>
            <c:spPr>
              <a:solidFill>
                <a:srgbClr val="C00000"/>
              </a:solidFill>
              <a:ln>
                <a:noFill/>
              </a:ln>
              <a:effectLst/>
            </c:spPr>
            <c:extLst>
              <c:ext xmlns:c16="http://schemas.microsoft.com/office/drawing/2014/chart" uri="{C3380CC4-5D6E-409C-BE32-E72D297353CC}">
                <c16:uniqueId val="{0000008B-6369-496A-9C27-ABAF323F8B1E}"/>
              </c:ext>
            </c:extLst>
          </c:dPt>
          <c:dPt>
            <c:idx val="42"/>
            <c:invertIfNegative val="0"/>
            <c:bubble3D val="0"/>
            <c:spPr>
              <a:solidFill>
                <a:schemeClr val="accent5">
                  <a:lumMod val="75000"/>
                </a:schemeClr>
              </a:solidFill>
              <a:ln>
                <a:noFill/>
              </a:ln>
              <a:effectLst/>
            </c:spPr>
            <c:extLst>
              <c:ext xmlns:c16="http://schemas.microsoft.com/office/drawing/2014/chart" uri="{C3380CC4-5D6E-409C-BE32-E72D297353CC}">
                <c16:uniqueId val="{0000008D-6369-496A-9C27-ABAF323F8B1E}"/>
              </c:ext>
            </c:extLst>
          </c:dPt>
          <c:dPt>
            <c:idx val="45"/>
            <c:invertIfNegative val="0"/>
            <c:bubble3D val="0"/>
            <c:spPr>
              <a:solidFill>
                <a:srgbClr val="C00000"/>
              </a:solidFill>
              <a:ln>
                <a:noFill/>
              </a:ln>
              <a:effectLst/>
            </c:spPr>
            <c:extLst>
              <c:ext xmlns:c16="http://schemas.microsoft.com/office/drawing/2014/chart" uri="{C3380CC4-5D6E-409C-BE32-E72D297353CC}">
                <c16:uniqueId val="{0000008F-6369-496A-9C27-ABAF323F8B1E}"/>
              </c:ext>
            </c:extLst>
          </c:dPt>
          <c:dPt>
            <c:idx val="46"/>
            <c:invertIfNegative val="0"/>
            <c:bubble3D val="0"/>
            <c:spPr>
              <a:solidFill>
                <a:schemeClr val="accent5">
                  <a:lumMod val="75000"/>
                </a:schemeClr>
              </a:solidFill>
              <a:ln>
                <a:noFill/>
              </a:ln>
              <a:effectLst/>
            </c:spPr>
            <c:extLst>
              <c:ext xmlns:c16="http://schemas.microsoft.com/office/drawing/2014/chart" uri="{C3380CC4-5D6E-409C-BE32-E72D297353CC}">
                <c16:uniqueId val="{00000091-6369-496A-9C27-ABAF323F8B1E}"/>
              </c:ext>
            </c:extLst>
          </c:dPt>
          <c:cat>
            <c:numRef>
              <c:f>Calculations!$D$55:$D$102</c:f>
              <c:numCache>
                <c:formatCode>mmm</c:formatCode>
                <c:ptCount val="48"/>
                <c:pt idx="0">
                  <c:v>44562</c:v>
                </c:pt>
                <c:pt idx="4">
                  <c:v>44593</c:v>
                </c:pt>
                <c:pt idx="8">
                  <c:v>44621</c:v>
                </c:pt>
                <c:pt idx="12">
                  <c:v>44652</c:v>
                </c:pt>
                <c:pt idx="16">
                  <c:v>44682</c:v>
                </c:pt>
                <c:pt idx="20">
                  <c:v>44713</c:v>
                </c:pt>
                <c:pt idx="24">
                  <c:v>44743</c:v>
                </c:pt>
                <c:pt idx="28">
                  <c:v>44774</c:v>
                </c:pt>
                <c:pt idx="32">
                  <c:v>44805</c:v>
                </c:pt>
                <c:pt idx="36">
                  <c:v>44835</c:v>
                </c:pt>
                <c:pt idx="40">
                  <c:v>44866</c:v>
                </c:pt>
                <c:pt idx="44">
                  <c:v>44896</c:v>
                </c:pt>
              </c:numCache>
            </c:numRef>
          </c:cat>
          <c:val>
            <c:numRef>
              <c:f>Calculations!$O$55:$O$102</c:f>
              <c:numCache>
                <c:formatCode>_-* #,##0_-;\-* #,##0_-;_-* "-"??_-;_-@_-</c:formatCode>
                <c:ptCount val="48"/>
                <c:pt idx="0">
                  <c:v>200</c:v>
                </c:pt>
                <c:pt idx="1">
                  <c:v>0</c:v>
                </c:pt>
                <c:pt idx="2">
                  <c:v>300</c:v>
                </c:pt>
                <c:pt idx="4">
                  <c:v>0</c:v>
                </c:pt>
                <c:pt idx="5">
                  <c:v>250</c:v>
                </c:pt>
                <c:pt idx="6">
                  <c:v>0</c:v>
                </c:pt>
                <c:pt idx="8">
                  <c:v>100</c:v>
                </c:pt>
                <c:pt idx="9">
                  <c:v>0</c:v>
                </c:pt>
                <c:pt idx="10">
                  <c:v>0</c:v>
                </c:pt>
                <c:pt idx="12">
                  <c:v>0</c:v>
                </c:pt>
                <c:pt idx="13">
                  <c:v>0</c:v>
                </c:pt>
                <c:pt idx="14">
                  <c:v>0</c:v>
                </c:pt>
                <c:pt idx="16">
                  <c:v>0</c:v>
                </c:pt>
                <c:pt idx="17">
                  <c:v>0</c:v>
                </c:pt>
                <c:pt idx="18">
                  <c:v>0</c:v>
                </c:pt>
                <c:pt idx="20">
                  <c:v>0</c:v>
                </c:pt>
                <c:pt idx="21">
                  <c:v>0</c:v>
                </c:pt>
                <c:pt idx="22">
                  <c:v>0</c:v>
                </c:pt>
                <c:pt idx="24">
                  <c:v>0</c:v>
                </c:pt>
                <c:pt idx="25">
                  <c:v>0</c:v>
                </c:pt>
                <c:pt idx="26">
                  <c:v>0</c:v>
                </c:pt>
                <c:pt idx="28">
                  <c:v>0</c:v>
                </c:pt>
                <c:pt idx="29">
                  <c:v>0</c:v>
                </c:pt>
                <c:pt idx="30">
                  <c:v>0</c:v>
                </c:pt>
                <c:pt idx="32">
                  <c:v>0</c:v>
                </c:pt>
                <c:pt idx="33">
                  <c:v>0</c:v>
                </c:pt>
                <c:pt idx="34">
                  <c:v>0</c:v>
                </c:pt>
                <c:pt idx="36">
                  <c:v>0</c:v>
                </c:pt>
                <c:pt idx="37">
                  <c:v>0</c:v>
                </c:pt>
                <c:pt idx="38">
                  <c:v>0</c:v>
                </c:pt>
                <c:pt idx="40">
                  <c:v>0</c:v>
                </c:pt>
                <c:pt idx="41">
                  <c:v>0</c:v>
                </c:pt>
                <c:pt idx="42">
                  <c:v>0</c:v>
                </c:pt>
                <c:pt idx="44">
                  <c:v>0</c:v>
                </c:pt>
                <c:pt idx="45">
                  <c:v>0</c:v>
                </c:pt>
                <c:pt idx="46">
                  <c:v>0</c:v>
                </c:pt>
              </c:numCache>
            </c:numRef>
          </c:val>
          <c:extLst>
            <c:ext xmlns:c16="http://schemas.microsoft.com/office/drawing/2014/chart" uri="{C3380CC4-5D6E-409C-BE32-E72D297353CC}">
              <c16:uniqueId val="{00000092-6369-496A-9C27-ABAF323F8B1E}"/>
            </c:ext>
          </c:extLst>
        </c:ser>
        <c:ser>
          <c:idx val="3"/>
          <c:order val="3"/>
          <c:spPr>
            <a:solidFill>
              <a:srgbClr val="D5D5D5"/>
            </a:solidFill>
            <a:ln>
              <a:noFill/>
            </a:ln>
            <a:effectLst/>
          </c:spPr>
          <c:invertIfNegative val="0"/>
          <c:cat>
            <c:numRef>
              <c:f>Calculations!$D$55:$D$102</c:f>
              <c:numCache>
                <c:formatCode>mmm</c:formatCode>
                <c:ptCount val="48"/>
                <c:pt idx="0">
                  <c:v>44562</c:v>
                </c:pt>
                <c:pt idx="4">
                  <c:v>44593</c:v>
                </c:pt>
                <c:pt idx="8">
                  <c:v>44621</c:v>
                </c:pt>
                <c:pt idx="12">
                  <c:v>44652</c:v>
                </c:pt>
                <c:pt idx="16">
                  <c:v>44682</c:v>
                </c:pt>
                <c:pt idx="20">
                  <c:v>44713</c:v>
                </c:pt>
                <c:pt idx="24">
                  <c:v>44743</c:v>
                </c:pt>
                <c:pt idx="28">
                  <c:v>44774</c:v>
                </c:pt>
                <c:pt idx="32">
                  <c:v>44805</c:v>
                </c:pt>
                <c:pt idx="36">
                  <c:v>44835</c:v>
                </c:pt>
                <c:pt idx="40">
                  <c:v>44866</c:v>
                </c:pt>
                <c:pt idx="44">
                  <c:v>44896</c:v>
                </c:pt>
              </c:numCache>
            </c:numRef>
          </c:cat>
          <c:val>
            <c:numRef>
              <c:f>Calculations!$P$55:$P$102</c:f>
              <c:numCache>
                <c:formatCode>_-* #,##0_-;\-* #,##0_-;_-* "-"??_-;_-@_-</c:formatCode>
                <c:ptCount val="48"/>
                <c:pt idx="0">
                  <c:v>0</c:v>
                </c:pt>
                <c:pt idx="1">
                  <c:v>0</c:v>
                </c:pt>
                <c:pt idx="2">
                  <c:v>0</c:v>
                </c:pt>
                <c:pt idx="4">
                  <c:v>0</c:v>
                </c:pt>
                <c:pt idx="5">
                  <c:v>0</c:v>
                </c:pt>
                <c:pt idx="6">
                  <c:v>0</c:v>
                </c:pt>
                <c:pt idx="8">
                  <c:v>0</c:v>
                </c:pt>
                <c:pt idx="9">
                  <c:v>0</c:v>
                </c:pt>
                <c:pt idx="10">
                  <c:v>0</c:v>
                </c:pt>
                <c:pt idx="12">
                  <c:v>0</c:v>
                </c:pt>
                <c:pt idx="13">
                  <c:v>0</c:v>
                </c:pt>
                <c:pt idx="14">
                  <c:v>0</c:v>
                </c:pt>
                <c:pt idx="16">
                  <c:v>0</c:v>
                </c:pt>
                <c:pt idx="17">
                  <c:v>0</c:v>
                </c:pt>
                <c:pt idx="18">
                  <c:v>0</c:v>
                </c:pt>
                <c:pt idx="20">
                  <c:v>0</c:v>
                </c:pt>
                <c:pt idx="21">
                  <c:v>0</c:v>
                </c:pt>
                <c:pt idx="22">
                  <c:v>0</c:v>
                </c:pt>
                <c:pt idx="24">
                  <c:v>0</c:v>
                </c:pt>
                <c:pt idx="25">
                  <c:v>0</c:v>
                </c:pt>
                <c:pt idx="26">
                  <c:v>0</c:v>
                </c:pt>
                <c:pt idx="28">
                  <c:v>0</c:v>
                </c:pt>
                <c:pt idx="29">
                  <c:v>0</c:v>
                </c:pt>
                <c:pt idx="30">
                  <c:v>0</c:v>
                </c:pt>
                <c:pt idx="32">
                  <c:v>0</c:v>
                </c:pt>
                <c:pt idx="33">
                  <c:v>0</c:v>
                </c:pt>
                <c:pt idx="34">
                  <c:v>0</c:v>
                </c:pt>
                <c:pt idx="36">
                  <c:v>0</c:v>
                </c:pt>
                <c:pt idx="37">
                  <c:v>0</c:v>
                </c:pt>
                <c:pt idx="38">
                  <c:v>0</c:v>
                </c:pt>
                <c:pt idx="40">
                  <c:v>0</c:v>
                </c:pt>
                <c:pt idx="41">
                  <c:v>0</c:v>
                </c:pt>
                <c:pt idx="42">
                  <c:v>0</c:v>
                </c:pt>
                <c:pt idx="44">
                  <c:v>0</c:v>
                </c:pt>
                <c:pt idx="45">
                  <c:v>0</c:v>
                </c:pt>
                <c:pt idx="46">
                  <c:v>0</c:v>
                </c:pt>
              </c:numCache>
            </c:numRef>
          </c:val>
          <c:extLst>
            <c:ext xmlns:c16="http://schemas.microsoft.com/office/drawing/2014/chart" uri="{C3380CC4-5D6E-409C-BE32-E72D297353CC}">
              <c16:uniqueId val="{00000093-6369-496A-9C27-ABAF323F8B1E}"/>
            </c:ext>
          </c:extLst>
        </c:ser>
        <c:ser>
          <c:idx val="4"/>
          <c:order val="4"/>
          <c:spPr>
            <a:solidFill>
              <a:srgbClr val="E2E2E2"/>
            </a:solidFill>
            <a:ln>
              <a:noFill/>
            </a:ln>
            <a:effectLst/>
          </c:spPr>
          <c:invertIfNegative val="0"/>
          <c:cat>
            <c:numRef>
              <c:f>Calculations!$D$55:$D$102</c:f>
              <c:numCache>
                <c:formatCode>mmm</c:formatCode>
                <c:ptCount val="48"/>
                <c:pt idx="0">
                  <c:v>44562</c:v>
                </c:pt>
                <c:pt idx="4">
                  <c:v>44593</c:v>
                </c:pt>
                <c:pt idx="8">
                  <c:v>44621</c:v>
                </c:pt>
                <c:pt idx="12">
                  <c:v>44652</c:v>
                </c:pt>
                <c:pt idx="16">
                  <c:v>44682</c:v>
                </c:pt>
                <c:pt idx="20">
                  <c:v>44713</c:v>
                </c:pt>
                <c:pt idx="24">
                  <c:v>44743</c:v>
                </c:pt>
                <c:pt idx="28">
                  <c:v>44774</c:v>
                </c:pt>
                <c:pt idx="32">
                  <c:v>44805</c:v>
                </c:pt>
                <c:pt idx="36">
                  <c:v>44835</c:v>
                </c:pt>
                <c:pt idx="40">
                  <c:v>44866</c:v>
                </c:pt>
                <c:pt idx="44">
                  <c:v>44896</c:v>
                </c:pt>
              </c:numCache>
            </c:numRef>
          </c:cat>
          <c:val>
            <c:numRef>
              <c:f>Calculations!$Q$55:$Q$102</c:f>
              <c:numCache>
                <c:formatCode>_-* #,##0_-;\-* #,##0_-;_-* "-"??_-;_-@_-</c:formatCode>
                <c:ptCount val="48"/>
                <c:pt idx="0">
                  <c:v>0</c:v>
                </c:pt>
                <c:pt idx="1">
                  <c:v>0</c:v>
                </c:pt>
                <c:pt idx="2">
                  <c:v>0</c:v>
                </c:pt>
                <c:pt idx="4">
                  <c:v>0</c:v>
                </c:pt>
                <c:pt idx="5">
                  <c:v>0</c:v>
                </c:pt>
                <c:pt idx="6">
                  <c:v>0</c:v>
                </c:pt>
                <c:pt idx="8">
                  <c:v>0</c:v>
                </c:pt>
                <c:pt idx="9">
                  <c:v>0</c:v>
                </c:pt>
                <c:pt idx="10">
                  <c:v>0</c:v>
                </c:pt>
                <c:pt idx="12">
                  <c:v>0</c:v>
                </c:pt>
                <c:pt idx="13">
                  <c:v>0</c:v>
                </c:pt>
                <c:pt idx="14">
                  <c:v>0</c:v>
                </c:pt>
                <c:pt idx="16">
                  <c:v>0</c:v>
                </c:pt>
                <c:pt idx="17">
                  <c:v>0</c:v>
                </c:pt>
                <c:pt idx="18">
                  <c:v>0</c:v>
                </c:pt>
                <c:pt idx="20">
                  <c:v>0</c:v>
                </c:pt>
                <c:pt idx="21">
                  <c:v>0</c:v>
                </c:pt>
                <c:pt idx="22">
                  <c:v>0</c:v>
                </c:pt>
                <c:pt idx="24">
                  <c:v>0</c:v>
                </c:pt>
                <c:pt idx="25">
                  <c:v>0</c:v>
                </c:pt>
                <c:pt idx="26">
                  <c:v>0</c:v>
                </c:pt>
                <c:pt idx="28">
                  <c:v>0</c:v>
                </c:pt>
                <c:pt idx="29">
                  <c:v>0</c:v>
                </c:pt>
                <c:pt idx="30">
                  <c:v>0</c:v>
                </c:pt>
                <c:pt idx="32">
                  <c:v>0</c:v>
                </c:pt>
                <c:pt idx="33">
                  <c:v>0</c:v>
                </c:pt>
                <c:pt idx="34">
                  <c:v>0</c:v>
                </c:pt>
                <c:pt idx="36">
                  <c:v>0</c:v>
                </c:pt>
                <c:pt idx="37">
                  <c:v>0</c:v>
                </c:pt>
                <c:pt idx="38">
                  <c:v>0</c:v>
                </c:pt>
                <c:pt idx="40">
                  <c:v>0</c:v>
                </c:pt>
                <c:pt idx="41">
                  <c:v>0</c:v>
                </c:pt>
                <c:pt idx="42">
                  <c:v>0</c:v>
                </c:pt>
                <c:pt idx="44">
                  <c:v>0</c:v>
                </c:pt>
                <c:pt idx="45">
                  <c:v>0</c:v>
                </c:pt>
                <c:pt idx="46">
                  <c:v>0</c:v>
                </c:pt>
              </c:numCache>
            </c:numRef>
          </c:val>
          <c:extLst>
            <c:ext xmlns:c16="http://schemas.microsoft.com/office/drawing/2014/chart" uri="{C3380CC4-5D6E-409C-BE32-E72D297353CC}">
              <c16:uniqueId val="{00000094-6369-496A-9C27-ABAF323F8B1E}"/>
            </c:ext>
          </c:extLst>
        </c:ser>
        <c:ser>
          <c:idx val="5"/>
          <c:order val="5"/>
          <c:spPr>
            <a:solidFill>
              <a:srgbClr val="C4C4C4"/>
            </a:solidFill>
            <a:ln>
              <a:noFill/>
            </a:ln>
            <a:effectLst/>
          </c:spPr>
          <c:invertIfNegative val="0"/>
          <c:cat>
            <c:numRef>
              <c:f>Calculations!$D$55:$D$102</c:f>
              <c:numCache>
                <c:formatCode>mmm</c:formatCode>
                <c:ptCount val="48"/>
                <c:pt idx="0">
                  <c:v>44562</c:v>
                </c:pt>
                <c:pt idx="4">
                  <c:v>44593</c:v>
                </c:pt>
                <c:pt idx="8">
                  <c:v>44621</c:v>
                </c:pt>
                <c:pt idx="12">
                  <c:v>44652</c:v>
                </c:pt>
                <c:pt idx="16">
                  <c:v>44682</c:v>
                </c:pt>
                <c:pt idx="20">
                  <c:v>44713</c:v>
                </c:pt>
                <c:pt idx="24">
                  <c:v>44743</c:v>
                </c:pt>
                <c:pt idx="28">
                  <c:v>44774</c:v>
                </c:pt>
                <c:pt idx="32">
                  <c:v>44805</c:v>
                </c:pt>
                <c:pt idx="36">
                  <c:v>44835</c:v>
                </c:pt>
                <c:pt idx="40">
                  <c:v>44866</c:v>
                </c:pt>
                <c:pt idx="44">
                  <c:v>44896</c:v>
                </c:pt>
              </c:numCache>
            </c:numRef>
          </c:cat>
          <c:val>
            <c:numRef>
              <c:f>Calculations!$R$55:$R$102</c:f>
              <c:numCache>
                <c:formatCode>_-* #,##0_-;\-* #,##0_-;_-* "-"??_-;_-@_-</c:formatCode>
                <c:ptCount val="48"/>
                <c:pt idx="0">
                  <c:v>0</c:v>
                </c:pt>
                <c:pt idx="1">
                  <c:v>0</c:v>
                </c:pt>
                <c:pt idx="2">
                  <c:v>0</c:v>
                </c:pt>
                <c:pt idx="4">
                  <c:v>0</c:v>
                </c:pt>
                <c:pt idx="5">
                  <c:v>0</c:v>
                </c:pt>
                <c:pt idx="6">
                  <c:v>0</c:v>
                </c:pt>
                <c:pt idx="8">
                  <c:v>0</c:v>
                </c:pt>
                <c:pt idx="9">
                  <c:v>0</c:v>
                </c:pt>
                <c:pt idx="10">
                  <c:v>0</c:v>
                </c:pt>
                <c:pt idx="12">
                  <c:v>0</c:v>
                </c:pt>
                <c:pt idx="13">
                  <c:v>0</c:v>
                </c:pt>
                <c:pt idx="14">
                  <c:v>0</c:v>
                </c:pt>
                <c:pt idx="16">
                  <c:v>0</c:v>
                </c:pt>
                <c:pt idx="17">
                  <c:v>0</c:v>
                </c:pt>
                <c:pt idx="18">
                  <c:v>0</c:v>
                </c:pt>
                <c:pt idx="20">
                  <c:v>0</c:v>
                </c:pt>
                <c:pt idx="21">
                  <c:v>0</c:v>
                </c:pt>
                <c:pt idx="22">
                  <c:v>0</c:v>
                </c:pt>
                <c:pt idx="24">
                  <c:v>0</c:v>
                </c:pt>
                <c:pt idx="25">
                  <c:v>0</c:v>
                </c:pt>
                <c:pt idx="26">
                  <c:v>0</c:v>
                </c:pt>
                <c:pt idx="28">
                  <c:v>0</c:v>
                </c:pt>
                <c:pt idx="29">
                  <c:v>0</c:v>
                </c:pt>
                <c:pt idx="30">
                  <c:v>0</c:v>
                </c:pt>
                <c:pt idx="32">
                  <c:v>0</c:v>
                </c:pt>
                <c:pt idx="33">
                  <c:v>0</c:v>
                </c:pt>
                <c:pt idx="34">
                  <c:v>0</c:v>
                </c:pt>
                <c:pt idx="36">
                  <c:v>0</c:v>
                </c:pt>
                <c:pt idx="37">
                  <c:v>0</c:v>
                </c:pt>
                <c:pt idx="38">
                  <c:v>0</c:v>
                </c:pt>
                <c:pt idx="40">
                  <c:v>0</c:v>
                </c:pt>
                <c:pt idx="41">
                  <c:v>0</c:v>
                </c:pt>
                <c:pt idx="42">
                  <c:v>0</c:v>
                </c:pt>
                <c:pt idx="44">
                  <c:v>0</c:v>
                </c:pt>
                <c:pt idx="45">
                  <c:v>0</c:v>
                </c:pt>
                <c:pt idx="46">
                  <c:v>0</c:v>
                </c:pt>
              </c:numCache>
            </c:numRef>
          </c:val>
          <c:extLst>
            <c:ext xmlns:c16="http://schemas.microsoft.com/office/drawing/2014/chart" uri="{C3380CC4-5D6E-409C-BE32-E72D297353CC}">
              <c16:uniqueId val="{00000095-6369-496A-9C27-ABAF323F8B1E}"/>
            </c:ext>
          </c:extLst>
        </c:ser>
        <c:dLbls>
          <c:showLegendKey val="0"/>
          <c:showVal val="0"/>
          <c:showCatName val="0"/>
          <c:showSerName val="0"/>
          <c:showPercent val="0"/>
          <c:showBubbleSize val="0"/>
        </c:dLbls>
        <c:gapWidth val="15"/>
        <c:overlap val="100"/>
        <c:axId val="597229968"/>
        <c:axId val="597235728"/>
      </c:barChart>
      <c:catAx>
        <c:axId val="597229968"/>
        <c:scaling>
          <c:orientation val="minMax"/>
        </c:scaling>
        <c:delete val="0"/>
        <c:axPos val="b"/>
        <c:numFmt formatCode="mmm"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700" b="1" i="0" u="none" strike="noStrike" kern="1200" baseline="0">
                <a:solidFill>
                  <a:schemeClr val="bg1">
                    <a:lumMod val="50000"/>
                  </a:schemeClr>
                </a:solidFill>
                <a:latin typeface="+mn-lt"/>
                <a:ea typeface="+mn-ea"/>
                <a:cs typeface="+mn-cs"/>
              </a:defRPr>
            </a:pPr>
            <a:endParaRPr lang="en-US"/>
          </a:p>
        </c:txPr>
        <c:crossAx val="597235728"/>
        <c:crosses val="autoZero"/>
        <c:auto val="0"/>
        <c:lblAlgn val="ctr"/>
        <c:lblOffset val="100"/>
        <c:noMultiLvlLbl val="0"/>
      </c:catAx>
      <c:valAx>
        <c:axId val="597235728"/>
        <c:scaling>
          <c:orientation val="minMax"/>
        </c:scaling>
        <c:delete val="0"/>
        <c:axPos val="l"/>
        <c:majorGridlines>
          <c:spPr>
            <a:ln w="9525" cap="flat" cmpd="sng" algn="ctr">
              <a:noFill/>
              <a:round/>
            </a:ln>
            <a:effectLst/>
          </c:spPr>
        </c:majorGridlines>
        <c:numFmt formatCode="_-* #,##0_-;\-* #,##0_-;_-* &quot;-&quot;??_-;_-@_-" sourceLinked="1"/>
        <c:majorTickMark val="none"/>
        <c:minorTickMark val="none"/>
        <c:tickLblPos val="nextTo"/>
        <c:spPr>
          <a:noFill/>
          <a:ln>
            <a:noFill/>
          </a:ln>
          <a:effectLst/>
        </c:spPr>
        <c:txPr>
          <a:bodyPr rot="-60000000" spcFirstLastPara="1" vertOverflow="ellipsis" vert="horz" wrap="square" anchor="ctr" anchorCtr="1"/>
          <a:lstStyle/>
          <a:p>
            <a:pPr>
              <a:defRPr sz="700" b="0" i="0" u="none" strike="noStrike" kern="1200" baseline="0">
                <a:solidFill>
                  <a:schemeClr val="bg1">
                    <a:lumMod val="50000"/>
                  </a:schemeClr>
                </a:solidFill>
                <a:latin typeface="+mn-lt"/>
                <a:ea typeface="+mn-ea"/>
                <a:cs typeface="+mn-cs"/>
              </a:defRPr>
            </a:pPr>
            <a:endParaRPr lang="en-US"/>
          </a:p>
        </c:txPr>
        <c:crossAx val="59722996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sz="700">
          <a:solidFill>
            <a:schemeClr val="bg1">
              <a:lumMod val="50000"/>
            </a:schemeClr>
          </a:solidFill>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0"/>
          <c:order val="0"/>
          <c:spPr>
            <a:solidFill>
              <a:schemeClr val="bg1">
                <a:lumMod val="85000"/>
              </a:schemeClr>
            </a:solidFill>
            <a:ln>
              <a:noFill/>
            </a:ln>
            <a:effectLst/>
          </c:spPr>
          <c:invertIfNegative val="0"/>
          <c:val>
            <c:numRef>
              <c:f>Calculations!$E$24</c:f>
              <c:numCache>
                <c:formatCode>0%</c:formatCode>
                <c:ptCount val="1"/>
                <c:pt idx="0">
                  <c:v>1</c:v>
                </c:pt>
              </c:numCache>
            </c:numRef>
          </c:val>
          <c:extLst>
            <c:ext xmlns:c16="http://schemas.microsoft.com/office/drawing/2014/chart" uri="{C3380CC4-5D6E-409C-BE32-E72D297353CC}">
              <c16:uniqueId val="{00000000-C03F-4174-979A-11C0BC4A8BBF}"/>
            </c:ext>
          </c:extLst>
        </c:ser>
        <c:dLbls>
          <c:showLegendKey val="0"/>
          <c:showVal val="0"/>
          <c:showCatName val="0"/>
          <c:showSerName val="0"/>
          <c:showPercent val="0"/>
          <c:showBubbleSize val="0"/>
        </c:dLbls>
        <c:gapWidth val="0"/>
        <c:axId val="606220880"/>
        <c:axId val="606212240"/>
      </c:barChart>
      <c:catAx>
        <c:axId val="606220880"/>
        <c:scaling>
          <c:orientation val="minMax"/>
        </c:scaling>
        <c:delete val="1"/>
        <c:axPos val="l"/>
        <c:majorTickMark val="none"/>
        <c:minorTickMark val="none"/>
        <c:tickLblPos val="nextTo"/>
        <c:crossAx val="606212240"/>
        <c:crosses val="autoZero"/>
        <c:auto val="1"/>
        <c:lblAlgn val="ctr"/>
        <c:lblOffset val="100"/>
        <c:noMultiLvlLbl val="0"/>
      </c:catAx>
      <c:valAx>
        <c:axId val="606212240"/>
        <c:scaling>
          <c:orientation val="minMax"/>
          <c:max val="1"/>
        </c:scaling>
        <c:delete val="1"/>
        <c:axPos val="b"/>
        <c:numFmt formatCode="0%" sourceLinked="1"/>
        <c:majorTickMark val="none"/>
        <c:minorTickMark val="none"/>
        <c:tickLblPos val="nextTo"/>
        <c:crossAx val="60622088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CheckBox" checked="Checked" fmlaLink="Calculations!$E$49" lockText="1" noThreeD="1"/>
</file>

<file path=xl/ctrlProps/ctrlProp2.xml><?xml version="1.0" encoding="utf-8"?>
<formControlPr xmlns="http://schemas.microsoft.com/office/spreadsheetml/2009/9/main" objectType="CheckBox" checked="Checked" fmlaLink="Calculations!$E$50" lockText="1" noThreeD="1"/>
</file>

<file path=xl/ctrlProps/ctrlProp3.xml><?xml version="1.0" encoding="utf-8"?>
<formControlPr xmlns="http://schemas.microsoft.com/office/spreadsheetml/2009/9/main" objectType="CheckBox" checked="Checked" fmlaLink="Calculations!$E$51" lockText="1" noThreeD="1"/>
</file>

<file path=xl/ctrlProps/ctrlProp4.xml><?xml version="1.0" encoding="utf-8"?>
<formControlPr xmlns="http://schemas.microsoft.com/office/spreadsheetml/2009/9/main" objectType="CheckBox" checked="Checked" fmlaLink="Calculations!$E$52" lockText="1" noThreeD="1"/>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editAs="absolute">
    <xdr:from>
      <xdr:col>1</xdr:col>
      <xdr:colOff>83820</xdr:colOff>
      <xdr:row>4</xdr:row>
      <xdr:rowOff>32245</xdr:rowOff>
    </xdr:from>
    <xdr:to>
      <xdr:col>3</xdr:col>
      <xdr:colOff>621700</xdr:colOff>
      <xdr:row>9</xdr:row>
      <xdr:rowOff>33689</xdr:rowOff>
    </xdr:to>
    <xdr:grpSp>
      <xdr:nvGrpSpPr>
        <xdr:cNvPr id="19" name="Group 18">
          <a:extLst>
            <a:ext uri="{FF2B5EF4-FFF2-40B4-BE49-F238E27FC236}">
              <a16:creationId xmlns:a16="http://schemas.microsoft.com/office/drawing/2014/main" id="{E4B2C580-3709-7F64-8CE3-BD7CD547F95D}"/>
            </a:ext>
          </a:extLst>
        </xdr:cNvPr>
        <xdr:cNvGrpSpPr/>
      </xdr:nvGrpSpPr>
      <xdr:grpSpPr>
        <a:xfrm>
          <a:off x="419100" y="763765"/>
          <a:ext cx="1498000" cy="915844"/>
          <a:chOff x="510540" y="868680"/>
          <a:chExt cx="1461600" cy="820800"/>
        </a:xfrm>
      </xdr:grpSpPr>
      <xdr:sp macro="" textlink="">
        <xdr:nvSpPr>
          <xdr:cNvPr id="2" name="Rectangle: Rounded Corners 1">
            <a:extLst>
              <a:ext uri="{FF2B5EF4-FFF2-40B4-BE49-F238E27FC236}">
                <a16:creationId xmlns:a16="http://schemas.microsoft.com/office/drawing/2014/main" id="{BA922AB0-592D-5CF7-1A79-BA9269FC71C5}"/>
              </a:ext>
            </a:extLst>
          </xdr:cNvPr>
          <xdr:cNvSpPr/>
        </xdr:nvSpPr>
        <xdr:spPr>
          <a:xfrm>
            <a:off x="510540" y="868680"/>
            <a:ext cx="1461600" cy="820800"/>
          </a:xfrm>
          <a:prstGeom prst="roundRect">
            <a:avLst>
              <a:gd name="adj" fmla="val 4598"/>
            </a:avLst>
          </a:prstGeom>
          <a:solidFill>
            <a:schemeClr val="bg1"/>
          </a:solidFill>
          <a:ln w="6350">
            <a:solidFill>
              <a:schemeClr val="bg1">
                <a:lumMod val="50000"/>
              </a:schemeClr>
            </a:solidFill>
          </a:ln>
          <a:effectLst>
            <a:outerShdw blurRad="825500" dist="127000" dir="5400000" sx="95000" sy="95000" algn="ctr" rotWithShape="0">
              <a:prstClr val="black">
                <a:alpha val="15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ZA" sz="1100"/>
              <a:t>95</a:t>
            </a:r>
          </a:p>
        </xdr:txBody>
      </xdr:sp>
      <xdr:sp macro="" textlink="">
        <xdr:nvSpPr>
          <xdr:cNvPr id="3" name="TextBox 2">
            <a:extLst>
              <a:ext uri="{FF2B5EF4-FFF2-40B4-BE49-F238E27FC236}">
                <a16:creationId xmlns:a16="http://schemas.microsoft.com/office/drawing/2014/main" id="{98AEC75D-D7B6-B5DB-0E1C-0C2BF30C9020}"/>
              </a:ext>
            </a:extLst>
          </xdr:cNvPr>
          <xdr:cNvSpPr txBox="1"/>
        </xdr:nvSpPr>
        <xdr:spPr>
          <a:xfrm>
            <a:off x="525780" y="952500"/>
            <a:ext cx="1104900"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ZA" sz="1100" b="1"/>
              <a:t>Date of Today</a:t>
            </a:r>
          </a:p>
        </xdr:txBody>
      </xdr:sp>
      <xdr:sp macro="" textlink="Calculations!E8">
        <xdr:nvSpPr>
          <xdr:cNvPr id="4" name="TextBox 3">
            <a:extLst>
              <a:ext uri="{FF2B5EF4-FFF2-40B4-BE49-F238E27FC236}">
                <a16:creationId xmlns:a16="http://schemas.microsoft.com/office/drawing/2014/main" id="{04CD4F24-1F5A-49C9-B012-FB3FE8AFB1E3}"/>
              </a:ext>
            </a:extLst>
          </xdr:cNvPr>
          <xdr:cNvSpPr txBox="1"/>
        </xdr:nvSpPr>
        <xdr:spPr>
          <a:xfrm>
            <a:off x="518160" y="1188720"/>
            <a:ext cx="1104900"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8CACCAF0-2E5E-4F1A-B6AB-E42C1042077A}" type="TxLink">
              <a:rPr lang="en-US" sz="1100" b="1" i="0" u="none" strike="noStrike">
                <a:solidFill>
                  <a:srgbClr val="000000"/>
                </a:solidFill>
                <a:latin typeface="Calibri"/>
                <a:ea typeface="Calibri"/>
                <a:cs typeface="Calibri"/>
              </a:rPr>
              <a:pPr/>
              <a:t>20-Mar-25</a:t>
            </a:fld>
            <a:endParaRPr lang="en-ZA" sz="1100" b="1"/>
          </a:p>
        </xdr:txBody>
      </xdr:sp>
    </xdr:grpSp>
    <xdr:clientData/>
  </xdr:twoCellAnchor>
  <xdr:twoCellAnchor editAs="absolute">
    <xdr:from>
      <xdr:col>4</xdr:col>
      <xdr:colOff>25940</xdr:colOff>
      <xdr:row>4</xdr:row>
      <xdr:rowOff>15240</xdr:rowOff>
    </xdr:from>
    <xdr:to>
      <xdr:col>7</xdr:col>
      <xdr:colOff>321281</xdr:colOff>
      <xdr:row>9</xdr:row>
      <xdr:rowOff>42191</xdr:rowOff>
    </xdr:to>
    <xdr:grpSp>
      <xdr:nvGrpSpPr>
        <xdr:cNvPr id="29" name="Group 28">
          <a:extLst>
            <a:ext uri="{FF2B5EF4-FFF2-40B4-BE49-F238E27FC236}">
              <a16:creationId xmlns:a16="http://schemas.microsoft.com/office/drawing/2014/main" id="{088F1A42-4BF1-9888-0923-E1059549AC2E}"/>
            </a:ext>
          </a:extLst>
        </xdr:cNvPr>
        <xdr:cNvGrpSpPr/>
      </xdr:nvGrpSpPr>
      <xdr:grpSpPr>
        <a:xfrm>
          <a:off x="2113820" y="746760"/>
          <a:ext cx="3373821" cy="941351"/>
          <a:chOff x="2194560" y="807720"/>
          <a:chExt cx="3291840" cy="843660"/>
        </a:xfrm>
      </xdr:grpSpPr>
      <xdr:grpSp>
        <xdr:nvGrpSpPr>
          <xdr:cNvPr id="20" name="Group 19">
            <a:extLst>
              <a:ext uri="{FF2B5EF4-FFF2-40B4-BE49-F238E27FC236}">
                <a16:creationId xmlns:a16="http://schemas.microsoft.com/office/drawing/2014/main" id="{8AE62FDE-1EF8-8C0E-63EA-79D8FEB2FDD6}"/>
              </a:ext>
            </a:extLst>
          </xdr:cNvPr>
          <xdr:cNvGrpSpPr/>
        </xdr:nvGrpSpPr>
        <xdr:grpSpPr>
          <a:xfrm>
            <a:off x="2194560" y="807720"/>
            <a:ext cx="1681428" cy="820800"/>
            <a:chOff x="2202180" y="876300"/>
            <a:chExt cx="1681428" cy="820800"/>
          </a:xfrm>
        </xdr:grpSpPr>
        <xdr:sp macro="" textlink="">
          <xdr:nvSpPr>
            <xdr:cNvPr id="5" name="Rectangle: Rounded Corners 4">
              <a:extLst>
                <a:ext uri="{FF2B5EF4-FFF2-40B4-BE49-F238E27FC236}">
                  <a16:creationId xmlns:a16="http://schemas.microsoft.com/office/drawing/2014/main" id="{A32232A4-599B-4527-945C-F2200B4ED741}"/>
                </a:ext>
              </a:extLst>
            </xdr:cNvPr>
            <xdr:cNvSpPr/>
          </xdr:nvSpPr>
          <xdr:spPr>
            <a:xfrm>
              <a:off x="2202180" y="876300"/>
              <a:ext cx="1662399" cy="820800"/>
            </a:xfrm>
            <a:prstGeom prst="roundRect">
              <a:avLst>
                <a:gd name="adj" fmla="val 4598"/>
              </a:avLst>
            </a:prstGeom>
            <a:solidFill>
              <a:schemeClr val="bg1"/>
            </a:solidFill>
            <a:ln w="6350">
              <a:solidFill>
                <a:schemeClr val="bg1">
                  <a:lumMod val="50000"/>
                </a:schemeClr>
              </a:solidFill>
            </a:ln>
            <a:effectLst>
              <a:outerShdw blurRad="825500" dist="127000" dir="5400000" sx="95000" sy="95000" algn="ctr" rotWithShape="0">
                <a:prstClr val="black">
                  <a:alpha val="15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ZA" sz="1100"/>
                <a:t>95</a:t>
              </a:r>
            </a:p>
          </xdr:txBody>
        </xdr:sp>
        <xdr:sp macro="" textlink="">
          <xdr:nvSpPr>
            <xdr:cNvPr id="6" name="TextBox 5">
              <a:extLst>
                <a:ext uri="{FF2B5EF4-FFF2-40B4-BE49-F238E27FC236}">
                  <a16:creationId xmlns:a16="http://schemas.microsoft.com/office/drawing/2014/main" id="{A5546B2A-366F-496A-AA97-8D1777404EF3}"/>
                </a:ext>
              </a:extLst>
            </xdr:cNvPr>
            <xdr:cNvSpPr txBox="1"/>
          </xdr:nvSpPr>
          <xdr:spPr>
            <a:xfrm>
              <a:off x="2217420" y="960120"/>
              <a:ext cx="1394460" cy="3276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ZA" sz="1100" b="1"/>
                <a:t>Date of Last Record</a:t>
              </a:r>
            </a:p>
          </xdr:txBody>
        </xdr:sp>
        <xdr:sp macro="" textlink="Calculations!E9">
          <xdr:nvSpPr>
            <xdr:cNvPr id="7" name="TextBox 6">
              <a:extLst>
                <a:ext uri="{FF2B5EF4-FFF2-40B4-BE49-F238E27FC236}">
                  <a16:creationId xmlns:a16="http://schemas.microsoft.com/office/drawing/2014/main" id="{3D031C34-DD05-49A3-9B99-799A9FB5D278}"/>
                </a:ext>
              </a:extLst>
            </xdr:cNvPr>
            <xdr:cNvSpPr txBox="1"/>
          </xdr:nvSpPr>
          <xdr:spPr>
            <a:xfrm>
              <a:off x="2209800" y="1196340"/>
              <a:ext cx="836946"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E60C18DA-FF1C-416B-902C-DD0F26568F2F}" type="TxLink">
                <a:rPr lang="en-US" sz="1200" b="1" i="0" u="none" strike="noStrike">
                  <a:solidFill>
                    <a:srgbClr val="000000"/>
                  </a:solidFill>
                  <a:latin typeface="Calibri"/>
                  <a:ea typeface="Calibri"/>
                  <a:cs typeface="Calibri"/>
                </a:rPr>
                <a:pPr/>
                <a:t>15-Mar-22</a:t>
              </a:fld>
              <a:endParaRPr lang="en-ZA" sz="1200" b="1"/>
            </a:p>
          </xdr:txBody>
        </xdr:sp>
        <xdr:sp macro="" textlink="Calculations!E10">
          <xdr:nvSpPr>
            <xdr:cNvPr id="8" name="TextBox 7">
              <a:extLst>
                <a:ext uri="{FF2B5EF4-FFF2-40B4-BE49-F238E27FC236}">
                  <a16:creationId xmlns:a16="http://schemas.microsoft.com/office/drawing/2014/main" id="{3FA8C0D1-8745-4D37-815F-D7D5C8268DF5}"/>
                </a:ext>
              </a:extLst>
            </xdr:cNvPr>
            <xdr:cNvSpPr txBox="1"/>
          </xdr:nvSpPr>
          <xdr:spPr>
            <a:xfrm>
              <a:off x="2938728" y="1203960"/>
              <a:ext cx="944880" cy="2590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C2F72429-1197-4DCB-8FA3-2F5D7524A957}" type="TxLink">
                <a:rPr lang="en-US" sz="1050" b="0" i="0" u="none" strike="noStrike">
                  <a:solidFill>
                    <a:srgbClr val="000000"/>
                  </a:solidFill>
                  <a:latin typeface="Calibri"/>
                  <a:ea typeface="Calibri"/>
                  <a:cs typeface="Calibri"/>
                </a:rPr>
                <a:pPr/>
                <a:t>(1101days ago)</a:t>
              </a:fld>
              <a:endParaRPr lang="en-ZA" sz="1100" b="1"/>
            </a:p>
          </xdr:txBody>
        </xdr:sp>
      </xdr:grpSp>
      <xdr:sp macro="" textlink="">
        <xdr:nvSpPr>
          <xdr:cNvPr id="11" name="Rectangle: Rounded Corners 10">
            <a:extLst>
              <a:ext uri="{FF2B5EF4-FFF2-40B4-BE49-F238E27FC236}">
                <a16:creationId xmlns:a16="http://schemas.microsoft.com/office/drawing/2014/main" id="{1A48B296-5A77-45F9-9CE4-A90071C93D3D}"/>
              </a:ext>
            </a:extLst>
          </xdr:cNvPr>
          <xdr:cNvSpPr/>
        </xdr:nvSpPr>
        <xdr:spPr>
          <a:xfrm>
            <a:off x="3992880" y="830580"/>
            <a:ext cx="1440180" cy="820800"/>
          </a:xfrm>
          <a:prstGeom prst="roundRect">
            <a:avLst>
              <a:gd name="adj" fmla="val 4598"/>
            </a:avLst>
          </a:prstGeom>
          <a:solidFill>
            <a:schemeClr val="bg1"/>
          </a:solidFill>
          <a:ln w="6350">
            <a:solidFill>
              <a:schemeClr val="bg1">
                <a:lumMod val="50000"/>
              </a:schemeClr>
            </a:solidFill>
          </a:ln>
          <a:effectLst>
            <a:outerShdw blurRad="825500" dist="127000" dir="5400000" sx="95000" sy="95000" algn="ctr" rotWithShape="0">
              <a:prstClr val="black">
                <a:alpha val="15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ZA" sz="1100"/>
              <a:t>95</a:t>
            </a:r>
          </a:p>
        </xdr:txBody>
      </xdr:sp>
      <xdr:sp macro="" textlink="">
        <xdr:nvSpPr>
          <xdr:cNvPr id="12" name="TextBox 11">
            <a:extLst>
              <a:ext uri="{FF2B5EF4-FFF2-40B4-BE49-F238E27FC236}">
                <a16:creationId xmlns:a16="http://schemas.microsoft.com/office/drawing/2014/main" id="{FFE73F0F-F129-440A-82B4-17EA2202F0DB}"/>
              </a:ext>
            </a:extLst>
          </xdr:cNvPr>
          <xdr:cNvSpPr txBox="1"/>
        </xdr:nvSpPr>
        <xdr:spPr>
          <a:xfrm>
            <a:off x="3992880" y="891540"/>
            <a:ext cx="1493520" cy="3276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ZA" sz="1100" b="1"/>
              <a:t>N.</a:t>
            </a:r>
            <a:r>
              <a:rPr lang="en-ZA" sz="1100" b="1" baseline="0"/>
              <a:t> of Tracked Records</a:t>
            </a:r>
            <a:endParaRPr lang="en-ZA" sz="1100" b="1"/>
          </a:p>
        </xdr:txBody>
      </xdr:sp>
      <xdr:sp macro="" textlink="Calculations!E11">
        <xdr:nvSpPr>
          <xdr:cNvPr id="13" name="TextBox 12">
            <a:extLst>
              <a:ext uri="{FF2B5EF4-FFF2-40B4-BE49-F238E27FC236}">
                <a16:creationId xmlns:a16="http://schemas.microsoft.com/office/drawing/2014/main" id="{31386505-93D7-48E6-AA11-B3F6D0F019A5}"/>
              </a:ext>
            </a:extLst>
          </xdr:cNvPr>
          <xdr:cNvSpPr txBox="1"/>
        </xdr:nvSpPr>
        <xdr:spPr>
          <a:xfrm>
            <a:off x="3985260" y="1127760"/>
            <a:ext cx="495300"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E20F2A21-83DE-4CF6-A29E-C49F29522CA0}" type="TxLink">
              <a:rPr lang="en-US" sz="1200" b="1" i="0" u="none" strike="noStrike">
                <a:solidFill>
                  <a:srgbClr val="000000"/>
                </a:solidFill>
                <a:latin typeface="Calibri"/>
                <a:ea typeface="Calibri"/>
                <a:cs typeface="Calibri"/>
              </a:rPr>
              <a:pPr/>
              <a:t>59</a:t>
            </a:fld>
            <a:endParaRPr lang="en-ZA" sz="1400" b="1"/>
          </a:p>
        </xdr:txBody>
      </xdr:sp>
      <xdr:sp macro="" textlink="Calculations!E12">
        <xdr:nvSpPr>
          <xdr:cNvPr id="14" name="TextBox 13">
            <a:extLst>
              <a:ext uri="{FF2B5EF4-FFF2-40B4-BE49-F238E27FC236}">
                <a16:creationId xmlns:a16="http://schemas.microsoft.com/office/drawing/2014/main" id="{A2D6531E-372D-4896-BD65-DAB588550D45}"/>
              </a:ext>
            </a:extLst>
          </xdr:cNvPr>
          <xdr:cNvSpPr txBox="1"/>
        </xdr:nvSpPr>
        <xdr:spPr>
          <a:xfrm>
            <a:off x="4488180" y="1135380"/>
            <a:ext cx="944880" cy="2590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0EDCE5F9-02DB-4310-89F3-085CA694BB9F}" type="TxLink">
              <a:rPr lang="en-US" sz="1050" b="0" i="0" u="none" strike="noStrike">
                <a:solidFill>
                  <a:srgbClr val="000000"/>
                </a:solidFill>
                <a:latin typeface="Calibri"/>
                <a:ea typeface="Calibri"/>
                <a:cs typeface="Calibri"/>
              </a:rPr>
              <a:pPr/>
              <a:t>(0 this year)</a:t>
            </a:fld>
            <a:endParaRPr lang="en-ZA" sz="1050" b="1"/>
          </a:p>
        </xdr:txBody>
      </xdr:sp>
    </xdr:grpSp>
    <xdr:clientData/>
  </xdr:twoCellAnchor>
  <xdr:twoCellAnchor editAs="absolute">
    <xdr:from>
      <xdr:col>7</xdr:col>
      <xdr:colOff>426720</xdr:colOff>
      <xdr:row>4</xdr:row>
      <xdr:rowOff>74756</xdr:rowOff>
    </xdr:from>
    <xdr:to>
      <xdr:col>10</xdr:col>
      <xdr:colOff>529882</xdr:colOff>
      <xdr:row>9</xdr:row>
      <xdr:rowOff>76200</xdr:rowOff>
    </xdr:to>
    <xdr:grpSp>
      <xdr:nvGrpSpPr>
        <xdr:cNvPr id="9" name="Group 8">
          <a:extLst>
            <a:ext uri="{FF2B5EF4-FFF2-40B4-BE49-F238E27FC236}">
              <a16:creationId xmlns:a16="http://schemas.microsoft.com/office/drawing/2014/main" id="{34BA347C-2171-B6BF-BD23-673465B64155}"/>
            </a:ext>
          </a:extLst>
        </xdr:cNvPr>
        <xdr:cNvGrpSpPr/>
      </xdr:nvGrpSpPr>
      <xdr:grpSpPr>
        <a:xfrm>
          <a:off x="5593080" y="806276"/>
          <a:ext cx="2991142" cy="915844"/>
          <a:chOff x="5593080" y="806276"/>
          <a:chExt cx="2991142" cy="915844"/>
        </a:xfrm>
      </xdr:grpSpPr>
      <xdr:sp macro="" textlink="">
        <xdr:nvSpPr>
          <xdr:cNvPr id="15" name="Rectangle: Rounded Corners 14">
            <a:extLst>
              <a:ext uri="{FF2B5EF4-FFF2-40B4-BE49-F238E27FC236}">
                <a16:creationId xmlns:a16="http://schemas.microsoft.com/office/drawing/2014/main" id="{4A5F7569-2C7A-46AC-BE9D-DEDD1DAD286F}"/>
              </a:ext>
            </a:extLst>
          </xdr:cNvPr>
          <xdr:cNvSpPr/>
        </xdr:nvSpPr>
        <xdr:spPr>
          <a:xfrm>
            <a:off x="5636026" y="806276"/>
            <a:ext cx="2936474" cy="915844"/>
          </a:xfrm>
          <a:prstGeom prst="roundRect">
            <a:avLst>
              <a:gd name="adj" fmla="val 4598"/>
            </a:avLst>
          </a:prstGeom>
          <a:solidFill>
            <a:schemeClr val="bg1"/>
          </a:solidFill>
          <a:ln w="6350">
            <a:solidFill>
              <a:schemeClr val="bg1">
                <a:lumMod val="50000"/>
              </a:schemeClr>
            </a:solidFill>
          </a:ln>
          <a:effectLst>
            <a:outerShdw blurRad="825500" dist="127000" dir="5400000" sx="95000" sy="95000" algn="ctr" rotWithShape="0">
              <a:prstClr val="black">
                <a:alpha val="15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ZA" sz="1100"/>
              <a:t>95</a:t>
            </a:r>
          </a:p>
        </xdr:txBody>
      </xdr:sp>
      <xdr:sp macro="" textlink="">
        <xdr:nvSpPr>
          <xdr:cNvPr id="16" name="TextBox 15">
            <a:extLst>
              <a:ext uri="{FF2B5EF4-FFF2-40B4-BE49-F238E27FC236}">
                <a16:creationId xmlns:a16="http://schemas.microsoft.com/office/drawing/2014/main" id="{52785CC1-305B-43E4-8D54-AE6B243EF967}"/>
              </a:ext>
            </a:extLst>
          </xdr:cNvPr>
          <xdr:cNvSpPr txBox="1"/>
        </xdr:nvSpPr>
        <xdr:spPr>
          <a:xfrm>
            <a:off x="5600890" y="876299"/>
            <a:ext cx="1530715" cy="3656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ZA" sz="1100" b="1"/>
              <a:t>Total </a:t>
            </a:r>
            <a:r>
              <a:rPr lang="en-ZA" sz="1100" b="1" baseline="0"/>
              <a:t>Tracking Balance</a:t>
            </a:r>
            <a:endParaRPr lang="en-ZA" sz="1100" b="1"/>
          </a:p>
        </xdr:txBody>
      </xdr:sp>
      <xdr:sp macro="" textlink="Calculations!E13">
        <xdr:nvSpPr>
          <xdr:cNvPr id="17" name="TextBox 16">
            <a:extLst>
              <a:ext uri="{FF2B5EF4-FFF2-40B4-BE49-F238E27FC236}">
                <a16:creationId xmlns:a16="http://schemas.microsoft.com/office/drawing/2014/main" id="{CCA8B791-D53D-4233-9B28-E4D57E3DAB44}"/>
              </a:ext>
            </a:extLst>
          </xdr:cNvPr>
          <xdr:cNvSpPr txBox="1"/>
        </xdr:nvSpPr>
        <xdr:spPr>
          <a:xfrm>
            <a:off x="5593080" y="1165379"/>
            <a:ext cx="695070" cy="3656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8D16F212-CA16-4E47-A000-D61122F25D7D}" type="TxLink">
              <a:rPr lang="en-US" sz="1200" b="1" i="0" u="none" strike="noStrike">
                <a:solidFill>
                  <a:srgbClr val="000000"/>
                </a:solidFill>
                <a:latin typeface="Calibri"/>
                <a:ea typeface="Calibri"/>
                <a:cs typeface="Calibri"/>
              </a:rPr>
              <a:pPr/>
              <a:t> 2,480 </a:t>
            </a:fld>
            <a:endParaRPr lang="en-ZA" sz="1600" b="1"/>
          </a:p>
        </xdr:txBody>
      </xdr:sp>
      <xdr:sp macro="" textlink="Calculations!E14">
        <xdr:nvSpPr>
          <xdr:cNvPr id="18" name="TextBox 17">
            <a:extLst>
              <a:ext uri="{FF2B5EF4-FFF2-40B4-BE49-F238E27FC236}">
                <a16:creationId xmlns:a16="http://schemas.microsoft.com/office/drawing/2014/main" id="{A483F1FD-E3AE-43E7-8099-BAD79760B4AC}"/>
              </a:ext>
            </a:extLst>
          </xdr:cNvPr>
          <xdr:cNvSpPr txBox="1"/>
        </xdr:nvSpPr>
        <xdr:spPr>
          <a:xfrm>
            <a:off x="6186623" y="1190886"/>
            <a:ext cx="2397599" cy="2890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31BB4EE8-E741-46FA-82BB-466F8E17B313}" type="TxLink">
              <a:rPr lang="en-US" sz="1100" b="0" i="0" u="none" strike="noStrike">
                <a:solidFill>
                  <a:srgbClr val="000000"/>
                </a:solidFill>
                <a:latin typeface="Calibri"/>
                <a:ea typeface="Calibri"/>
                <a:cs typeface="Calibri"/>
              </a:rPr>
              <a:pPr/>
              <a:t>of tracked income left to be allocated</a:t>
            </a:fld>
            <a:endParaRPr lang="en-ZA" sz="1050" b="1"/>
          </a:p>
        </xdr:txBody>
      </xdr:sp>
    </xdr:grpSp>
    <xdr:clientData/>
  </xdr:twoCellAnchor>
</xdr:wsDr>
</file>

<file path=xl/drawings/drawing2.xml><?xml version="1.0" encoding="utf-8"?>
<xdr:wsDr xmlns:xdr="http://schemas.openxmlformats.org/drawingml/2006/spreadsheetDrawing" xmlns:a="http://schemas.openxmlformats.org/drawingml/2006/main">
  <xdr:twoCellAnchor editAs="oneCell">
    <xdr:from>
      <xdr:col>31</xdr:col>
      <xdr:colOff>152400</xdr:colOff>
      <xdr:row>12</xdr:row>
      <xdr:rowOff>55245</xdr:rowOff>
    </xdr:from>
    <xdr:to>
      <xdr:col>32</xdr:col>
      <xdr:colOff>973455</xdr:colOff>
      <xdr:row>13</xdr:row>
      <xdr:rowOff>131445</xdr:rowOff>
    </xdr:to>
    <xdr:sp macro="" textlink="">
      <xdr:nvSpPr>
        <xdr:cNvPr id="2" name="TextBox 1">
          <a:extLst>
            <a:ext uri="{FF2B5EF4-FFF2-40B4-BE49-F238E27FC236}">
              <a16:creationId xmlns:a16="http://schemas.microsoft.com/office/drawing/2014/main" id="{A13994C2-FC2F-5531-3F07-1C6CAA5DF3F2}"/>
            </a:ext>
          </a:extLst>
        </xdr:cNvPr>
        <xdr:cNvSpPr txBox="1"/>
      </xdr:nvSpPr>
      <xdr:spPr>
        <a:xfrm>
          <a:off x="5676900" y="2226945"/>
          <a:ext cx="2131695" cy="2667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ZA" sz="1100" b="1">
              <a:solidFill>
                <a:srgbClr val="00B050"/>
              </a:solidFill>
            </a:rPr>
            <a:t>Income</a:t>
          </a:r>
          <a:r>
            <a:rPr lang="en-ZA" sz="1100" b="1">
              <a:solidFill>
                <a:schemeClr val="tx2"/>
              </a:solidFill>
            </a:rPr>
            <a:t> Categories (Tracked)</a:t>
          </a:r>
        </a:p>
      </xdr:txBody>
    </xdr:sp>
    <xdr:clientData/>
  </xdr:twoCellAnchor>
  <xdr:twoCellAnchor editAs="oneCell">
    <xdr:from>
      <xdr:col>31</xdr:col>
      <xdr:colOff>150496</xdr:colOff>
      <xdr:row>14</xdr:row>
      <xdr:rowOff>49531</xdr:rowOff>
    </xdr:from>
    <xdr:to>
      <xdr:col>32</xdr:col>
      <xdr:colOff>741046</xdr:colOff>
      <xdr:row>22</xdr:row>
      <xdr:rowOff>53341</xdr:rowOff>
    </xdr:to>
    <xdr:graphicFrame macro="">
      <xdr:nvGraphicFramePr>
        <xdr:cNvPr id="3" name="Chart 2">
          <a:extLst>
            <a:ext uri="{FF2B5EF4-FFF2-40B4-BE49-F238E27FC236}">
              <a16:creationId xmlns:a16="http://schemas.microsoft.com/office/drawing/2014/main" id="{11056F13-BAC0-48C5-8C96-17DEA080412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oneCellAnchor>
    <xdr:from>
      <xdr:col>31</xdr:col>
      <xdr:colOff>152400</xdr:colOff>
      <xdr:row>26</xdr:row>
      <xdr:rowOff>7620</xdr:rowOff>
    </xdr:from>
    <xdr:ext cx="2135505" cy="262890"/>
    <xdr:sp macro="" textlink="">
      <xdr:nvSpPr>
        <xdr:cNvPr id="6" name="TextBox 5">
          <a:extLst>
            <a:ext uri="{FF2B5EF4-FFF2-40B4-BE49-F238E27FC236}">
              <a16:creationId xmlns:a16="http://schemas.microsoft.com/office/drawing/2014/main" id="{20C36F03-3786-4B5C-AF71-33D07AA20138}"/>
            </a:ext>
          </a:extLst>
        </xdr:cNvPr>
        <xdr:cNvSpPr txBox="1"/>
      </xdr:nvSpPr>
      <xdr:spPr>
        <a:xfrm>
          <a:off x="5705475" y="2362200"/>
          <a:ext cx="2135505" cy="26289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ZA" sz="1100" b="1">
              <a:solidFill>
                <a:srgbClr val="FF33CC"/>
              </a:solidFill>
            </a:rPr>
            <a:t>Expenses</a:t>
          </a:r>
          <a:r>
            <a:rPr lang="en-ZA" sz="1100" b="1">
              <a:solidFill>
                <a:schemeClr val="tx2"/>
              </a:solidFill>
            </a:rPr>
            <a:t> Categories (Tracked)</a:t>
          </a:r>
        </a:p>
      </xdr:txBody>
    </xdr:sp>
    <xdr:clientData/>
  </xdr:oneCellAnchor>
  <xdr:oneCellAnchor>
    <xdr:from>
      <xdr:col>31</xdr:col>
      <xdr:colOff>150496</xdr:colOff>
      <xdr:row>27</xdr:row>
      <xdr:rowOff>49531</xdr:rowOff>
    </xdr:from>
    <xdr:ext cx="1918335" cy="1447800"/>
    <xdr:graphicFrame macro="">
      <xdr:nvGraphicFramePr>
        <xdr:cNvPr id="7" name="Chart 6">
          <a:extLst>
            <a:ext uri="{FF2B5EF4-FFF2-40B4-BE49-F238E27FC236}">
              <a16:creationId xmlns:a16="http://schemas.microsoft.com/office/drawing/2014/main" id="{041B6D0F-E7F2-4D0B-9B67-F595852A613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oneCellAnchor>
  <xdr:oneCellAnchor>
    <xdr:from>
      <xdr:col>38</xdr:col>
      <xdr:colOff>152400</xdr:colOff>
      <xdr:row>26</xdr:row>
      <xdr:rowOff>9525</xdr:rowOff>
    </xdr:from>
    <xdr:ext cx="2135505" cy="262890"/>
    <xdr:sp macro="" textlink="">
      <xdr:nvSpPr>
        <xdr:cNvPr id="8" name="TextBox 7">
          <a:extLst>
            <a:ext uri="{FF2B5EF4-FFF2-40B4-BE49-F238E27FC236}">
              <a16:creationId xmlns:a16="http://schemas.microsoft.com/office/drawing/2014/main" id="{158A86DF-B666-4CEC-B7A7-D64BFE32A896}"/>
            </a:ext>
          </a:extLst>
        </xdr:cNvPr>
        <xdr:cNvSpPr txBox="1"/>
      </xdr:nvSpPr>
      <xdr:spPr>
        <a:xfrm>
          <a:off x="10477500" y="4714875"/>
          <a:ext cx="2135505" cy="26289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ZA" sz="1100" b="1">
              <a:solidFill>
                <a:srgbClr val="002060"/>
              </a:solidFill>
            </a:rPr>
            <a:t>Savings</a:t>
          </a:r>
          <a:r>
            <a:rPr lang="en-ZA" sz="1100" b="1">
              <a:solidFill>
                <a:schemeClr val="tx2"/>
              </a:solidFill>
            </a:rPr>
            <a:t> Categories (Tracked)</a:t>
          </a:r>
        </a:p>
      </xdr:txBody>
    </xdr:sp>
    <xdr:clientData/>
  </xdr:oneCellAnchor>
  <xdr:oneCellAnchor>
    <xdr:from>
      <xdr:col>38</xdr:col>
      <xdr:colOff>150496</xdr:colOff>
      <xdr:row>27</xdr:row>
      <xdr:rowOff>49531</xdr:rowOff>
    </xdr:from>
    <xdr:ext cx="1918335" cy="1447800"/>
    <xdr:graphicFrame macro="">
      <xdr:nvGraphicFramePr>
        <xdr:cNvPr id="9" name="Chart 8">
          <a:extLst>
            <a:ext uri="{FF2B5EF4-FFF2-40B4-BE49-F238E27FC236}">
              <a16:creationId xmlns:a16="http://schemas.microsoft.com/office/drawing/2014/main" id="{98F39CBF-76DA-47D6-934C-E323589C6F4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oneCellAnchor>
  <xdr:twoCellAnchor editAs="oneCell">
    <xdr:from>
      <xdr:col>38</xdr:col>
      <xdr:colOff>152400</xdr:colOff>
      <xdr:row>12</xdr:row>
      <xdr:rowOff>59055</xdr:rowOff>
    </xdr:from>
    <xdr:to>
      <xdr:col>39</xdr:col>
      <xdr:colOff>971550</xdr:colOff>
      <xdr:row>13</xdr:row>
      <xdr:rowOff>131445</xdr:rowOff>
    </xdr:to>
    <xdr:sp macro="" textlink="">
      <xdr:nvSpPr>
        <xdr:cNvPr id="10" name="TextBox 9">
          <a:extLst>
            <a:ext uri="{FF2B5EF4-FFF2-40B4-BE49-F238E27FC236}">
              <a16:creationId xmlns:a16="http://schemas.microsoft.com/office/drawing/2014/main" id="{56A591F4-224D-45C8-864C-E7C1F58A442A}"/>
            </a:ext>
          </a:extLst>
        </xdr:cNvPr>
        <xdr:cNvSpPr txBox="1"/>
      </xdr:nvSpPr>
      <xdr:spPr>
        <a:xfrm>
          <a:off x="10477500" y="2230755"/>
          <a:ext cx="2137410" cy="2571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ZA" sz="1100" b="1">
              <a:solidFill>
                <a:sysClr val="windowText" lastClr="000000"/>
              </a:solidFill>
            </a:rPr>
            <a:t>Tracked</a:t>
          </a:r>
          <a:r>
            <a:rPr lang="en-ZA" sz="1100" b="1" baseline="0">
              <a:solidFill>
                <a:sysClr val="windowText" lastClr="000000"/>
              </a:solidFill>
            </a:rPr>
            <a:t> (vs. Budget)</a:t>
          </a:r>
          <a:endParaRPr lang="en-ZA" sz="1100" b="1">
            <a:solidFill>
              <a:sysClr val="windowText" lastClr="000000"/>
            </a:solidFill>
          </a:endParaRPr>
        </a:p>
      </xdr:txBody>
    </xdr:sp>
    <xdr:clientData/>
  </xdr:twoCellAnchor>
  <xdr:twoCellAnchor>
    <xdr:from>
      <xdr:col>38</xdr:col>
      <xdr:colOff>97155</xdr:colOff>
      <xdr:row>14</xdr:row>
      <xdr:rowOff>66675</xdr:rowOff>
    </xdr:from>
    <xdr:to>
      <xdr:col>43</xdr:col>
      <xdr:colOff>114300</xdr:colOff>
      <xdr:row>23</xdr:row>
      <xdr:rowOff>135255</xdr:rowOff>
    </xdr:to>
    <xdr:graphicFrame macro="">
      <xdr:nvGraphicFramePr>
        <xdr:cNvPr id="11" name="Chart 10">
          <a:extLst>
            <a:ext uri="{FF2B5EF4-FFF2-40B4-BE49-F238E27FC236}">
              <a16:creationId xmlns:a16="http://schemas.microsoft.com/office/drawing/2014/main" id="{CA4968CE-65B0-406E-82E5-B8FD097A5F4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mc:AlternateContent xmlns:mc="http://schemas.openxmlformats.org/markup-compatibility/2006">
    <mc:Choice xmlns:a14="http://schemas.microsoft.com/office/drawing/2010/main" Requires="a14">
      <xdr:twoCellAnchor editAs="oneCell">
        <xdr:from>
          <xdr:col>42</xdr:col>
          <xdr:colOff>97156</xdr:colOff>
          <xdr:row>12</xdr:row>
          <xdr:rowOff>91440</xdr:rowOff>
        </xdr:from>
        <xdr:to>
          <xdr:col>43</xdr:col>
          <xdr:colOff>94709</xdr:colOff>
          <xdr:row>13</xdr:row>
          <xdr:rowOff>53820</xdr:rowOff>
        </xdr:to>
        <xdr:sp macro="" textlink="">
          <xdr:nvSpPr>
            <xdr:cNvPr id="2066" name="Check Box 18" hidden="1">
              <a:extLst>
                <a:ext uri="{63B3BB69-23CF-44E3-9099-C40C66FF867C}">
                  <a14:compatExt spid="_x0000_s2066"/>
                </a:ext>
                <a:ext uri="{FF2B5EF4-FFF2-40B4-BE49-F238E27FC236}">
                  <a16:creationId xmlns:a16="http://schemas.microsoft.com/office/drawing/2014/main" id="{8EC20A40-6E97-B0B3-DCFC-83366F5941DE}"/>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ZA" sz="800" b="0" i="0" u="none" strike="noStrike" baseline="0">
                  <a:solidFill>
                    <a:srgbClr val="000000"/>
                  </a:solidFill>
                  <a:latin typeface="Segoe UI"/>
                  <a:cs typeface="Segoe UI"/>
                </a:rPr>
                <a:t>Income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42</xdr:col>
          <xdr:colOff>91440</xdr:colOff>
          <xdr:row>13</xdr:row>
          <xdr:rowOff>83980</xdr:rowOff>
        </xdr:from>
        <xdr:to>
          <xdr:col>43</xdr:col>
          <xdr:colOff>131084</xdr:colOff>
          <xdr:row>14</xdr:row>
          <xdr:rowOff>34450</xdr:rowOff>
        </xdr:to>
        <xdr:sp macro="" textlink="">
          <xdr:nvSpPr>
            <xdr:cNvPr id="2067" name="Check Box 19" hidden="1">
              <a:extLst>
                <a:ext uri="{63B3BB69-23CF-44E3-9099-C40C66FF867C}">
                  <a14:compatExt spid="_x0000_s2067"/>
                </a:ext>
                <a:ext uri="{FF2B5EF4-FFF2-40B4-BE49-F238E27FC236}">
                  <a16:creationId xmlns:a16="http://schemas.microsoft.com/office/drawing/2014/main" id="{CA78F72F-63C5-DF9F-752B-08E98BD8BB1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ZA" sz="800" b="0" i="0" u="none" strike="noStrike" baseline="0">
                  <a:solidFill>
                    <a:srgbClr val="000000"/>
                  </a:solidFill>
                  <a:latin typeface="Segoe UI"/>
                  <a:cs typeface="Segoe UI"/>
                </a:rPr>
                <a:t>Expenses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42</xdr:col>
          <xdr:colOff>95250</xdr:colOff>
          <xdr:row>14</xdr:row>
          <xdr:rowOff>55246</xdr:rowOff>
        </xdr:from>
        <xdr:to>
          <xdr:col>43</xdr:col>
          <xdr:colOff>131084</xdr:colOff>
          <xdr:row>15</xdr:row>
          <xdr:rowOff>20956</xdr:rowOff>
        </xdr:to>
        <xdr:sp macro="" textlink="">
          <xdr:nvSpPr>
            <xdr:cNvPr id="2068" name="Check Box 20" hidden="1">
              <a:extLst>
                <a:ext uri="{63B3BB69-23CF-44E3-9099-C40C66FF867C}">
                  <a14:compatExt spid="_x0000_s2068"/>
                </a:ext>
                <a:ext uri="{FF2B5EF4-FFF2-40B4-BE49-F238E27FC236}">
                  <a16:creationId xmlns:a16="http://schemas.microsoft.com/office/drawing/2014/main" id="{C073365B-5F19-60E4-5C3E-DAA34905BC2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ZA" sz="800" b="0" i="0" u="none" strike="noStrike" baseline="0">
                  <a:solidFill>
                    <a:srgbClr val="000000"/>
                  </a:solidFill>
                  <a:latin typeface="Segoe UI"/>
                  <a:cs typeface="Segoe UI"/>
                </a:rPr>
                <a:t>Savings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40</xdr:col>
          <xdr:colOff>158115</xdr:colOff>
          <xdr:row>12</xdr:row>
          <xdr:rowOff>126050</xdr:rowOff>
        </xdr:from>
        <xdr:to>
          <xdr:col>41</xdr:col>
          <xdr:colOff>474345</xdr:colOff>
          <xdr:row>13</xdr:row>
          <xdr:rowOff>55565</xdr:rowOff>
        </xdr:to>
        <xdr:sp macro="" textlink="">
          <xdr:nvSpPr>
            <xdr:cNvPr id="2069" name="Check Box 21" hidden="1">
              <a:extLst>
                <a:ext uri="{63B3BB69-23CF-44E3-9099-C40C66FF867C}">
                  <a14:compatExt spid="_x0000_s2069"/>
                </a:ext>
                <a:ext uri="{FF2B5EF4-FFF2-40B4-BE49-F238E27FC236}">
                  <a16:creationId xmlns:a16="http://schemas.microsoft.com/office/drawing/2014/main" id="{859C931A-4A9D-70BB-87F3-6075241DF4D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ZA" sz="800" b="0" i="0" u="none" strike="noStrike" baseline="0">
                  <a:solidFill>
                    <a:srgbClr val="000000"/>
                  </a:solidFill>
                  <a:latin typeface="Segoe UI"/>
                  <a:cs typeface="Segoe UI"/>
                </a:rPr>
                <a:t>Budget</a:t>
              </a:r>
            </a:p>
          </xdr:txBody>
        </xdr:sp>
        <xdr:clientData/>
      </xdr:twoCellAnchor>
    </mc:Choice>
    <mc:Fallback/>
  </mc:AlternateContent>
  <xdr:twoCellAnchor>
    <xdr:from>
      <xdr:col>40</xdr:col>
      <xdr:colOff>135256</xdr:colOff>
      <xdr:row>12</xdr:row>
      <xdr:rowOff>26669</xdr:rowOff>
    </xdr:from>
    <xdr:to>
      <xdr:col>43</xdr:col>
      <xdr:colOff>257175</xdr:colOff>
      <xdr:row>15</xdr:row>
      <xdr:rowOff>76200</xdr:rowOff>
    </xdr:to>
    <xdr:sp macro="" textlink="">
      <xdr:nvSpPr>
        <xdr:cNvPr id="12" name="Rectangle 11">
          <a:extLst>
            <a:ext uri="{FF2B5EF4-FFF2-40B4-BE49-F238E27FC236}">
              <a16:creationId xmlns:a16="http://schemas.microsoft.com/office/drawing/2014/main" id="{82E3460D-20E7-0F7F-515F-DE72AE170D52}"/>
            </a:ext>
          </a:extLst>
        </xdr:cNvPr>
        <xdr:cNvSpPr/>
      </xdr:nvSpPr>
      <xdr:spPr>
        <a:xfrm>
          <a:off x="13089256" y="2198369"/>
          <a:ext cx="1807844" cy="592456"/>
        </a:xfrm>
        <a:prstGeom prst="rect">
          <a:avLst/>
        </a:prstGeom>
        <a:noFill/>
        <a:ln>
          <a:solidFill>
            <a:schemeClr val="bg1">
              <a:lumMod val="5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1</xdr:col>
      <xdr:colOff>211455</xdr:colOff>
      <xdr:row>3</xdr:row>
      <xdr:rowOff>167640</xdr:rowOff>
    </xdr:from>
    <xdr:to>
      <xdr:col>26</xdr:col>
      <xdr:colOff>15240</xdr:colOff>
      <xdr:row>8</xdr:row>
      <xdr:rowOff>169084</xdr:rowOff>
    </xdr:to>
    <xdr:grpSp>
      <xdr:nvGrpSpPr>
        <xdr:cNvPr id="20" name="Group 19">
          <a:extLst>
            <a:ext uri="{FF2B5EF4-FFF2-40B4-BE49-F238E27FC236}">
              <a16:creationId xmlns:a16="http://schemas.microsoft.com/office/drawing/2014/main" id="{3D0FBA63-7369-43D0-B54D-D3545A05AE6E}"/>
            </a:ext>
          </a:extLst>
        </xdr:cNvPr>
        <xdr:cNvGrpSpPr/>
      </xdr:nvGrpSpPr>
      <xdr:grpSpPr>
        <a:xfrm>
          <a:off x="447675" y="716280"/>
          <a:ext cx="2295525" cy="915844"/>
          <a:chOff x="449580" y="710565"/>
          <a:chExt cx="2299335" cy="906319"/>
        </a:xfrm>
      </xdr:grpSpPr>
      <xdr:sp macro="" textlink="">
        <xdr:nvSpPr>
          <xdr:cNvPr id="15" name="Rectangle: Rounded Corners 14">
            <a:extLst>
              <a:ext uri="{FF2B5EF4-FFF2-40B4-BE49-F238E27FC236}">
                <a16:creationId xmlns:a16="http://schemas.microsoft.com/office/drawing/2014/main" id="{A6021261-2D42-8F0D-EBE5-1C0DBE4DF802}"/>
              </a:ext>
            </a:extLst>
          </xdr:cNvPr>
          <xdr:cNvSpPr/>
        </xdr:nvSpPr>
        <xdr:spPr>
          <a:xfrm>
            <a:off x="449580" y="710565"/>
            <a:ext cx="2299335" cy="906319"/>
          </a:xfrm>
          <a:prstGeom prst="roundRect">
            <a:avLst>
              <a:gd name="adj" fmla="val 4598"/>
            </a:avLst>
          </a:prstGeom>
          <a:solidFill>
            <a:schemeClr val="bg1"/>
          </a:solidFill>
          <a:ln w="6350">
            <a:solidFill>
              <a:schemeClr val="bg1">
                <a:lumMod val="50000"/>
              </a:schemeClr>
            </a:solidFill>
          </a:ln>
          <a:effectLst>
            <a:outerShdw blurRad="825500" dist="127000" dir="5400000" sx="95000" sy="95000" algn="ctr" rotWithShape="0">
              <a:prstClr val="black">
                <a:alpha val="15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ZA" sz="1100"/>
              <a:t>95</a:t>
            </a:r>
          </a:p>
        </xdr:txBody>
      </xdr:sp>
      <xdr:sp macro="" textlink="">
        <xdr:nvSpPr>
          <xdr:cNvPr id="16" name="TextBox 15">
            <a:extLst>
              <a:ext uri="{FF2B5EF4-FFF2-40B4-BE49-F238E27FC236}">
                <a16:creationId xmlns:a16="http://schemas.microsoft.com/office/drawing/2014/main" id="{E095F083-D829-EEF1-0BBE-0F8B825EB4B8}"/>
              </a:ext>
            </a:extLst>
          </xdr:cNvPr>
          <xdr:cNvSpPr txBox="1"/>
        </xdr:nvSpPr>
        <xdr:spPr>
          <a:xfrm>
            <a:off x="466725" y="803118"/>
            <a:ext cx="1905000" cy="33655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ZA" sz="1100" b="1"/>
              <a:t>Selected Year &amp;</a:t>
            </a:r>
            <a:r>
              <a:rPr lang="en-ZA" sz="1100" b="1" baseline="0"/>
              <a:t> Period</a:t>
            </a:r>
            <a:endParaRPr lang="en-ZA" sz="1100" b="1"/>
          </a:p>
        </xdr:txBody>
      </xdr:sp>
      <xdr:sp macro="" textlink="selected_year">
        <xdr:nvSpPr>
          <xdr:cNvPr id="18" name="Rectangle: Rounded Corners 17">
            <a:extLst>
              <a:ext uri="{FF2B5EF4-FFF2-40B4-BE49-F238E27FC236}">
                <a16:creationId xmlns:a16="http://schemas.microsoft.com/office/drawing/2014/main" id="{DFA26C8C-6A69-3971-EED8-C877E103314A}"/>
              </a:ext>
            </a:extLst>
          </xdr:cNvPr>
          <xdr:cNvSpPr/>
        </xdr:nvSpPr>
        <xdr:spPr>
          <a:xfrm>
            <a:off x="521970" y="1143000"/>
            <a:ext cx="612000" cy="216000"/>
          </a:xfrm>
          <a:prstGeom prst="round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E442A5FA-0066-453E-B168-53100DB7CEB3}" type="TxLink">
              <a:rPr lang="en-US" sz="1100" b="0" i="0" u="none" strike="noStrike">
                <a:solidFill>
                  <a:srgbClr val="000000"/>
                </a:solidFill>
                <a:latin typeface="Calibri"/>
                <a:ea typeface="Calibri"/>
                <a:cs typeface="Calibri"/>
              </a:rPr>
              <a:pPr algn="ctr"/>
              <a:t>2022</a:t>
            </a:fld>
            <a:endParaRPr lang="en-US" sz="1100"/>
          </a:p>
        </xdr:txBody>
      </xdr:sp>
      <xdr:sp macro="" textlink="selected_period_display">
        <xdr:nvSpPr>
          <xdr:cNvPr id="19" name="Rectangle: Rounded Corners 18">
            <a:extLst>
              <a:ext uri="{FF2B5EF4-FFF2-40B4-BE49-F238E27FC236}">
                <a16:creationId xmlns:a16="http://schemas.microsoft.com/office/drawing/2014/main" id="{4B45C4B1-5FC7-4153-89E5-4DA334A6A36B}"/>
              </a:ext>
            </a:extLst>
          </xdr:cNvPr>
          <xdr:cNvSpPr/>
        </xdr:nvSpPr>
        <xdr:spPr>
          <a:xfrm>
            <a:off x="1249675" y="1139190"/>
            <a:ext cx="892380" cy="223620"/>
          </a:xfrm>
          <a:prstGeom prst="round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AE19C098-783A-4844-95D3-B275AEE35948}" type="TxLink">
              <a:rPr lang="en-US" sz="1000" b="1" i="0" u="none" strike="noStrike">
                <a:solidFill>
                  <a:srgbClr val="000000"/>
                </a:solidFill>
                <a:latin typeface="Calibri"/>
                <a:ea typeface="Calibri"/>
                <a:cs typeface="Calibri"/>
              </a:rPr>
              <a:t>Total Year</a:t>
            </a:fld>
            <a:endParaRPr lang="en-US" sz="1000" b="1"/>
          </a:p>
        </xdr:txBody>
      </xdr:sp>
    </xdr:grpSp>
    <xdr:clientData/>
  </xdr:twoCellAnchor>
  <xdr:twoCellAnchor>
    <xdr:from>
      <xdr:col>26</xdr:col>
      <xdr:colOff>332690</xdr:colOff>
      <xdr:row>3</xdr:row>
      <xdr:rowOff>173355</xdr:rowOff>
    </xdr:from>
    <xdr:to>
      <xdr:col>28</xdr:col>
      <xdr:colOff>354330</xdr:colOff>
      <xdr:row>8</xdr:row>
      <xdr:rowOff>174799</xdr:rowOff>
    </xdr:to>
    <xdr:grpSp>
      <xdr:nvGrpSpPr>
        <xdr:cNvPr id="27" name="Group 26">
          <a:extLst>
            <a:ext uri="{FF2B5EF4-FFF2-40B4-BE49-F238E27FC236}">
              <a16:creationId xmlns:a16="http://schemas.microsoft.com/office/drawing/2014/main" id="{1B3BF2D8-C42E-C254-BACD-0F7DDE805A8B}"/>
            </a:ext>
          </a:extLst>
        </xdr:cNvPr>
        <xdr:cNvGrpSpPr/>
      </xdr:nvGrpSpPr>
      <xdr:grpSpPr>
        <a:xfrm>
          <a:off x="3060650" y="721995"/>
          <a:ext cx="1240840" cy="915844"/>
          <a:chOff x="2959669" y="679302"/>
          <a:chExt cx="1239099" cy="904969"/>
        </a:xfrm>
      </xdr:grpSpPr>
      <xdr:sp macro="" textlink="">
        <xdr:nvSpPr>
          <xdr:cNvPr id="23" name="Rectangle: Rounded Corners 22">
            <a:extLst>
              <a:ext uri="{FF2B5EF4-FFF2-40B4-BE49-F238E27FC236}">
                <a16:creationId xmlns:a16="http://schemas.microsoft.com/office/drawing/2014/main" id="{5B2FBA1E-9236-8C0D-6B8D-25B48E9E1CC6}"/>
              </a:ext>
            </a:extLst>
          </xdr:cNvPr>
          <xdr:cNvSpPr/>
        </xdr:nvSpPr>
        <xdr:spPr>
          <a:xfrm>
            <a:off x="2962273" y="679302"/>
            <a:ext cx="1236495" cy="904969"/>
          </a:xfrm>
          <a:prstGeom prst="roundRect">
            <a:avLst>
              <a:gd name="adj" fmla="val 4598"/>
            </a:avLst>
          </a:prstGeom>
          <a:solidFill>
            <a:schemeClr val="bg1"/>
          </a:solidFill>
          <a:ln w="6350">
            <a:solidFill>
              <a:schemeClr val="bg1">
                <a:lumMod val="50000"/>
              </a:schemeClr>
            </a:solidFill>
          </a:ln>
          <a:effectLst>
            <a:outerShdw blurRad="825500" dist="127000" dir="5400000" sx="95000" sy="95000" algn="ctr" rotWithShape="0">
              <a:prstClr val="black">
                <a:alpha val="15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ZA" sz="1100"/>
              <a:t>95</a:t>
            </a:r>
          </a:p>
        </xdr:txBody>
      </xdr:sp>
      <xdr:sp macro="" textlink="">
        <xdr:nvSpPr>
          <xdr:cNvPr id="24" name="TextBox 23">
            <a:extLst>
              <a:ext uri="{FF2B5EF4-FFF2-40B4-BE49-F238E27FC236}">
                <a16:creationId xmlns:a16="http://schemas.microsoft.com/office/drawing/2014/main" id="{3E79B18A-499D-823B-6ABB-653099836098}"/>
              </a:ext>
            </a:extLst>
          </xdr:cNvPr>
          <xdr:cNvSpPr txBox="1"/>
        </xdr:nvSpPr>
        <xdr:spPr>
          <a:xfrm>
            <a:off x="2959669" y="803118"/>
            <a:ext cx="1142497" cy="34036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ZA" sz="1100" b="1"/>
              <a:t>Period Compl.</a:t>
            </a:r>
          </a:p>
        </xdr:txBody>
      </xdr:sp>
      <xdr:graphicFrame macro="">
        <xdr:nvGraphicFramePr>
          <xdr:cNvPr id="26" name="Chart 25">
            <a:extLst>
              <a:ext uri="{FF2B5EF4-FFF2-40B4-BE49-F238E27FC236}">
                <a16:creationId xmlns:a16="http://schemas.microsoft.com/office/drawing/2014/main" id="{9905A6BF-1752-4B91-8471-C4111EC0AD9A}"/>
              </a:ext>
            </a:extLst>
          </xdr:cNvPr>
          <xdr:cNvGraphicFramePr>
            <a:graphicFrameLocks/>
          </xdr:cNvGraphicFramePr>
        </xdr:nvGraphicFramePr>
        <xdr:xfrm>
          <a:off x="2962246" y="996315"/>
          <a:ext cx="1150620" cy="435293"/>
        </xdr:xfrm>
        <a:graphic>
          <a:graphicData uri="http://schemas.openxmlformats.org/drawingml/2006/chart">
            <c:chart xmlns:c="http://schemas.openxmlformats.org/drawingml/2006/chart" xmlns:r="http://schemas.openxmlformats.org/officeDocument/2006/relationships" r:id="rId5"/>
          </a:graphicData>
        </a:graphic>
      </xdr:graphicFrame>
      <xdr:sp macro="" textlink="Calculations!E24">
        <xdr:nvSpPr>
          <xdr:cNvPr id="25" name="TextBox 24">
            <a:extLst>
              <a:ext uri="{FF2B5EF4-FFF2-40B4-BE49-F238E27FC236}">
                <a16:creationId xmlns:a16="http://schemas.microsoft.com/office/drawing/2014/main" id="{1F74B3DF-1E7B-07E7-2463-1815E5C73664}"/>
              </a:ext>
            </a:extLst>
          </xdr:cNvPr>
          <xdr:cNvSpPr txBox="1"/>
        </xdr:nvSpPr>
        <xdr:spPr>
          <a:xfrm>
            <a:off x="3206512" y="1077285"/>
            <a:ext cx="723641" cy="32131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586B801C-89FE-4EAE-9DC0-1106BAFFCD3F}" type="TxLink">
              <a:rPr lang="en-US" sz="1200" b="0" i="0" u="none" strike="noStrike">
                <a:solidFill>
                  <a:srgbClr val="000000"/>
                </a:solidFill>
                <a:latin typeface="Calibri"/>
                <a:ea typeface="Calibri"/>
                <a:cs typeface="Calibri"/>
              </a:rPr>
              <a:pPr algn="ctr"/>
              <a:t>100%</a:t>
            </a:fld>
            <a:endParaRPr lang="en-ZA" sz="1200" b="1"/>
          </a:p>
        </xdr:txBody>
      </xdr:sp>
    </xdr:grpSp>
    <xdr:clientData/>
  </xdr:twoCellAnchor>
  <xdr:twoCellAnchor>
    <xdr:from>
      <xdr:col>28</xdr:col>
      <xdr:colOff>666915</xdr:colOff>
      <xdr:row>3</xdr:row>
      <xdr:rowOff>169545</xdr:rowOff>
    </xdr:from>
    <xdr:to>
      <xdr:col>32</xdr:col>
      <xdr:colOff>739177</xdr:colOff>
      <xdr:row>8</xdr:row>
      <xdr:rowOff>170989</xdr:rowOff>
    </xdr:to>
    <xdr:grpSp>
      <xdr:nvGrpSpPr>
        <xdr:cNvPr id="2049" name="Group 2048">
          <a:extLst>
            <a:ext uri="{FF2B5EF4-FFF2-40B4-BE49-F238E27FC236}">
              <a16:creationId xmlns:a16="http://schemas.microsoft.com/office/drawing/2014/main" id="{73D13FB1-9029-1050-8D98-1D7F8D7CC2F9}"/>
            </a:ext>
          </a:extLst>
        </xdr:cNvPr>
        <xdr:cNvGrpSpPr/>
      </xdr:nvGrpSpPr>
      <xdr:grpSpPr>
        <a:xfrm>
          <a:off x="4614075" y="718185"/>
          <a:ext cx="2952622" cy="915844"/>
          <a:chOff x="4615980" y="716280"/>
          <a:chExt cx="2965957" cy="906319"/>
        </a:xfrm>
      </xdr:grpSpPr>
      <xdr:sp macro="" textlink="">
        <xdr:nvSpPr>
          <xdr:cNvPr id="29" name="Rectangle: Rounded Corners 28">
            <a:extLst>
              <a:ext uri="{FF2B5EF4-FFF2-40B4-BE49-F238E27FC236}">
                <a16:creationId xmlns:a16="http://schemas.microsoft.com/office/drawing/2014/main" id="{9D6BCABE-EB91-47DE-A0D7-F2E991A29948}"/>
              </a:ext>
            </a:extLst>
          </xdr:cNvPr>
          <xdr:cNvSpPr/>
        </xdr:nvSpPr>
        <xdr:spPr>
          <a:xfrm>
            <a:off x="4654814" y="716280"/>
            <a:ext cx="2927123" cy="906319"/>
          </a:xfrm>
          <a:prstGeom prst="roundRect">
            <a:avLst>
              <a:gd name="adj" fmla="val 4598"/>
            </a:avLst>
          </a:prstGeom>
          <a:solidFill>
            <a:schemeClr val="bg1"/>
          </a:solidFill>
          <a:ln w="6350">
            <a:solidFill>
              <a:schemeClr val="bg1">
                <a:lumMod val="50000"/>
              </a:schemeClr>
            </a:solidFill>
          </a:ln>
          <a:effectLst>
            <a:outerShdw blurRad="825500" dist="127000" dir="5400000" sx="95000" sy="95000" algn="ctr" rotWithShape="0">
              <a:prstClr val="black">
                <a:alpha val="15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ZA" sz="1100"/>
              <a:t>95</a:t>
            </a:r>
          </a:p>
        </xdr:txBody>
      </xdr:sp>
      <xdr:sp macro="" textlink="">
        <xdr:nvSpPr>
          <xdr:cNvPr id="30" name="TextBox 29">
            <a:extLst>
              <a:ext uri="{FF2B5EF4-FFF2-40B4-BE49-F238E27FC236}">
                <a16:creationId xmlns:a16="http://schemas.microsoft.com/office/drawing/2014/main" id="{341FB473-5C18-2825-56B4-286113D7A10A}"/>
              </a:ext>
            </a:extLst>
          </xdr:cNvPr>
          <xdr:cNvSpPr txBox="1"/>
        </xdr:nvSpPr>
        <xdr:spPr>
          <a:xfrm>
            <a:off x="4615980" y="781765"/>
            <a:ext cx="1849590" cy="3617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ZA" sz="1100" b="1"/>
              <a:t>Period </a:t>
            </a:r>
            <a:r>
              <a:rPr lang="en-ZA" sz="1100" b="1" baseline="0"/>
              <a:t>Tracking Balance</a:t>
            </a:r>
            <a:endParaRPr lang="en-ZA" sz="1100" b="1"/>
          </a:p>
        </xdr:txBody>
      </xdr:sp>
      <xdr:sp macro="" textlink="Calculations!E25">
        <xdr:nvSpPr>
          <xdr:cNvPr id="31" name="TextBox 30">
            <a:extLst>
              <a:ext uri="{FF2B5EF4-FFF2-40B4-BE49-F238E27FC236}">
                <a16:creationId xmlns:a16="http://schemas.microsoft.com/office/drawing/2014/main" id="{45A7ABFA-9A01-F2B1-3067-A7D1C054ACA8}"/>
              </a:ext>
            </a:extLst>
          </xdr:cNvPr>
          <xdr:cNvSpPr txBox="1"/>
        </xdr:nvSpPr>
        <xdr:spPr>
          <a:xfrm>
            <a:off x="4619625" y="1069743"/>
            <a:ext cx="689047" cy="3617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7965A894-A8CA-4432-8455-6EF81709DA33}" type="TxLink">
              <a:rPr lang="en-US" sz="1200" b="1" i="0" u="none" strike="noStrike">
                <a:solidFill>
                  <a:srgbClr val="000000"/>
                </a:solidFill>
                <a:latin typeface="Calibri"/>
                <a:ea typeface="Calibri"/>
                <a:cs typeface="Calibri"/>
              </a:rPr>
              <a:t> 2,480 </a:t>
            </a:fld>
            <a:endParaRPr lang="en-ZA" sz="1800" b="1"/>
          </a:p>
        </xdr:txBody>
      </xdr:sp>
      <xdr:sp macro="" textlink="Calculations!E26">
        <xdr:nvSpPr>
          <xdr:cNvPr id="2048" name="TextBox 2047">
            <a:extLst>
              <a:ext uri="{FF2B5EF4-FFF2-40B4-BE49-F238E27FC236}">
                <a16:creationId xmlns:a16="http://schemas.microsoft.com/office/drawing/2014/main" id="{82978349-AB81-A9CC-1780-56F618427920}"/>
              </a:ext>
            </a:extLst>
          </xdr:cNvPr>
          <xdr:cNvSpPr txBox="1"/>
        </xdr:nvSpPr>
        <xdr:spPr>
          <a:xfrm>
            <a:off x="5211278" y="1098795"/>
            <a:ext cx="2366812" cy="28035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6AF2DEAB-4C49-4CA0-8550-7EC2727E66BD}" type="TxLink">
              <a:rPr lang="en-US" sz="1100" b="0" i="0" u="none" strike="noStrike">
                <a:solidFill>
                  <a:srgbClr val="000000"/>
                </a:solidFill>
                <a:latin typeface="Calibri"/>
                <a:ea typeface="Calibri"/>
                <a:cs typeface="Calibri"/>
              </a:rPr>
              <a:t>of tracked income left to be allocated</a:t>
            </a:fld>
            <a:endParaRPr lang="en-ZA" sz="1050" b="1"/>
          </a:p>
        </xdr:txBody>
      </xdr:sp>
    </xdr:grpSp>
    <xdr:clientData/>
  </xdr:twoCellAnchor>
  <xdr:twoCellAnchor>
    <xdr:from>
      <xdr:col>33</xdr:col>
      <xdr:colOff>0</xdr:colOff>
      <xdr:row>3</xdr:row>
      <xdr:rowOff>169545</xdr:rowOff>
    </xdr:from>
    <xdr:to>
      <xdr:col>38</xdr:col>
      <xdr:colOff>712342</xdr:colOff>
      <xdr:row>8</xdr:row>
      <xdr:rowOff>170989</xdr:rowOff>
    </xdr:to>
    <xdr:grpSp>
      <xdr:nvGrpSpPr>
        <xdr:cNvPr id="2056" name="Group 2055">
          <a:extLst>
            <a:ext uri="{FF2B5EF4-FFF2-40B4-BE49-F238E27FC236}">
              <a16:creationId xmlns:a16="http://schemas.microsoft.com/office/drawing/2014/main" id="{02A7AC59-2981-452D-51E7-F15991F3219C}"/>
            </a:ext>
          </a:extLst>
        </xdr:cNvPr>
        <xdr:cNvGrpSpPr/>
      </xdr:nvGrpSpPr>
      <xdr:grpSpPr>
        <a:xfrm>
          <a:off x="8061960" y="718185"/>
          <a:ext cx="2952622" cy="915844"/>
          <a:chOff x="8077200" y="712470"/>
          <a:chExt cx="2960242" cy="906319"/>
        </a:xfrm>
      </xdr:grpSpPr>
      <xdr:sp macro="" textlink="">
        <xdr:nvSpPr>
          <xdr:cNvPr id="2051" name="Rectangle: Rounded Corners 2050">
            <a:extLst>
              <a:ext uri="{FF2B5EF4-FFF2-40B4-BE49-F238E27FC236}">
                <a16:creationId xmlns:a16="http://schemas.microsoft.com/office/drawing/2014/main" id="{A02006C7-3005-D78B-B16D-1462A2EC72F5}"/>
              </a:ext>
            </a:extLst>
          </xdr:cNvPr>
          <xdr:cNvSpPr/>
        </xdr:nvSpPr>
        <xdr:spPr>
          <a:xfrm>
            <a:off x="8115984" y="712470"/>
            <a:ext cx="2921458" cy="906319"/>
          </a:xfrm>
          <a:prstGeom prst="roundRect">
            <a:avLst>
              <a:gd name="adj" fmla="val 4598"/>
            </a:avLst>
          </a:prstGeom>
          <a:solidFill>
            <a:schemeClr val="bg1"/>
          </a:solidFill>
          <a:ln w="6350">
            <a:solidFill>
              <a:schemeClr val="bg1">
                <a:lumMod val="50000"/>
              </a:schemeClr>
            </a:solidFill>
          </a:ln>
          <a:effectLst>
            <a:outerShdw blurRad="825500" dist="127000" dir="5400000" sx="95000" sy="95000" algn="ctr" rotWithShape="0">
              <a:prstClr val="black">
                <a:alpha val="15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ZA" sz="1100"/>
              <a:t>95</a:t>
            </a:r>
          </a:p>
        </xdr:txBody>
      </xdr:sp>
      <xdr:sp macro="" textlink="">
        <xdr:nvSpPr>
          <xdr:cNvPr id="2052" name="TextBox 2051">
            <a:extLst>
              <a:ext uri="{FF2B5EF4-FFF2-40B4-BE49-F238E27FC236}">
                <a16:creationId xmlns:a16="http://schemas.microsoft.com/office/drawing/2014/main" id="{FCF9CA51-A488-722E-2F1A-3D51BF4D6CCD}"/>
              </a:ext>
            </a:extLst>
          </xdr:cNvPr>
          <xdr:cNvSpPr txBox="1"/>
        </xdr:nvSpPr>
        <xdr:spPr>
          <a:xfrm>
            <a:off x="8077200" y="777955"/>
            <a:ext cx="1847214" cy="3617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ZA" sz="1100" b="1"/>
              <a:t>Period </a:t>
            </a:r>
            <a:r>
              <a:rPr lang="en-ZA" sz="1100" b="1" baseline="0"/>
              <a:t>Savings Rate</a:t>
            </a:r>
            <a:endParaRPr lang="en-ZA" sz="1100" b="1"/>
          </a:p>
        </xdr:txBody>
      </xdr:sp>
      <xdr:sp macro="" textlink="Calculations!E27">
        <xdr:nvSpPr>
          <xdr:cNvPr id="2053" name="TextBox 2052">
            <a:extLst>
              <a:ext uri="{FF2B5EF4-FFF2-40B4-BE49-F238E27FC236}">
                <a16:creationId xmlns:a16="http://schemas.microsoft.com/office/drawing/2014/main" id="{B91F5BCD-7CA9-59A6-5598-4F3A8F30C244}"/>
              </a:ext>
            </a:extLst>
          </xdr:cNvPr>
          <xdr:cNvSpPr txBox="1"/>
        </xdr:nvSpPr>
        <xdr:spPr>
          <a:xfrm>
            <a:off x="9042866" y="1088793"/>
            <a:ext cx="594530" cy="3617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729A2D31-6CC8-485D-A78C-3B67E62CB924}" type="TxLink">
              <a:rPr lang="en-US" sz="1100" b="1" i="0" u="none" strike="noStrike">
                <a:solidFill>
                  <a:schemeClr val="accent1">
                    <a:lumMod val="75000"/>
                  </a:schemeClr>
                </a:solidFill>
                <a:latin typeface="Calibri"/>
                <a:ea typeface="Calibri"/>
                <a:cs typeface="Calibri"/>
              </a:rPr>
              <a:t>22.7%</a:t>
            </a:fld>
            <a:endParaRPr lang="en-ZA" sz="1800" b="1">
              <a:solidFill>
                <a:schemeClr val="accent1">
                  <a:lumMod val="75000"/>
                </a:schemeClr>
              </a:solidFill>
            </a:endParaRPr>
          </a:p>
        </xdr:txBody>
      </xdr:sp>
      <xdr:sp macro="" textlink="Calculations!E26">
        <xdr:nvSpPr>
          <xdr:cNvPr id="2054" name="TextBox 2053">
            <a:extLst>
              <a:ext uri="{FF2B5EF4-FFF2-40B4-BE49-F238E27FC236}">
                <a16:creationId xmlns:a16="http://schemas.microsoft.com/office/drawing/2014/main" id="{E4BF72E7-0AC2-0452-50C0-E8F0D4178407}"/>
              </a:ext>
            </a:extLst>
          </xdr:cNvPr>
          <xdr:cNvSpPr txBox="1"/>
        </xdr:nvSpPr>
        <xdr:spPr>
          <a:xfrm>
            <a:off x="8134523" y="1095894"/>
            <a:ext cx="942802" cy="2594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ZA" sz="1000" b="0"/>
              <a:t>You</a:t>
            </a:r>
            <a:r>
              <a:rPr lang="en-ZA" sz="1000" b="0" baseline="0"/>
              <a:t> are saving</a:t>
            </a:r>
            <a:endParaRPr lang="en-ZA" sz="1000" b="0"/>
          </a:p>
        </xdr:txBody>
      </xdr:sp>
      <xdr:sp macro="" textlink="Calculations!E26">
        <xdr:nvSpPr>
          <xdr:cNvPr id="2055" name="TextBox 2054">
            <a:extLst>
              <a:ext uri="{FF2B5EF4-FFF2-40B4-BE49-F238E27FC236}">
                <a16:creationId xmlns:a16="http://schemas.microsoft.com/office/drawing/2014/main" id="{12D4769D-9D93-476A-9C6C-65ABE8D87749}"/>
              </a:ext>
            </a:extLst>
          </xdr:cNvPr>
          <xdr:cNvSpPr txBox="1"/>
        </xdr:nvSpPr>
        <xdr:spPr>
          <a:xfrm>
            <a:off x="9613314" y="1104900"/>
            <a:ext cx="1032337" cy="2536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ZA" sz="1000" b="0"/>
              <a:t>of</a:t>
            </a:r>
            <a:r>
              <a:rPr lang="en-ZA" sz="1000" b="0" baseline="0"/>
              <a:t> your income</a:t>
            </a:r>
            <a:endParaRPr lang="en-ZA" sz="1000" b="0"/>
          </a:p>
        </xdr:txBody>
      </xdr:sp>
    </xdr:grpSp>
    <xdr:clientData/>
  </xdr:twoCellAnchor>
</xdr:wsDr>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D2EBAE2-A38D-461D-BC6D-950FC4771BDD}" name="Income" displayName="Income" ref="C9:C12" totalsRowShown="0" headerRowDxfId="77" dataDxfId="76">
  <autoFilter ref="C9:C12" xr:uid="{BD2EBAE2-A38D-461D-BC6D-950FC4771BDD}">
    <filterColumn colId="0" hiddenButton="1"/>
  </autoFilter>
  <tableColumns count="1">
    <tableColumn id="1" xr3:uid="{429D2302-F80B-4188-8BA9-3A8536B81ADD}" name="Income" dataDxfId="75"/>
  </tableColumns>
  <tableStyleInfo name="Income Table Style"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1C7D225-1BC9-4658-B499-F0B039463C76}" name="Expenses" displayName="Expenses" ref="C22:C31" totalsRowShown="0" headerRowDxfId="74" dataDxfId="73">
  <autoFilter ref="C22:C31" xr:uid="{F1C7D225-1BC9-4658-B499-F0B039463C76}">
    <filterColumn colId="0" hiddenButton="1"/>
  </autoFilter>
  <tableColumns count="1">
    <tableColumn id="1" xr3:uid="{760565D6-A422-4834-9A9E-7D410992DC30}" name="Expenses" dataDxfId="72"/>
  </tableColumns>
  <tableStyleInfo name="Expenses Table Style"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CABAD1E-5016-4B88-B5B8-7BCDBE89C03E}" name="Savings" displayName="Savings" ref="C39:C44" totalsRowShown="0" headerRowDxfId="71" dataDxfId="70">
  <autoFilter ref="C39:C44" xr:uid="{DCABAD1E-5016-4B88-B5B8-7BCDBE89C03E}">
    <filterColumn colId="0" hiddenButton="1"/>
  </autoFilter>
  <tableColumns count="1">
    <tableColumn id="1" xr3:uid="{D67FFA7D-78D4-4BBF-8C0D-1457CC76DBF6}" name="Savings" dataDxfId="69"/>
  </tableColumns>
  <tableStyleInfo name="Savings Table Style"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BF6C385-8BB6-4857-B132-4142D0C9388A}" name="Tracking" displayName="Tracking" ref="C11:I70" totalsRowShown="0" dataDxfId="68">
  <autoFilter ref="C11:I70" xr:uid="{3BF6C385-8BB6-4857-B132-4142D0C9388A}"/>
  <sortState xmlns:xlrd2="http://schemas.microsoft.com/office/spreadsheetml/2017/richdata2" ref="C12:I60">
    <sortCondition ref="C11:C60"/>
  </sortState>
  <tableColumns count="7">
    <tableColumn id="1" xr3:uid="{51BD75BB-14D4-47FC-919C-475297C4462D}" name="Date" dataDxfId="67"/>
    <tableColumn id="2" xr3:uid="{4E60DA68-E367-4E99-8F1A-A1DA8512136B}" name="Type" dataDxfId="66"/>
    <tableColumn id="3" xr3:uid="{FE4D39E5-CBA6-429D-A589-CE4119F64CEF}" name="Category" dataDxfId="65"/>
    <tableColumn id="4" xr3:uid="{D06D9E16-7E98-4516-B3CF-56455A2DCDD5}" name="Amount" dataDxfId="64"/>
    <tableColumn id="5" xr3:uid="{67E466F9-28F4-4A79-A262-33EF9242E41F}" name="Details" dataDxfId="63"/>
    <tableColumn id="6" xr3:uid="{C7D85E94-3B99-49D9-9025-9A6B0837F8D1}" name="Balance" dataDxfId="62">
      <calculatedColumnFormula array="1">SUMPRODUCT(Tracking[Amount], --(Tracking[Date]&lt;=Tracking[[#This Row],[Date]]),(Tracking[Type]&lt;&gt;"Income") * (-1) + (Tracking[Type]="Income"))</calculatedColumnFormula>
    </tableColumn>
    <tableColumn id="7" xr3:uid="{C64B5607-6853-487B-9012-6E6AFBDC20AB}" name="Effective Date" dataDxfId="61">
      <calculatedColumnFormula array="1">IF(AND(Tracking[[#This Row],[Type]]="Income", shift_late_income_status="Active", DAY(Tracking[[#This Row],[Date]])&gt;=shift_late_income_starting_day), DATE(YEAR(Tracking[[#This Row],[Date]]), MONTH(Tracking[[#This Row],[Date]])+1, 1), Tracking[[#This Row],[Date]])</calculatedColumnFormula>
    </tableColumn>
  </tableColumns>
  <tableStyleInfo name="Tracking Table Style"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ctrlProp" Target="../ctrlProps/ctrlProp1.xml"/><Relationship Id="rId2" Type="http://schemas.openxmlformats.org/officeDocument/2006/relationships/vmlDrawing" Target="../drawings/vmlDrawing1.vml"/><Relationship Id="rId1" Type="http://schemas.openxmlformats.org/officeDocument/2006/relationships/drawing" Target="../drawings/drawing2.xml"/><Relationship Id="rId6" Type="http://schemas.openxmlformats.org/officeDocument/2006/relationships/ctrlProp" Target="../ctrlProps/ctrlProp4.xml"/><Relationship Id="rId5" Type="http://schemas.openxmlformats.org/officeDocument/2006/relationships/ctrlProp" Target="../ctrlProps/ctrlProp3.xml"/><Relationship Id="rId4" Type="http://schemas.openxmlformats.org/officeDocument/2006/relationships/ctrlProp" Target="../ctrlProps/ctrlProp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EM50"/>
  <sheetViews>
    <sheetView showGridLines="0" workbookViewId="0">
      <selection sqref="A1:XFD2"/>
    </sheetView>
  </sheetViews>
  <sheetFormatPr defaultRowHeight="14.4" outlineLevelCol="1" x14ac:dyDescent="0.3"/>
  <cols>
    <col min="1" max="1" width="5.5546875" customWidth="1"/>
    <col min="2" max="2" width="3.33203125" customWidth="1"/>
    <col min="3" max="3" width="30.77734375" customWidth="1"/>
    <col min="4" max="4" width="2.109375" customWidth="1"/>
    <col min="5" max="16" width="10.5546875" customWidth="1" outlineLevel="1"/>
    <col min="17" max="17" width="10.5546875" bestFit="1" customWidth="1"/>
    <col min="18" max="18" width="2" customWidth="1"/>
    <col min="19" max="30" width="10.5546875" hidden="1" customWidth="1" outlineLevel="1"/>
    <col min="31" max="31" width="10.5546875" bestFit="1" customWidth="1" collapsed="1"/>
    <col min="32" max="32" width="2" customWidth="1"/>
    <col min="33" max="44" width="10.5546875" hidden="1" customWidth="1" outlineLevel="1"/>
    <col min="45" max="45" width="10.5546875" bestFit="1" customWidth="1" collapsed="1"/>
    <col min="46" max="46" width="2" customWidth="1"/>
    <col min="47" max="58" width="10.5546875" hidden="1" customWidth="1" outlineLevel="1"/>
    <col min="59" max="59" width="10.5546875" bestFit="1" customWidth="1" collapsed="1"/>
    <col min="60" max="60" width="2" customWidth="1"/>
    <col min="61" max="72" width="10.5546875" hidden="1" customWidth="1" outlineLevel="1"/>
    <col min="73" max="73" width="10.5546875" bestFit="1" customWidth="1" collapsed="1"/>
    <col min="74" max="74" width="2" customWidth="1"/>
    <col min="75" max="86" width="10.5546875" hidden="1" customWidth="1" outlineLevel="1"/>
    <col min="87" max="87" width="10.5546875" bestFit="1" customWidth="1" collapsed="1"/>
    <col min="88" max="88" width="2" customWidth="1"/>
    <col min="89" max="100" width="10.5546875" hidden="1" customWidth="1" outlineLevel="1"/>
    <col min="101" max="101" width="10.5546875" bestFit="1" customWidth="1" collapsed="1"/>
    <col min="102" max="102" width="2" customWidth="1"/>
    <col min="103" max="114" width="10.5546875" hidden="1" customWidth="1" outlineLevel="1"/>
    <col min="115" max="115" width="10.5546875" bestFit="1" customWidth="1" collapsed="1"/>
    <col min="116" max="116" width="2" customWidth="1"/>
    <col min="117" max="128" width="10.5546875" hidden="1" customWidth="1" outlineLevel="1"/>
    <col min="129" max="129" width="10.5546875" bestFit="1" customWidth="1" collapsed="1"/>
    <col min="130" max="130" width="2" customWidth="1"/>
    <col min="131" max="142" width="10.5546875" hidden="1" customWidth="1" outlineLevel="1"/>
    <col min="143" max="143" width="10.5546875" bestFit="1" customWidth="1" collapsed="1"/>
    <col min="144" max="144" width="2" customWidth="1"/>
  </cols>
  <sheetData>
    <row r="1" spans="1:143" s="115" customFormat="1" ht="14.4" customHeight="1" x14ac:dyDescent="0.3">
      <c r="A1" s="115" t="s">
        <v>0</v>
      </c>
    </row>
    <row r="2" spans="1:143" s="115" customFormat="1" ht="14.4" customHeight="1" x14ac:dyDescent="0.3"/>
    <row r="5" spans="1:143" x14ac:dyDescent="0.3">
      <c r="C5" s="7" t="s">
        <v>4</v>
      </c>
      <c r="E5" s="70">
        <f>starting_year</f>
        <v>2022</v>
      </c>
      <c r="F5" s="70"/>
      <c r="G5" s="70"/>
      <c r="H5" s="70"/>
      <c r="I5" s="70"/>
      <c r="J5" s="70"/>
      <c r="K5" s="70"/>
      <c r="L5" s="70"/>
      <c r="M5" s="70"/>
      <c r="N5" s="70"/>
      <c r="O5" s="70"/>
      <c r="P5" s="70"/>
      <c r="Q5" s="70"/>
      <c r="S5" s="70">
        <f>E5+1</f>
        <v>2023</v>
      </c>
      <c r="T5" s="70"/>
      <c r="U5" s="70"/>
      <c r="V5" s="70"/>
      <c r="W5" s="70"/>
      <c r="X5" s="70"/>
      <c r="Y5" s="70"/>
      <c r="Z5" s="70"/>
      <c r="AA5" s="70"/>
      <c r="AB5" s="70"/>
      <c r="AC5" s="70"/>
      <c r="AD5" s="70"/>
      <c r="AE5" s="70"/>
      <c r="AG5" s="70">
        <f>S5+1</f>
        <v>2024</v>
      </c>
      <c r="AH5" s="70"/>
      <c r="AI5" s="70"/>
      <c r="AJ5" s="70"/>
      <c r="AK5" s="70"/>
      <c r="AL5" s="70"/>
      <c r="AM5" s="70"/>
      <c r="AN5" s="70"/>
      <c r="AO5" s="70"/>
      <c r="AP5" s="70"/>
      <c r="AQ5" s="70"/>
      <c r="AR5" s="70"/>
      <c r="AS5" s="70"/>
      <c r="AU5" s="70">
        <f>AG5+1</f>
        <v>2025</v>
      </c>
      <c r="AV5" s="70"/>
      <c r="AW5" s="70"/>
      <c r="AX5" s="70"/>
      <c r="AY5" s="70"/>
      <c r="AZ5" s="70"/>
      <c r="BA5" s="70"/>
      <c r="BB5" s="70"/>
      <c r="BC5" s="70"/>
      <c r="BD5" s="70"/>
      <c r="BE5" s="70"/>
      <c r="BF5" s="70"/>
      <c r="BG5" s="70"/>
      <c r="BI5" s="70">
        <f>AU5+1</f>
        <v>2026</v>
      </c>
      <c r="BJ5" s="70"/>
      <c r="BK5" s="70"/>
      <c r="BL5" s="70"/>
      <c r="BM5" s="70"/>
      <c r="BN5" s="70"/>
      <c r="BO5" s="70"/>
      <c r="BP5" s="70"/>
      <c r="BQ5" s="70"/>
      <c r="BR5" s="70"/>
      <c r="BS5" s="70"/>
      <c r="BT5" s="70"/>
      <c r="BU5" s="70"/>
      <c r="BW5" s="70">
        <f>BI5+1</f>
        <v>2027</v>
      </c>
      <c r="BX5" s="70"/>
      <c r="BY5" s="70"/>
      <c r="BZ5" s="70"/>
      <c r="CA5" s="70"/>
      <c r="CB5" s="70"/>
      <c r="CC5" s="70"/>
      <c r="CD5" s="70"/>
      <c r="CE5" s="70"/>
      <c r="CF5" s="70"/>
      <c r="CG5" s="70"/>
      <c r="CH5" s="70"/>
      <c r="CI5" s="70"/>
      <c r="CK5" s="70">
        <f>BW5+1</f>
        <v>2028</v>
      </c>
      <c r="CL5" s="70"/>
      <c r="CM5" s="70"/>
      <c r="CN5" s="70"/>
      <c r="CO5" s="70"/>
      <c r="CP5" s="70"/>
      <c r="CQ5" s="70"/>
      <c r="CR5" s="70"/>
      <c r="CS5" s="70"/>
      <c r="CT5" s="70"/>
      <c r="CU5" s="70"/>
      <c r="CV5" s="70"/>
      <c r="CW5" s="70"/>
      <c r="CY5" s="70">
        <f>CK5+1</f>
        <v>2029</v>
      </c>
      <c r="CZ5" s="70"/>
      <c r="DA5" s="70"/>
      <c r="DB5" s="70"/>
      <c r="DC5" s="70"/>
      <c r="DD5" s="70"/>
      <c r="DE5" s="70"/>
      <c r="DF5" s="70"/>
      <c r="DG5" s="70"/>
      <c r="DH5" s="70"/>
      <c r="DI5" s="70"/>
      <c r="DJ5" s="70"/>
      <c r="DK5" s="70"/>
      <c r="DM5" s="70">
        <f>CY5+1</f>
        <v>2030</v>
      </c>
      <c r="DN5" s="70"/>
      <c r="DO5" s="70"/>
      <c r="DP5" s="70"/>
      <c r="DQ5" s="70"/>
      <c r="DR5" s="70"/>
      <c r="DS5" s="70"/>
      <c r="DT5" s="70"/>
      <c r="DU5" s="70"/>
      <c r="DV5" s="70"/>
      <c r="DW5" s="70"/>
      <c r="DX5" s="70"/>
      <c r="DY5" s="70"/>
      <c r="EA5" s="70">
        <f>DM5+1</f>
        <v>2031</v>
      </c>
      <c r="EB5" s="70"/>
      <c r="EC5" s="70"/>
      <c r="ED5" s="70"/>
      <c r="EE5" s="70"/>
      <c r="EF5" s="70"/>
      <c r="EG5" s="70"/>
      <c r="EH5" s="70"/>
      <c r="EI5" s="70"/>
      <c r="EJ5" s="70"/>
      <c r="EK5" s="70"/>
      <c r="EL5" s="70"/>
      <c r="EM5" s="70"/>
    </row>
    <row r="6" spans="1:143" x14ac:dyDescent="0.3">
      <c r="C6" s="24"/>
      <c r="E6" s="27" t="str">
        <f ca="1">IF(E7=0, "Jan✔", "Jan")</f>
        <v>Jan✔</v>
      </c>
      <c r="F6" s="27" t="str">
        <f ca="1">IF(F7=0, "Feb✔", "Feb")</f>
        <v>Feb✔</v>
      </c>
      <c r="G6" s="27" t="str">
        <f ca="1">IF(G7=0, "Mar✔", "Mar")</f>
        <v>Mar✔</v>
      </c>
      <c r="H6" s="27" t="str">
        <f ca="1">IF(H7=0, "Apr✔", "Apr")</f>
        <v>Apr✔</v>
      </c>
      <c r="I6" s="27" t="str">
        <f ca="1">IF(I7=0, "May✔", "May")</f>
        <v>May✔</v>
      </c>
      <c r="J6" s="27" t="str">
        <f ca="1">IF(J7=0, "Jun✔", "Jun")</f>
        <v>Jun✔</v>
      </c>
      <c r="K6" s="27" t="str">
        <f ca="1">IF(K7=0, "Jul✔", "Jul")</f>
        <v>Jul✔</v>
      </c>
      <c r="L6" s="27" t="str">
        <f ca="1">IF(L7=0, "Aug✔", "Aug")</f>
        <v>Aug✔</v>
      </c>
      <c r="M6" s="27" t="str">
        <f ca="1">IF(M7=0, "Sep✔", "Sep")</f>
        <v>Sep✔</v>
      </c>
      <c r="N6" s="27" t="str">
        <f ca="1">IF(N7=0, "Oct✔", "Oct")</f>
        <v>Oct✔</v>
      </c>
      <c r="O6" s="27" t="str">
        <f ca="1">IF(O7=0, "Nov✔", "Nov")</f>
        <v>Nov✔</v>
      </c>
      <c r="P6" s="27" t="str">
        <f ca="1">IF(P7=0, "Dec✔", "Dec")</f>
        <v>Dec✔</v>
      </c>
      <c r="Q6" s="27" t="str">
        <f ca="1">IF(Q7=0,"Total✔","Total")</f>
        <v>Total✔</v>
      </c>
      <c r="S6" s="27" t="str">
        <f ca="1">IF(S7=0, "Jan✔", "Jan")</f>
        <v>Jan✔</v>
      </c>
      <c r="T6" s="27" t="str">
        <f ca="1">IF(T7=0, "Feb✔", "Feb")</f>
        <v>Feb✔</v>
      </c>
      <c r="U6" s="27" t="str">
        <f ca="1">IF(U7=0, "Mar✔", "Mar")</f>
        <v>Mar✔</v>
      </c>
      <c r="V6" s="27" t="str">
        <f ca="1">IF(V7=0, "Apr✔", "Apr")</f>
        <v>Apr✔</v>
      </c>
      <c r="W6" s="27" t="str">
        <f ca="1">IF(W7=0, "May✔", "May")</f>
        <v>May✔</v>
      </c>
      <c r="X6" s="27" t="str">
        <f ca="1">IF(X7=0, "Jun✔", "Jun")</f>
        <v>Jun✔</v>
      </c>
      <c r="Y6" s="27" t="str">
        <f ca="1">IF(Y7=0, "Jul✔", "Jul")</f>
        <v>Jul✔</v>
      </c>
      <c r="Z6" s="27" t="str">
        <f ca="1">IF(Z7=0, "Aug✔", "Aug")</f>
        <v>Aug✔</v>
      </c>
      <c r="AA6" s="27" t="str">
        <f ca="1">IF(AA7=0, "Sep✔", "Sep")</f>
        <v>Sep✔</v>
      </c>
      <c r="AB6" s="27" t="str">
        <f ca="1">IF(AB7=0, "Oct✔", "Oct")</f>
        <v>Oct✔</v>
      </c>
      <c r="AC6" s="27" t="str">
        <f ca="1">IF(AC7=0, "Nov✔", "Nov")</f>
        <v>Nov✔</v>
      </c>
      <c r="AD6" s="27" t="str">
        <f ca="1">IF(AD7=0, "Dec✔", "Dec")</f>
        <v>Dec✔</v>
      </c>
      <c r="AE6" s="27" t="str">
        <f ca="1">IF(AE7=0,"Total✔","Total")</f>
        <v>Total✔</v>
      </c>
      <c r="AG6" s="27" t="str">
        <f ca="1">IF(AG7=0, "Jan✔", "Jan")</f>
        <v>Jan✔</v>
      </c>
      <c r="AH6" s="27" t="str">
        <f ca="1">IF(AH7=0, "Feb✔", "Feb")</f>
        <v>Feb✔</v>
      </c>
      <c r="AI6" s="27" t="str">
        <f ca="1">IF(AI7=0, "Mar✔", "Mar")</f>
        <v>Mar✔</v>
      </c>
      <c r="AJ6" s="27" t="str">
        <f ca="1">IF(AJ7=0, "Apr✔", "Apr")</f>
        <v>Apr✔</v>
      </c>
      <c r="AK6" s="27" t="str">
        <f ca="1">IF(AK7=0, "May✔", "May")</f>
        <v>May✔</v>
      </c>
      <c r="AL6" s="27" t="str">
        <f ca="1">IF(AL7=0, "Jun✔", "Jun")</f>
        <v>Jun✔</v>
      </c>
      <c r="AM6" s="27" t="str">
        <f ca="1">IF(AM7=0, "Jul✔", "Jul")</f>
        <v>Jul✔</v>
      </c>
      <c r="AN6" s="27" t="str">
        <f ca="1">IF(AN7=0, "Aug✔", "Aug")</f>
        <v>Aug✔</v>
      </c>
      <c r="AO6" s="27" t="str">
        <f ca="1">IF(AO7=0, "Sep✔", "Sep")</f>
        <v>Sep✔</v>
      </c>
      <c r="AP6" s="27" t="str">
        <f ca="1">IF(AP7=0, "Oct✔", "Oct")</f>
        <v>Oct✔</v>
      </c>
      <c r="AQ6" s="27" t="str">
        <f ca="1">IF(AQ7=0, "Nov✔", "Nov")</f>
        <v>Nov✔</v>
      </c>
      <c r="AR6" s="27" t="str">
        <f ca="1">IF(AR7=0, "Dec✔", "Dec")</f>
        <v>Dec✔</v>
      </c>
      <c r="AS6" s="27" t="str">
        <f ca="1">IF(AS7=0,"Total✔","Total")</f>
        <v>Total✔</v>
      </c>
      <c r="AU6" s="27" t="str">
        <f ca="1">IF(AU7=0, "Jan✔", "Jan")</f>
        <v>Jan✔</v>
      </c>
      <c r="AV6" s="27" t="str">
        <f ca="1">IF(AV7=0, "Feb✔", "Feb")</f>
        <v>Feb✔</v>
      </c>
      <c r="AW6" s="27" t="str">
        <f ca="1">IF(AW7=0, "Mar✔", "Mar")</f>
        <v>Mar✔</v>
      </c>
      <c r="AX6" s="27" t="str">
        <f ca="1">IF(AX7=0, "Apr✔", "Apr")</f>
        <v>Apr✔</v>
      </c>
      <c r="AY6" s="27" t="str">
        <f ca="1">IF(AY7=0, "May✔", "May")</f>
        <v>May✔</v>
      </c>
      <c r="AZ6" s="27" t="str">
        <f ca="1">IF(AZ7=0, "Jun✔", "Jun")</f>
        <v>Jun✔</v>
      </c>
      <c r="BA6" s="27" t="str">
        <f ca="1">IF(BA7=0, "Jul✔", "Jul")</f>
        <v>Jul✔</v>
      </c>
      <c r="BB6" s="27" t="str">
        <f ca="1">IF(BB7=0, "Aug✔", "Aug")</f>
        <v>Aug✔</v>
      </c>
      <c r="BC6" s="27" t="str">
        <f ca="1">IF(BC7=0, "Sep✔", "Sep")</f>
        <v>Sep✔</v>
      </c>
      <c r="BD6" s="27" t="str">
        <f ca="1">IF(BD7=0, "Oct✔", "Oct")</f>
        <v>Oct✔</v>
      </c>
      <c r="BE6" s="27" t="str">
        <f ca="1">IF(BE7=0, "Nov✔", "Nov")</f>
        <v>Nov✔</v>
      </c>
      <c r="BF6" s="27" t="str">
        <f ca="1">IF(BF7=0, "Dec✔", "Dec")</f>
        <v>Dec✔</v>
      </c>
      <c r="BG6" s="27" t="str">
        <f ca="1">IF(BG7=0,"Total✔","Total")</f>
        <v>Total✔</v>
      </c>
      <c r="BI6" s="27" t="str">
        <f ca="1">IF(BI7=0, "Jan✔", "Jan")</f>
        <v>Jan✔</v>
      </c>
      <c r="BJ6" s="27" t="str">
        <f ca="1">IF(BJ7=0, "Feb✔", "Feb")</f>
        <v>Feb✔</v>
      </c>
      <c r="BK6" s="27" t="str">
        <f ca="1">IF(BK7=0, "Mar✔", "Mar")</f>
        <v>Mar✔</v>
      </c>
      <c r="BL6" s="27" t="str">
        <f ca="1">IF(BL7=0, "Apr✔", "Apr")</f>
        <v>Apr✔</v>
      </c>
      <c r="BM6" s="27" t="str">
        <f ca="1">IF(BM7=0, "May✔", "May")</f>
        <v>May✔</v>
      </c>
      <c r="BN6" s="27" t="str">
        <f ca="1">IF(BN7=0, "Jun✔", "Jun")</f>
        <v>Jun✔</v>
      </c>
      <c r="BO6" s="27" t="str">
        <f ca="1">IF(BO7=0, "Jul✔", "Jul")</f>
        <v>Jul✔</v>
      </c>
      <c r="BP6" s="27" t="str">
        <f ca="1">IF(BP7=0, "Aug✔", "Aug")</f>
        <v>Aug✔</v>
      </c>
      <c r="BQ6" s="27" t="str">
        <f ca="1">IF(BQ7=0, "Sep✔", "Sep")</f>
        <v>Sep✔</v>
      </c>
      <c r="BR6" s="27" t="str">
        <f ca="1">IF(BR7=0, "Oct✔", "Oct")</f>
        <v>Oct✔</v>
      </c>
      <c r="BS6" s="27" t="str">
        <f ca="1">IF(BS7=0, "Nov✔", "Nov")</f>
        <v>Nov✔</v>
      </c>
      <c r="BT6" s="27" t="str">
        <f ca="1">IF(BT7=0, "Dec✔", "Dec")</f>
        <v>Dec✔</v>
      </c>
      <c r="BU6" s="27" t="str">
        <f ca="1">IF(BU7=0,"Total✔","Total")</f>
        <v>Total✔</v>
      </c>
      <c r="BW6" s="27" t="str">
        <f ca="1">IF(BW7=0, "Jan✔", "Jan")</f>
        <v>Jan✔</v>
      </c>
      <c r="BX6" s="27" t="str">
        <f ca="1">IF(BX7=0, "Feb✔", "Feb")</f>
        <v>Feb✔</v>
      </c>
      <c r="BY6" s="27" t="str">
        <f ca="1">IF(BY7=0, "Mar✔", "Mar")</f>
        <v>Mar✔</v>
      </c>
      <c r="BZ6" s="27" t="str">
        <f ca="1">IF(BZ7=0, "Apr✔", "Apr")</f>
        <v>Apr✔</v>
      </c>
      <c r="CA6" s="27" t="str">
        <f ca="1">IF(CA7=0, "May✔", "May")</f>
        <v>May✔</v>
      </c>
      <c r="CB6" s="27" t="str">
        <f ca="1">IF(CB7=0, "Jun✔", "Jun")</f>
        <v>Jun✔</v>
      </c>
      <c r="CC6" s="27" t="str">
        <f ca="1">IF(CC7=0, "Jul✔", "Jul")</f>
        <v>Jul✔</v>
      </c>
      <c r="CD6" s="27" t="str">
        <f ca="1">IF(CD7=0, "Aug✔", "Aug")</f>
        <v>Aug✔</v>
      </c>
      <c r="CE6" s="27" t="str">
        <f ca="1">IF(CE7=0, "Sep✔", "Sep")</f>
        <v>Sep✔</v>
      </c>
      <c r="CF6" s="27" t="str">
        <f ca="1">IF(CF7=0, "Oct✔", "Oct")</f>
        <v>Oct✔</v>
      </c>
      <c r="CG6" s="27" t="str">
        <f ca="1">IF(CG7=0, "Nov✔", "Nov")</f>
        <v>Nov✔</v>
      </c>
      <c r="CH6" s="27" t="str">
        <f ca="1">IF(CH7=0, "Dec✔", "Dec")</f>
        <v>Dec✔</v>
      </c>
      <c r="CI6" s="27" t="str">
        <f ca="1">IF(CI7=0,"Total✔","Total")</f>
        <v>Total✔</v>
      </c>
      <c r="CK6" s="27" t="str">
        <f ca="1">IF(CK7=0, "Jan✔", "Jan")</f>
        <v>Jan✔</v>
      </c>
      <c r="CL6" s="27" t="str">
        <f ca="1">IF(CL7=0, "Feb✔", "Feb")</f>
        <v>Feb✔</v>
      </c>
      <c r="CM6" s="27" t="str">
        <f ca="1">IF(CM7=0, "Mar✔", "Mar")</f>
        <v>Mar✔</v>
      </c>
      <c r="CN6" s="27" t="str">
        <f ca="1">IF(CN7=0, "Apr✔", "Apr")</f>
        <v>Apr✔</v>
      </c>
      <c r="CO6" s="27" t="str">
        <f ca="1">IF(CO7=0, "May✔", "May")</f>
        <v>May✔</v>
      </c>
      <c r="CP6" s="27" t="str">
        <f ca="1">IF(CP7=0, "Jun✔", "Jun")</f>
        <v>Jun✔</v>
      </c>
      <c r="CQ6" s="27" t="str">
        <f ca="1">IF(CQ7=0, "Jul✔", "Jul")</f>
        <v>Jul✔</v>
      </c>
      <c r="CR6" s="27" t="str">
        <f ca="1">IF(CR7=0, "Aug✔", "Aug")</f>
        <v>Aug✔</v>
      </c>
      <c r="CS6" s="27" t="str">
        <f ca="1">IF(CS7=0, "Sep✔", "Sep")</f>
        <v>Sep✔</v>
      </c>
      <c r="CT6" s="27" t="str">
        <f ca="1">IF(CT7=0, "Oct✔", "Oct")</f>
        <v>Oct✔</v>
      </c>
      <c r="CU6" s="27" t="str">
        <f ca="1">IF(CU7=0, "Nov✔", "Nov")</f>
        <v>Nov✔</v>
      </c>
      <c r="CV6" s="27" t="str">
        <f ca="1">IF(CV7=0, "Dec✔", "Dec")</f>
        <v>Dec✔</v>
      </c>
      <c r="CW6" s="27" t="str">
        <f ca="1">IF(CW7=0,"Total✔","Total")</f>
        <v>Total✔</v>
      </c>
      <c r="CY6" s="27" t="str">
        <f ca="1">IF(CY7=0, "Jan✔", "Jan")</f>
        <v>Jan✔</v>
      </c>
      <c r="CZ6" s="27" t="str">
        <f ca="1">IF(CZ7=0, "Feb✔", "Feb")</f>
        <v>Feb✔</v>
      </c>
      <c r="DA6" s="27" t="str">
        <f ca="1">IF(DA7=0, "Mar✔", "Mar")</f>
        <v>Mar✔</v>
      </c>
      <c r="DB6" s="27" t="str">
        <f ca="1">IF(DB7=0, "Apr✔", "Apr")</f>
        <v>Apr✔</v>
      </c>
      <c r="DC6" s="27" t="str">
        <f ca="1">IF(DC7=0, "May✔", "May")</f>
        <v>May✔</v>
      </c>
      <c r="DD6" s="27" t="str">
        <f ca="1">IF(DD7=0, "Jun✔", "Jun")</f>
        <v>Jun✔</v>
      </c>
      <c r="DE6" s="27" t="str">
        <f ca="1">IF(DE7=0, "Jul✔", "Jul")</f>
        <v>Jul✔</v>
      </c>
      <c r="DF6" s="27" t="str">
        <f ca="1">IF(DF7=0, "Aug✔", "Aug")</f>
        <v>Aug✔</v>
      </c>
      <c r="DG6" s="27" t="str">
        <f ca="1">IF(DG7=0, "Sep✔", "Sep")</f>
        <v>Sep✔</v>
      </c>
      <c r="DH6" s="27" t="str">
        <f ca="1">IF(DH7=0, "Oct✔", "Oct")</f>
        <v>Oct✔</v>
      </c>
      <c r="DI6" s="27" t="str">
        <f ca="1">IF(DI7=0, "Nov✔", "Nov")</f>
        <v>Nov✔</v>
      </c>
      <c r="DJ6" s="27" t="str">
        <f ca="1">IF(DJ7=0, "Dec✔", "Dec")</f>
        <v>Dec✔</v>
      </c>
      <c r="DK6" s="27" t="str">
        <f ca="1">IF(DK7=0,"Total✔","Total")</f>
        <v>Total✔</v>
      </c>
      <c r="DM6" s="27" t="str">
        <f ca="1">IF(DM7=0, "Jan✔", "Jan")</f>
        <v>Jan✔</v>
      </c>
      <c r="DN6" s="27" t="str">
        <f ca="1">IF(DN7=0, "Feb✔", "Feb")</f>
        <v>Feb✔</v>
      </c>
      <c r="DO6" s="27" t="str">
        <f ca="1">IF(DO7=0, "Mar✔", "Mar")</f>
        <v>Mar✔</v>
      </c>
      <c r="DP6" s="27" t="str">
        <f ca="1">IF(DP7=0, "Apr✔", "Apr")</f>
        <v>Apr✔</v>
      </c>
      <c r="DQ6" s="27" t="str">
        <f ca="1">IF(DQ7=0, "May✔", "May")</f>
        <v>May✔</v>
      </c>
      <c r="DR6" s="27" t="str">
        <f ca="1">IF(DR7=0, "Jun✔", "Jun")</f>
        <v>Jun✔</v>
      </c>
      <c r="DS6" s="27" t="str">
        <f ca="1">IF(DS7=0, "Jul✔", "Jul")</f>
        <v>Jul✔</v>
      </c>
      <c r="DT6" s="27" t="str">
        <f ca="1">IF(DT7=0, "Aug✔", "Aug")</f>
        <v>Aug✔</v>
      </c>
      <c r="DU6" s="27" t="str">
        <f ca="1">IF(DU7=0, "Sep✔", "Sep")</f>
        <v>Sep✔</v>
      </c>
      <c r="DV6" s="27" t="str">
        <f ca="1">IF(DV7=0, "Oct✔", "Oct")</f>
        <v>Oct✔</v>
      </c>
      <c r="DW6" s="27" t="str">
        <f ca="1">IF(DW7=0, "Nov✔", "Nov")</f>
        <v>Nov✔</v>
      </c>
      <c r="DX6" s="27" t="str">
        <f ca="1">IF(DX7=0, "Dec✔", "Dec")</f>
        <v>Dec✔</v>
      </c>
      <c r="DY6" s="27" t="str">
        <f ca="1">IF(DY7=0,"Total✔","Total")</f>
        <v>Total✔</v>
      </c>
      <c r="EA6" s="27" t="str">
        <f ca="1">IF(EA7=0, "Jan✔", "Jan")</f>
        <v>Jan✔</v>
      </c>
      <c r="EB6" s="27" t="str">
        <f ca="1">IF(EB7=0, "Feb✔", "Feb")</f>
        <v>Feb✔</v>
      </c>
      <c r="EC6" s="27" t="str">
        <f ca="1">IF(EC7=0, "Mar✔", "Mar")</f>
        <v>Mar✔</v>
      </c>
      <c r="ED6" s="27" t="str">
        <f ca="1">IF(ED7=0, "Apr✔", "Apr")</f>
        <v>Apr✔</v>
      </c>
      <c r="EE6" s="27" t="str">
        <f ca="1">IF(EE7=0, "May✔", "May")</f>
        <v>May✔</v>
      </c>
      <c r="EF6" s="27" t="str">
        <f ca="1">IF(EF7=0, "Jun✔", "Jun")</f>
        <v>Jun✔</v>
      </c>
      <c r="EG6" s="27" t="str">
        <f ca="1">IF(EG7=0, "Jul✔", "Jul")</f>
        <v>Jul✔</v>
      </c>
      <c r="EH6" s="27" t="str">
        <f ca="1">IF(EH7=0, "Aug✔", "Aug")</f>
        <v>Aug✔</v>
      </c>
      <c r="EI6" s="27" t="str">
        <f ca="1">IF(EI7=0, "Sep✔", "Sep")</f>
        <v>Sep✔</v>
      </c>
      <c r="EJ6" s="27" t="str">
        <f ca="1">IF(EJ7=0, "Oct✔", "Oct")</f>
        <v>Oct✔</v>
      </c>
      <c r="EK6" s="27" t="str">
        <f ca="1">IF(EK7=0, "Nov✔", "Nov")</f>
        <v>Nov✔</v>
      </c>
      <c r="EL6" s="27" t="str">
        <f ca="1">IF(EL7=0, "Dec✔", "Dec")</f>
        <v>Dec✔</v>
      </c>
      <c r="EM6" s="27" t="str">
        <f ca="1">IF(EM7=0,"Total✔","Total")</f>
        <v>Total✔</v>
      </c>
    </row>
    <row r="7" spans="1:143" x14ac:dyDescent="0.3">
      <c r="C7" s="23" t="s">
        <v>19</v>
      </c>
      <c r="E7" s="25">
        <f t="shared" ref="E7:Q7" ca="1" si="0">E16-(E33+E50)</f>
        <v>0</v>
      </c>
      <c r="F7" s="25">
        <f t="shared" ca="1" si="0"/>
        <v>0</v>
      </c>
      <c r="G7" s="25">
        <f t="shared" ca="1" si="0"/>
        <v>0</v>
      </c>
      <c r="H7" s="25">
        <f t="shared" ca="1" si="0"/>
        <v>0</v>
      </c>
      <c r="I7" s="25">
        <f t="shared" ca="1" si="0"/>
        <v>0</v>
      </c>
      <c r="J7" s="25">
        <f t="shared" ca="1" si="0"/>
        <v>0</v>
      </c>
      <c r="K7" s="25">
        <f t="shared" ca="1" si="0"/>
        <v>0</v>
      </c>
      <c r="L7" s="25">
        <f t="shared" ca="1" si="0"/>
        <v>0</v>
      </c>
      <c r="M7" s="25">
        <f t="shared" ca="1" si="0"/>
        <v>0</v>
      </c>
      <c r="N7" s="25">
        <f t="shared" ca="1" si="0"/>
        <v>0</v>
      </c>
      <c r="O7" s="25">
        <f t="shared" ca="1" si="0"/>
        <v>0</v>
      </c>
      <c r="P7" s="25">
        <f t="shared" ca="1" si="0"/>
        <v>0</v>
      </c>
      <c r="Q7" s="26">
        <f t="shared" ca="1" si="0"/>
        <v>0</v>
      </c>
      <c r="S7" s="25">
        <f t="shared" ref="S7:AE7" ca="1" si="1">S16-(S33+S50)</f>
        <v>0</v>
      </c>
      <c r="T7" s="25">
        <f t="shared" ca="1" si="1"/>
        <v>0</v>
      </c>
      <c r="U7" s="25">
        <f t="shared" ca="1" si="1"/>
        <v>0</v>
      </c>
      <c r="V7" s="25">
        <f t="shared" ca="1" si="1"/>
        <v>0</v>
      </c>
      <c r="W7" s="25">
        <f t="shared" ca="1" si="1"/>
        <v>0</v>
      </c>
      <c r="X7" s="25">
        <f t="shared" ca="1" si="1"/>
        <v>0</v>
      </c>
      <c r="Y7" s="25">
        <f t="shared" ca="1" si="1"/>
        <v>0</v>
      </c>
      <c r="Z7" s="25">
        <f t="shared" ca="1" si="1"/>
        <v>0</v>
      </c>
      <c r="AA7" s="25">
        <f t="shared" ca="1" si="1"/>
        <v>0</v>
      </c>
      <c r="AB7" s="25">
        <f t="shared" ca="1" si="1"/>
        <v>0</v>
      </c>
      <c r="AC7" s="25">
        <f t="shared" ca="1" si="1"/>
        <v>0</v>
      </c>
      <c r="AD7" s="25">
        <f t="shared" ca="1" si="1"/>
        <v>0</v>
      </c>
      <c r="AE7" s="26">
        <f t="shared" ca="1" si="1"/>
        <v>0</v>
      </c>
      <c r="AG7" s="25">
        <f t="shared" ref="AG7:AS7" ca="1" si="2">AG16-(AG33+AG50)</f>
        <v>0</v>
      </c>
      <c r="AH7" s="25">
        <f t="shared" ca="1" si="2"/>
        <v>0</v>
      </c>
      <c r="AI7" s="25">
        <f t="shared" ca="1" si="2"/>
        <v>0</v>
      </c>
      <c r="AJ7" s="25">
        <f t="shared" ca="1" si="2"/>
        <v>0</v>
      </c>
      <c r="AK7" s="25">
        <f t="shared" ca="1" si="2"/>
        <v>0</v>
      </c>
      <c r="AL7" s="25">
        <f t="shared" ca="1" si="2"/>
        <v>0</v>
      </c>
      <c r="AM7" s="25">
        <f t="shared" ca="1" si="2"/>
        <v>0</v>
      </c>
      <c r="AN7" s="25">
        <f t="shared" ca="1" si="2"/>
        <v>0</v>
      </c>
      <c r="AO7" s="25">
        <f t="shared" ca="1" si="2"/>
        <v>0</v>
      </c>
      <c r="AP7" s="25">
        <f t="shared" ca="1" si="2"/>
        <v>0</v>
      </c>
      <c r="AQ7" s="25">
        <f t="shared" ca="1" si="2"/>
        <v>0</v>
      </c>
      <c r="AR7" s="25">
        <f t="shared" ca="1" si="2"/>
        <v>0</v>
      </c>
      <c r="AS7" s="26">
        <f t="shared" ca="1" si="2"/>
        <v>0</v>
      </c>
      <c r="AU7" s="25">
        <f t="shared" ref="AU7:BG7" ca="1" si="3">AU16-(AU33+AU50)</f>
        <v>0</v>
      </c>
      <c r="AV7" s="25">
        <f t="shared" ca="1" si="3"/>
        <v>0</v>
      </c>
      <c r="AW7" s="25">
        <f t="shared" ca="1" si="3"/>
        <v>0</v>
      </c>
      <c r="AX7" s="25">
        <f t="shared" ca="1" si="3"/>
        <v>0</v>
      </c>
      <c r="AY7" s="25">
        <f t="shared" ca="1" si="3"/>
        <v>0</v>
      </c>
      <c r="AZ7" s="25">
        <f t="shared" ca="1" si="3"/>
        <v>0</v>
      </c>
      <c r="BA7" s="25">
        <f t="shared" ca="1" si="3"/>
        <v>0</v>
      </c>
      <c r="BB7" s="25">
        <f t="shared" ca="1" si="3"/>
        <v>0</v>
      </c>
      <c r="BC7" s="25">
        <f t="shared" ca="1" si="3"/>
        <v>0</v>
      </c>
      <c r="BD7" s="25">
        <f t="shared" ca="1" si="3"/>
        <v>0</v>
      </c>
      <c r="BE7" s="25">
        <f t="shared" ca="1" si="3"/>
        <v>0</v>
      </c>
      <c r="BF7" s="25">
        <f t="shared" ca="1" si="3"/>
        <v>0</v>
      </c>
      <c r="BG7" s="26">
        <f t="shared" ca="1" si="3"/>
        <v>0</v>
      </c>
      <c r="BI7" s="25">
        <f t="shared" ref="BI7:BU7" ca="1" si="4">BI16-(BI33+BI50)</f>
        <v>0</v>
      </c>
      <c r="BJ7" s="25">
        <f t="shared" ca="1" si="4"/>
        <v>0</v>
      </c>
      <c r="BK7" s="25">
        <f t="shared" ca="1" si="4"/>
        <v>0</v>
      </c>
      <c r="BL7" s="25">
        <f t="shared" ca="1" si="4"/>
        <v>0</v>
      </c>
      <c r="BM7" s="25">
        <f t="shared" ca="1" si="4"/>
        <v>0</v>
      </c>
      <c r="BN7" s="25">
        <f t="shared" ca="1" si="4"/>
        <v>0</v>
      </c>
      <c r="BO7" s="25">
        <f t="shared" ca="1" si="4"/>
        <v>0</v>
      </c>
      <c r="BP7" s="25">
        <f t="shared" ca="1" si="4"/>
        <v>0</v>
      </c>
      <c r="BQ7" s="25">
        <f t="shared" ca="1" si="4"/>
        <v>0</v>
      </c>
      <c r="BR7" s="25">
        <f t="shared" ca="1" si="4"/>
        <v>0</v>
      </c>
      <c r="BS7" s="25">
        <f t="shared" ca="1" si="4"/>
        <v>0</v>
      </c>
      <c r="BT7" s="25">
        <f t="shared" ca="1" si="4"/>
        <v>0</v>
      </c>
      <c r="BU7" s="26">
        <f t="shared" ca="1" si="4"/>
        <v>0</v>
      </c>
      <c r="BW7" s="25">
        <f t="shared" ref="BW7:CI7" ca="1" si="5">BW16-(BW33+BW50)</f>
        <v>0</v>
      </c>
      <c r="BX7" s="25">
        <f t="shared" ca="1" si="5"/>
        <v>0</v>
      </c>
      <c r="BY7" s="25">
        <f t="shared" ca="1" si="5"/>
        <v>0</v>
      </c>
      <c r="BZ7" s="25">
        <f t="shared" ca="1" si="5"/>
        <v>0</v>
      </c>
      <c r="CA7" s="25">
        <f t="shared" ca="1" si="5"/>
        <v>0</v>
      </c>
      <c r="CB7" s="25">
        <f t="shared" ca="1" si="5"/>
        <v>0</v>
      </c>
      <c r="CC7" s="25">
        <f t="shared" ca="1" si="5"/>
        <v>0</v>
      </c>
      <c r="CD7" s="25">
        <f t="shared" ca="1" si="5"/>
        <v>0</v>
      </c>
      <c r="CE7" s="25">
        <f t="shared" ca="1" si="5"/>
        <v>0</v>
      </c>
      <c r="CF7" s="25">
        <f t="shared" ca="1" si="5"/>
        <v>0</v>
      </c>
      <c r="CG7" s="25">
        <f t="shared" ca="1" si="5"/>
        <v>0</v>
      </c>
      <c r="CH7" s="25">
        <f t="shared" ca="1" si="5"/>
        <v>0</v>
      </c>
      <c r="CI7" s="26">
        <f t="shared" ca="1" si="5"/>
        <v>0</v>
      </c>
      <c r="CK7" s="25">
        <f t="shared" ref="CK7:CW7" ca="1" si="6">CK16-(CK33+CK50)</f>
        <v>0</v>
      </c>
      <c r="CL7" s="25">
        <f t="shared" ca="1" si="6"/>
        <v>0</v>
      </c>
      <c r="CM7" s="25">
        <f t="shared" ca="1" si="6"/>
        <v>0</v>
      </c>
      <c r="CN7" s="25">
        <f t="shared" ca="1" si="6"/>
        <v>0</v>
      </c>
      <c r="CO7" s="25">
        <f t="shared" ca="1" si="6"/>
        <v>0</v>
      </c>
      <c r="CP7" s="25">
        <f t="shared" ca="1" si="6"/>
        <v>0</v>
      </c>
      <c r="CQ7" s="25">
        <f t="shared" ca="1" si="6"/>
        <v>0</v>
      </c>
      <c r="CR7" s="25">
        <f t="shared" ca="1" si="6"/>
        <v>0</v>
      </c>
      <c r="CS7" s="25">
        <f t="shared" ca="1" si="6"/>
        <v>0</v>
      </c>
      <c r="CT7" s="25">
        <f t="shared" ca="1" si="6"/>
        <v>0</v>
      </c>
      <c r="CU7" s="25">
        <f t="shared" ca="1" si="6"/>
        <v>0</v>
      </c>
      <c r="CV7" s="25">
        <f t="shared" ca="1" si="6"/>
        <v>0</v>
      </c>
      <c r="CW7" s="26">
        <f t="shared" ca="1" si="6"/>
        <v>0</v>
      </c>
      <c r="CY7" s="25">
        <f t="shared" ref="CY7:DK7" ca="1" si="7">CY16-(CY33+CY50)</f>
        <v>0</v>
      </c>
      <c r="CZ7" s="25">
        <f t="shared" ca="1" si="7"/>
        <v>0</v>
      </c>
      <c r="DA7" s="25">
        <f t="shared" ca="1" si="7"/>
        <v>0</v>
      </c>
      <c r="DB7" s="25">
        <f t="shared" ca="1" si="7"/>
        <v>0</v>
      </c>
      <c r="DC7" s="25">
        <f t="shared" ca="1" si="7"/>
        <v>0</v>
      </c>
      <c r="DD7" s="25">
        <f t="shared" ca="1" si="7"/>
        <v>0</v>
      </c>
      <c r="DE7" s="25">
        <f t="shared" ca="1" si="7"/>
        <v>0</v>
      </c>
      <c r="DF7" s="25">
        <f t="shared" ca="1" si="7"/>
        <v>0</v>
      </c>
      <c r="DG7" s="25">
        <f t="shared" ca="1" si="7"/>
        <v>0</v>
      </c>
      <c r="DH7" s="25">
        <f t="shared" ca="1" si="7"/>
        <v>0</v>
      </c>
      <c r="DI7" s="25">
        <f t="shared" ca="1" si="7"/>
        <v>0</v>
      </c>
      <c r="DJ7" s="25">
        <f t="shared" ca="1" si="7"/>
        <v>0</v>
      </c>
      <c r="DK7" s="26">
        <f t="shared" ca="1" si="7"/>
        <v>0</v>
      </c>
      <c r="DM7" s="25">
        <f t="shared" ref="DM7:DY7" ca="1" si="8">DM16-(DM33+DM50)</f>
        <v>0</v>
      </c>
      <c r="DN7" s="25">
        <f t="shared" ca="1" si="8"/>
        <v>0</v>
      </c>
      <c r="DO7" s="25">
        <f t="shared" ca="1" si="8"/>
        <v>0</v>
      </c>
      <c r="DP7" s="25">
        <f t="shared" ca="1" si="8"/>
        <v>0</v>
      </c>
      <c r="DQ7" s="25">
        <f t="shared" ca="1" si="8"/>
        <v>0</v>
      </c>
      <c r="DR7" s="25">
        <f t="shared" ca="1" si="8"/>
        <v>0</v>
      </c>
      <c r="DS7" s="25">
        <f t="shared" ca="1" si="8"/>
        <v>0</v>
      </c>
      <c r="DT7" s="25">
        <f t="shared" ca="1" si="8"/>
        <v>0</v>
      </c>
      <c r="DU7" s="25">
        <f t="shared" ca="1" si="8"/>
        <v>0</v>
      </c>
      <c r="DV7" s="25">
        <f t="shared" ca="1" si="8"/>
        <v>0</v>
      </c>
      <c r="DW7" s="25">
        <f t="shared" ca="1" si="8"/>
        <v>0</v>
      </c>
      <c r="DX7" s="25">
        <f t="shared" ca="1" si="8"/>
        <v>0</v>
      </c>
      <c r="DY7" s="26">
        <f t="shared" ca="1" si="8"/>
        <v>0</v>
      </c>
      <c r="EA7" s="25">
        <f t="shared" ref="EA7:EM7" ca="1" si="9">EA16-(EA33+EA50)</f>
        <v>0</v>
      </c>
      <c r="EB7" s="25">
        <f t="shared" ca="1" si="9"/>
        <v>0</v>
      </c>
      <c r="EC7" s="25">
        <f t="shared" ca="1" si="9"/>
        <v>0</v>
      </c>
      <c r="ED7" s="25">
        <f t="shared" ca="1" si="9"/>
        <v>0</v>
      </c>
      <c r="EE7" s="25">
        <f t="shared" ca="1" si="9"/>
        <v>0</v>
      </c>
      <c r="EF7" s="25">
        <f t="shared" ca="1" si="9"/>
        <v>0</v>
      </c>
      <c r="EG7" s="25">
        <f t="shared" ca="1" si="9"/>
        <v>0</v>
      </c>
      <c r="EH7" s="25">
        <f t="shared" ca="1" si="9"/>
        <v>0</v>
      </c>
      <c r="EI7" s="25">
        <f t="shared" ca="1" si="9"/>
        <v>0</v>
      </c>
      <c r="EJ7" s="25">
        <f t="shared" ca="1" si="9"/>
        <v>0</v>
      </c>
      <c r="EK7" s="25">
        <f t="shared" ca="1" si="9"/>
        <v>0</v>
      </c>
      <c r="EL7" s="25">
        <f t="shared" ca="1" si="9"/>
        <v>0</v>
      </c>
      <c r="EM7" s="26">
        <f t="shared" ca="1" si="9"/>
        <v>0</v>
      </c>
    </row>
    <row r="9" spans="1:143" x14ac:dyDescent="0.3">
      <c r="C9" s="8" t="s">
        <v>5</v>
      </c>
      <c r="E9" s="11">
        <f>DATE($E$5,1,1)</f>
        <v>44562</v>
      </c>
      <c r="F9" s="11">
        <f>DATE($E$5,2,1)</f>
        <v>44593</v>
      </c>
      <c r="G9" s="11">
        <f>DATE($E$5,3,1)</f>
        <v>44621</v>
      </c>
      <c r="H9" s="11">
        <f>DATE($E$5,4,1)</f>
        <v>44652</v>
      </c>
      <c r="I9" s="11">
        <f>DATE($E$5,5,1)</f>
        <v>44682</v>
      </c>
      <c r="J9" s="11">
        <f>DATE($E$5,6,1)</f>
        <v>44713</v>
      </c>
      <c r="K9" s="11">
        <f>DATE($E$5,7,1)</f>
        <v>44743</v>
      </c>
      <c r="L9" s="11">
        <f>DATE($E$5,8,1)</f>
        <v>44774</v>
      </c>
      <c r="M9" s="11">
        <f>DATE($E$5,9,1)</f>
        <v>44805</v>
      </c>
      <c r="N9" s="11">
        <f>DATE($E$5,10,1)</f>
        <v>44835</v>
      </c>
      <c r="O9" s="11">
        <f>DATE($E$5,11,1)</f>
        <v>44866</v>
      </c>
      <c r="P9" s="11">
        <f>DATE($E$5,12,1)</f>
        <v>44896</v>
      </c>
      <c r="Q9" s="10">
        <f>E$5</f>
        <v>2022</v>
      </c>
      <c r="S9" s="11">
        <f>DATE($E$5,1,1)</f>
        <v>44562</v>
      </c>
      <c r="T9" s="11">
        <f>DATE($E$5,2,1)</f>
        <v>44593</v>
      </c>
      <c r="U9" s="11">
        <f>DATE($E$5,3,1)</f>
        <v>44621</v>
      </c>
      <c r="V9" s="11">
        <f>DATE($E$5,4,1)</f>
        <v>44652</v>
      </c>
      <c r="W9" s="11">
        <f>DATE($E$5,5,1)</f>
        <v>44682</v>
      </c>
      <c r="X9" s="11">
        <f>DATE($E$5,6,1)</f>
        <v>44713</v>
      </c>
      <c r="Y9" s="11">
        <f>DATE($E$5,7,1)</f>
        <v>44743</v>
      </c>
      <c r="Z9" s="11">
        <f>DATE($E$5,8,1)</f>
        <v>44774</v>
      </c>
      <c r="AA9" s="11">
        <f>DATE($E$5,9,1)</f>
        <v>44805</v>
      </c>
      <c r="AB9" s="11">
        <f>DATE($E$5,10,1)</f>
        <v>44835</v>
      </c>
      <c r="AC9" s="11">
        <f>DATE($E$5,11,1)</f>
        <v>44866</v>
      </c>
      <c r="AD9" s="11">
        <f>DATE($E$5,12,1)</f>
        <v>44896</v>
      </c>
      <c r="AE9" s="10">
        <f>S$5</f>
        <v>2023</v>
      </c>
      <c r="AG9" s="11">
        <f>DATE($E$5,1,1)</f>
        <v>44562</v>
      </c>
      <c r="AH9" s="11">
        <f>DATE($E$5,2,1)</f>
        <v>44593</v>
      </c>
      <c r="AI9" s="11">
        <f>DATE($E$5,3,1)</f>
        <v>44621</v>
      </c>
      <c r="AJ9" s="11">
        <f>DATE($E$5,4,1)</f>
        <v>44652</v>
      </c>
      <c r="AK9" s="11">
        <f>DATE($E$5,5,1)</f>
        <v>44682</v>
      </c>
      <c r="AL9" s="11">
        <f>DATE($E$5,6,1)</f>
        <v>44713</v>
      </c>
      <c r="AM9" s="11">
        <f>DATE($E$5,7,1)</f>
        <v>44743</v>
      </c>
      <c r="AN9" s="11">
        <f>DATE($E$5,8,1)</f>
        <v>44774</v>
      </c>
      <c r="AO9" s="11">
        <f>DATE($E$5,9,1)</f>
        <v>44805</v>
      </c>
      <c r="AP9" s="11">
        <f>DATE($E$5,10,1)</f>
        <v>44835</v>
      </c>
      <c r="AQ9" s="11">
        <f>DATE($E$5,11,1)</f>
        <v>44866</v>
      </c>
      <c r="AR9" s="11">
        <f>DATE($E$5,12,1)</f>
        <v>44896</v>
      </c>
      <c r="AS9" s="10">
        <f>AG$5</f>
        <v>2024</v>
      </c>
      <c r="AU9" s="11">
        <f>DATE($E$5,1,1)</f>
        <v>44562</v>
      </c>
      <c r="AV9" s="11">
        <f>DATE($E$5,2,1)</f>
        <v>44593</v>
      </c>
      <c r="AW9" s="11">
        <f>DATE($E$5,3,1)</f>
        <v>44621</v>
      </c>
      <c r="AX9" s="11">
        <f>DATE($E$5,4,1)</f>
        <v>44652</v>
      </c>
      <c r="AY9" s="11">
        <f>DATE($E$5,5,1)</f>
        <v>44682</v>
      </c>
      <c r="AZ9" s="11">
        <f>DATE($E$5,6,1)</f>
        <v>44713</v>
      </c>
      <c r="BA9" s="11">
        <f>DATE($E$5,7,1)</f>
        <v>44743</v>
      </c>
      <c r="BB9" s="11">
        <f>DATE($E$5,8,1)</f>
        <v>44774</v>
      </c>
      <c r="BC9" s="11">
        <f>DATE($E$5,9,1)</f>
        <v>44805</v>
      </c>
      <c r="BD9" s="11">
        <f>DATE($E$5,10,1)</f>
        <v>44835</v>
      </c>
      <c r="BE9" s="11">
        <f>DATE($E$5,11,1)</f>
        <v>44866</v>
      </c>
      <c r="BF9" s="11">
        <f>DATE($E$5,12,1)</f>
        <v>44896</v>
      </c>
      <c r="BG9" s="10">
        <f>AU$5</f>
        <v>2025</v>
      </c>
      <c r="BI9" s="11">
        <f>DATE($E$5,1,1)</f>
        <v>44562</v>
      </c>
      <c r="BJ9" s="11">
        <f>DATE($E$5,2,1)</f>
        <v>44593</v>
      </c>
      <c r="BK9" s="11">
        <f>DATE($E$5,3,1)</f>
        <v>44621</v>
      </c>
      <c r="BL9" s="11">
        <f>DATE($E$5,4,1)</f>
        <v>44652</v>
      </c>
      <c r="BM9" s="11">
        <f>DATE($E$5,5,1)</f>
        <v>44682</v>
      </c>
      <c r="BN9" s="11">
        <f>DATE($E$5,6,1)</f>
        <v>44713</v>
      </c>
      <c r="BO9" s="11">
        <f>DATE($E$5,7,1)</f>
        <v>44743</v>
      </c>
      <c r="BP9" s="11">
        <f>DATE($E$5,8,1)</f>
        <v>44774</v>
      </c>
      <c r="BQ9" s="11">
        <f>DATE($E$5,9,1)</f>
        <v>44805</v>
      </c>
      <c r="BR9" s="11">
        <f>DATE($E$5,10,1)</f>
        <v>44835</v>
      </c>
      <c r="BS9" s="11">
        <f>DATE($E$5,11,1)</f>
        <v>44866</v>
      </c>
      <c r="BT9" s="11">
        <f>DATE($E$5,12,1)</f>
        <v>44896</v>
      </c>
      <c r="BU9" s="10">
        <f>BI$5</f>
        <v>2026</v>
      </c>
      <c r="BW9" s="11">
        <f>DATE($E$5,1,1)</f>
        <v>44562</v>
      </c>
      <c r="BX9" s="11">
        <f>DATE($E$5,2,1)</f>
        <v>44593</v>
      </c>
      <c r="BY9" s="11">
        <f>DATE($E$5,3,1)</f>
        <v>44621</v>
      </c>
      <c r="BZ9" s="11">
        <f>DATE($E$5,4,1)</f>
        <v>44652</v>
      </c>
      <c r="CA9" s="11">
        <f>DATE($E$5,5,1)</f>
        <v>44682</v>
      </c>
      <c r="CB9" s="11">
        <f>DATE($E$5,6,1)</f>
        <v>44713</v>
      </c>
      <c r="CC9" s="11">
        <f>DATE($E$5,7,1)</f>
        <v>44743</v>
      </c>
      <c r="CD9" s="11">
        <f>DATE($E$5,8,1)</f>
        <v>44774</v>
      </c>
      <c r="CE9" s="11">
        <f>DATE($E$5,9,1)</f>
        <v>44805</v>
      </c>
      <c r="CF9" s="11">
        <f>DATE($E$5,10,1)</f>
        <v>44835</v>
      </c>
      <c r="CG9" s="11">
        <f>DATE($E$5,11,1)</f>
        <v>44866</v>
      </c>
      <c r="CH9" s="11">
        <f>DATE($E$5,12,1)</f>
        <v>44896</v>
      </c>
      <c r="CI9" s="10">
        <f>BW$5</f>
        <v>2027</v>
      </c>
      <c r="CK9" s="11">
        <f>DATE($E$5,1,1)</f>
        <v>44562</v>
      </c>
      <c r="CL9" s="11">
        <f>DATE($E$5,2,1)</f>
        <v>44593</v>
      </c>
      <c r="CM9" s="11">
        <f>DATE($E$5,3,1)</f>
        <v>44621</v>
      </c>
      <c r="CN9" s="11">
        <f>DATE($E$5,4,1)</f>
        <v>44652</v>
      </c>
      <c r="CO9" s="11">
        <f>DATE($E$5,5,1)</f>
        <v>44682</v>
      </c>
      <c r="CP9" s="11">
        <f>DATE($E$5,6,1)</f>
        <v>44713</v>
      </c>
      <c r="CQ9" s="11">
        <f>DATE($E$5,7,1)</f>
        <v>44743</v>
      </c>
      <c r="CR9" s="11">
        <f>DATE($E$5,8,1)</f>
        <v>44774</v>
      </c>
      <c r="CS9" s="11">
        <f>DATE($E$5,9,1)</f>
        <v>44805</v>
      </c>
      <c r="CT9" s="11">
        <f>DATE($E$5,10,1)</f>
        <v>44835</v>
      </c>
      <c r="CU9" s="11">
        <f>DATE($E$5,11,1)</f>
        <v>44866</v>
      </c>
      <c r="CV9" s="11">
        <f>DATE($E$5,12,1)</f>
        <v>44896</v>
      </c>
      <c r="CW9" s="10">
        <f>CK$5</f>
        <v>2028</v>
      </c>
      <c r="CY9" s="11">
        <f>DATE($E$5,1,1)</f>
        <v>44562</v>
      </c>
      <c r="CZ9" s="11">
        <f>DATE($E$5,2,1)</f>
        <v>44593</v>
      </c>
      <c r="DA9" s="11">
        <f>DATE($E$5,3,1)</f>
        <v>44621</v>
      </c>
      <c r="DB9" s="11">
        <f>DATE($E$5,4,1)</f>
        <v>44652</v>
      </c>
      <c r="DC9" s="11">
        <f>DATE($E$5,5,1)</f>
        <v>44682</v>
      </c>
      <c r="DD9" s="11">
        <f>DATE($E$5,6,1)</f>
        <v>44713</v>
      </c>
      <c r="DE9" s="11">
        <f>DATE($E$5,7,1)</f>
        <v>44743</v>
      </c>
      <c r="DF9" s="11">
        <f>DATE($E$5,8,1)</f>
        <v>44774</v>
      </c>
      <c r="DG9" s="11">
        <f>DATE($E$5,9,1)</f>
        <v>44805</v>
      </c>
      <c r="DH9" s="11">
        <f>DATE($E$5,10,1)</f>
        <v>44835</v>
      </c>
      <c r="DI9" s="11">
        <f>DATE($E$5,11,1)</f>
        <v>44866</v>
      </c>
      <c r="DJ9" s="11">
        <f>DATE($E$5,12,1)</f>
        <v>44896</v>
      </c>
      <c r="DK9" s="10">
        <f>CY$5</f>
        <v>2029</v>
      </c>
      <c r="DM9" s="11">
        <f>DATE($E$5,1,1)</f>
        <v>44562</v>
      </c>
      <c r="DN9" s="11">
        <f>DATE($E$5,2,1)</f>
        <v>44593</v>
      </c>
      <c r="DO9" s="11">
        <f>DATE($E$5,3,1)</f>
        <v>44621</v>
      </c>
      <c r="DP9" s="11">
        <f>DATE($E$5,4,1)</f>
        <v>44652</v>
      </c>
      <c r="DQ9" s="11">
        <f>DATE($E$5,5,1)</f>
        <v>44682</v>
      </c>
      <c r="DR9" s="11">
        <f>DATE($E$5,6,1)</f>
        <v>44713</v>
      </c>
      <c r="DS9" s="11">
        <f>DATE($E$5,7,1)</f>
        <v>44743</v>
      </c>
      <c r="DT9" s="11">
        <f>DATE($E$5,8,1)</f>
        <v>44774</v>
      </c>
      <c r="DU9" s="11">
        <f>DATE($E$5,9,1)</f>
        <v>44805</v>
      </c>
      <c r="DV9" s="11">
        <f>DATE($E$5,10,1)</f>
        <v>44835</v>
      </c>
      <c r="DW9" s="11">
        <f>DATE($E$5,11,1)</f>
        <v>44866</v>
      </c>
      <c r="DX9" s="11">
        <f>DATE($E$5,12,1)</f>
        <v>44896</v>
      </c>
      <c r="DY9" s="10">
        <f>DM$5</f>
        <v>2030</v>
      </c>
      <c r="EA9" s="11">
        <f>DATE($E$5,1,1)</f>
        <v>44562</v>
      </c>
      <c r="EB9" s="11">
        <f>DATE($E$5,2,1)</f>
        <v>44593</v>
      </c>
      <c r="EC9" s="11">
        <f>DATE($E$5,3,1)</f>
        <v>44621</v>
      </c>
      <c r="ED9" s="11">
        <f>DATE($E$5,4,1)</f>
        <v>44652</v>
      </c>
      <c r="EE9" s="11">
        <f>DATE($E$5,5,1)</f>
        <v>44682</v>
      </c>
      <c r="EF9" s="11">
        <f>DATE($E$5,6,1)</f>
        <v>44713</v>
      </c>
      <c r="EG9" s="11">
        <f>DATE($E$5,7,1)</f>
        <v>44743</v>
      </c>
      <c r="EH9" s="11">
        <f>DATE($E$5,8,1)</f>
        <v>44774</v>
      </c>
      <c r="EI9" s="11">
        <f>DATE($E$5,9,1)</f>
        <v>44805</v>
      </c>
      <c r="EJ9" s="11">
        <f>DATE($E$5,10,1)</f>
        <v>44835</v>
      </c>
      <c r="EK9" s="11">
        <f>DATE($E$5,11,1)</f>
        <v>44866</v>
      </c>
      <c r="EL9" s="11">
        <f>DATE($E$5,12,1)</f>
        <v>44896</v>
      </c>
      <c r="EM9" s="10">
        <f>EA$5</f>
        <v>2031</v>
      </c>
    </row>
    <row r="10" spans="1:143" x14ac:dyDescent="0.3">
      <c r="C10" s="12" t="s">
        <v>8</v>
      </c>
      <c r="E10" s="13">
        <v>3500</v>
      </c>
      <c r="F10" s="13">
        <v>3500</v>
      </c>
      <c r="G10" s="13">
        <v>3500</v>
      </c>
      <c r="H10" s="13">
        <v>4500</v>
      </c>
      <c r="I10" s="13">
        <v>4500</v>
      </c>
      <c r="J10" s="13">
        <v>4500</v>
      </c>
      <c r="K10" s="13">
        <v>4500</v>
      </c>
      <c r="L10" s="13">
        <v>4500</v>
      </c>
      <c r="M10" s="13">
        <v>4500</v>
      </c>
      <c r="N10" s="13">
        <v>4500</v>
      </c>
      <c r="O10" s="13">
        <v>4500</v>
      </c>
      <c r="P10" s="13">
        <v>4500</v>
      </c>
      <c r="Q10" s="14">
        <f>SUM(E10:P10)</f>
        <v>51000</v>
      </c>
      <c r="S10" s="13"/>
      <c r="T10" s="13"/>
      <c r="U10" s="13"/>
      <c r="V10" s="13"/>
      <c r="W10" s="13"/>
      <c r="X10" s="13"/>
      <c r="Y10" s="13"/>
      <c r="Z10" s="13"/>
      <c r="AA10" s="13"/>
      <c r="AB10" s="13"/>
      <c r="AC10" s="13"/>
      <c r="AD10" s="13"/>
      <c r="AE10" s="14">
        <f>SUM(S10:AD10)</f>
        <v>0</v>
      </c>
      <c r="AG10" s="13"/>
      <c r="AH10" s="13"/>
      <c r="AI10" s="13"/>
      <c r="AJ10" s="13"/>
      <c r="AK10" s="13"/>
      <c r="AL10" s="13"/>
      <c r="AM10" s="13"/>
      <c r="AN10" s="13"/>
      <c r="AO10" s="13"/>
      <c r="AP10" s="13"/>
      <c r="AQ10" s="13"/>
      <c r="AR10" s="13"/>
      <c r="AS10" s="14">
        <f>SUM(AG10:AR10)</f>
        <v>0</v>
      </c>
      <c r="AU10" s="13"/>
      <c r="AV10" s="13"/>
      <c r="AW10" s="13"/>
      <c r="AX10" s="13"/>
      <c r="AY10" s="13"/>
      <c r="AZ10" s="13"/>
      <c r="BA10" s="13"/>
      <c r="BB10" s="13"/>
      <c r="BC10" s="13"/>
      <c r="BD10" s="13"/>
      <c r="BE10" s="13"/>
      <c r="BF10" s="13"/>
      <c r="BG10" s="14">
        <f>SUM(AU10:BF10)</f>
        <v>0</v>
      </c>
      <c r="BI10" s="13"/>
      <c r="BJ10" s="13"/>
      <c r="BK10" s="13"/>
      <c r="BL10" s="13"/>
      <c r="BM10" s="13"/>
      <c r="BN10" s="13"/>
      <c r="BO10" s="13"/>
      <c r="BP10" s="13"/>
      <c r="BQ10" s="13"/>
      <c r="BR10" s="13"/>
      <c r="BS10" s="13"/>
      <c r="BT10" s="13"/>
      <c r="BU10" s="14">
        <f>SUM(BI10:BT10)</f>
        <v>0</v>
      </c>
      <c r="BW10" s="13"/>
      <c r="BX10" s="13"/>
      <c r="BY10" s="13"/>
      <c r="BZ10" s="13"/>
      <c r="CA10" s="13"/>
      <c r="CB10" s="13"/>
      <c r="CC10" s="13"/>
      <c r="CD10" s="13"/>
      <c r="CE10" s="13"/>
      <c r="CF10" s="13"/>
      <c r="CG10" s="13"/>
      <c r="CH10" s="13"/>
      <c r="CI10" s="14">
        <f>SUM(BW10:CH10)</f>
        <v>0</v>
      </c>
      <c r="CK10" s="13"/>
      <c r="CL10" s="13"/>
      <c r="CM10" s="13"/>
      <c r="CN10" s="13"/>
      <c r="CO10" s="13"/>
      <c r="CP10" s="13"/>
      <c r="CQ10" s="13"/>
      <c r="CR10" s="13"/>
      <c r="CS10" s="13"/>
      <c r="CT10" s="13"/>
      <c r="CU10" s="13"/>
      <c r="CV10" s="13"/>
      <c r="CW10" s="14">
        <f>SUM(CK10:CV10)</f>
        <v>0</v>
      </c>
      <c r="CY10" s="13"/>
      <c r="CZ10" s="13"/>
      <c r="DA10" s="13"/>
      <c r="DB10" s="13"/>
      <c r="DC10" s="13"/>
      <c r="DD10" s="13"/>
      <c r="DE10" s="13"/>
      <c r="DF10" s="13"/>
      <c r="DG10" s="13"/>
      <c r="DH10" s="13"/>
      <c r="DI10" s="13"/>
      <c r="DJ10" s="13"/>
      <c r="DK10" s="14">
        <f>SUM(CY10:DJ10)</f>
        <v>0</v>
      </c>
      <c r="DM10" s="13"/>
      <c r="DN10" s="13"/>
      <c r="DO10" s="13"/>
      <c r="DP10" s="13"/>
      <c r="DQ10" s="13"/>
      <c r="DR10" s="13"/>
      <c r="DS10" s="13"/>
      <c r="DT10" s="13"/>
      <c r="DU10" s="13"/>
      <c r="DV10" s="13"/>
      <c r="DW10" s="13"/>
      <c r="DX10" s="13"/>
      <c r="DY10" s="14">
        <f>SUM(DM10:DX10)</f>
        <v>0</v>
      </c>
      <c r="EA10" s="13"/>
      <c r="EB10" s="13"/>
      <c r="EC10" s="13"/>
      <c r="ED10" s="13"/>
      <c r="EE10" s="13"/>
      <c r="EF10" s="13"/>
      <c r="EG10" s="13"/>
      <c r="EH10" s="13"/>
      <c r="EI10" s="13"/>
      <c r="EJ10" s="13"/>
      <c r="EK10" s="13"/>
      <c r="EL10" s="13"/>
      <c r="EM10" s="14">
        <f>SUM(EA10:EL10)</f>
        <v>0</v>
      </c>
    </row>
    <row r="11" spans="1:143" x14ac:dyDescent="0.3">
      <c r="C11" s="12" t="s">
        <v>9</v>
      </c>
      <c r="E11" s="13">
        <v>1000</v>
      </c>
      <c r="F11" s="13">
        <v>1000</v>
      </c>
      <c r="G11" s="13">
        <v>1000</v>
      </c>
      <c r="H11" s="13">
        <v>1000</v>
      </c>
      <c r="I11" s="13">
        <v>1000</v>
      </c>
      <c r="J11" s="13">
        <v>1000</v>
      </c>
      <c r="K11" s="13">
        <v>1000</v>
      </c>
      <c r="L11" s="13">
        <v>1000</v>
      </c>
      <c r="M11" s="13">
        <v>1000</v>
      </c>
      <c r="N11" s="13">
        <v>1000</v>
      </c>
      <c r="O11" s="13">
        <v>1000</v>
      </c>
      <c r="P11" s="13">
        <v>1000</v>
      </c>
      <c r="Q11" s="14">
        <f t="shared" ref="Q11:Q15" si="10">SUM(E11:P11)</f>
        <v>12000</v>
      </c>
      <c r="S11" s="13"/>
      <c r="T11" s="13"/>
      <c r="U11" s="13"/>
      <c r="V11" s="13"/>
      <c r="W11" s="13"/>
      <c r="X11" s="13"/>
      <c r="Y11" s="13"/>
      <c r="Z11" s="13"/>
      <c r="AA11" s="13"/>
      <c r="AB11" s="13"/>
      <c r="AC11" s="13"/>
      <c r="AD11" s="13"/>
      <c r="AE11" s="14">
        <f t="shared" ref="AE11:AE15" si="11">SUM(S11:AD11)</f>
        <v>0</v>
      </c>
      <c r="AG11" s="13"/>
      <c r="AH11" s="13"/>
      <c r="AI11" s="13"/>
      <c r="AJ11" s="13"/>
      <c r="AK11" s="13"/>
      <c r="AL11" s="13"/>
      <c r="AM11" s="13"/>
      <c r="AN11" s="13"/>
      <c r="AO11" s="13"/>
      <c r="AP11" s="13"/>
      <c r="AQ11" s="13"/>
      <c r="AR11" s="13"/>
      <c r="AS11" s="14">
        <f t="shared" ref="AS11:AS15" si="12">SUM(AG11:AR11)</f>
        <v>0</v>
      </c>
      <c r="AU11" s="13"/>
      <c r="AV11" s="13"/>
      <c r="AW11" s="13"/>
      <c r="AX11" s="13"/>
      <c r="AY11" s="13"/>
      <c r="AZ11" s="13"/>
      <c r="BA11" s="13"/>
      <c r="BB11" s="13"/>
      <c r="BC11" s="13"/>
      <c r="BD11" s="13"/>
      <c r="BE11" s="13"/>
      <c r="BF11" s="13"/>
      <c r="BG11" s="14">
        <f t="shared" ref="BG11:BG15" si="13">SUM(AU11:BF11)</f>
        <v>0</v>
      </c>
      <c r="BI11" s="13"/>
      <c r="BJ11" s="13"/>
      <c r="BK11" s="13"/>
      <c r="BL11" s="13"/>
      <c r="BM11" s="13"/>
      <c r="BN11" s="13"/>
      <c r="BO11" s="13"/>
      <c r="BP11" s="13"/>
      <c r="BQ11" s="13"/>
      <c r="BR11" s="13"/>
      <c r="BS11" s="13"/>
      <c r="BT11" s="13"/>
      <c r="BU11" s="14">
        <f t="shared" ref="BU11:BU15" si="14">SUM(BI11:BT11)</f>
        <v>0</v>
      </c>
      <c r="BW11" s="13"/>
      <c r="BX11" s="13"/>
      <c r="BY11" s="13"/>
      <c r="BZ11" s="13"/>
      <c r="CA11" s="13"/>
      <c r="CB11" s="13"/>
      <c r="CC11" s="13"/>
      <c r="CD11" s="13"/>
      <c r="CE11" s="13"/>
      <c r="CF11" s="13"/>
      <c r="CG11" s="13"/>
      <c r="CH11" s="13"/>
      <c r="CI11" s="14">
        <f t="shared" ref="CI11:CI15" si="15">SUM(BW11:CH11)</f>
        <v>0</v>
      </c>
      <c r="CK11" s="13"/>
      <c r="CL11" s="13"/>
      <c r="CM11" s="13"/>
      <c r="CN11" s="13"/>
      <c r="CO11" s="13"/>
      <c r="CP11" s="13"/>
      <c r="CQ11" s="13"/>
      <c r="CR11" s="13"/>
      <c r="CS11" s="13"/>
      <c r="CT11" s="13"/>
      <c r="CU11" s="13"/>
      <c r="CV11" s="13"/>
      <c r="CW11" s="14">
        <f t="shared" ref="CW11:CW15" si="16">SUM(CK11:CV11)</f>
        <v>0</v>
      </c>
      <c r="CY11" s="13"/>
      <c r="CZ11" s="13"/>
      <c r="DA11" s="13"/>
      <c r="DB11" s="13"/>
      <c r="DC11" s="13"/>
      <c r="DD11" s="13"/>
      <c r="DE11" s="13"/>
      <c r="DF11" s="13"/>
      <c r="DG11" s="13"/>
      <c r="DH11" s="13"/>
      <c r="DI11" s="13"/>
      <c r="DJ11" s="13"/>
      <c r="DK11" s="14">
        <f t="shared" ref="DK11:DK15" si="17">SUM(CY11:DJ11)</f>
        <v>0</v>
      </c>
      <c r="DM11" s="13"/>
      <c r="DN11" s="13"/>
      <c r="DO11" s="13"/>
      <c r="DP11" s="13"/>
      <c r="DQ11" s="13"/>
      <c r="DR11" s="13"/>
      <c r="DS11" s="13"/>
      <c r="DT11" s="13"/>
      <c r="DU11" s="13"/>
      <c r="DV11" s="13"/>
      <c r="DW11" s="13"/>
      <c r="DX11" s="13"/>
      <c r="DY11" s="14">
        <f t="shared" ref="DY11:DY15" si="18">SUM(DM11:DX11)</f>
        <v>0</v>
      </c>
      <c r="EA11" s="13"/>
      <c r="EB11" s="13"/>
      <c r="EC11" s="13"/>
      <c r="ED11" s="13"/>
      <c r="EE11" s="13"/>
      <c r="EF11" s="13"/>
      <c r="EG11" s="13"/>
      <c r="EH11" s="13"/>
      <c r="EI11" s="13"/>
      <c r="EJ11" s="13"/>
      <c r="EK11" s="13"/>
      <c r="EL11" s="13"/>
      <c r="EM11" s="14">
        <f t="shared" ref="EM11:EM15" si="19">SUM(EA11:EL11)</f>
        <v>0</v>
      </c>
    </row>
    <row r="12" spans="1:143" x14ac:dyDescent="0.3">
      <c r="C12" s="12" t="s">
        <v>10</v>
      </c>
      <c r="E12" s="13">
        <v>150</v>
      </c>
      <c r="F12" s="13">
        <v>50</v>
      </c>
      <c r="G12" s="13">
        <v>100</v>
      </c>
      <c r="H12" s="13">
        <v>150</v>
      </c>
      <c r="I12" s="13">
        <v>50</v>
      </c>
      <c r="J12" s="13">
        <v>100</v>
      </c>
      <c r="K12" s="13">
        <v>150</v>
      </c>
      <c r="L12" s="13">
        <v>50</v>
      </c>
      <c r="M12" s="13">
        <v>100</v>
      </c>
      <c r="N12" s="13">
        <v>150</v>
      </c>
      <c r="O12" s="13">
        <v>50</v>
      </c>
      <c r="P12" s="13">
        <v>100</v>
      </c>
      <c r="Q12" s="14">
        <f t="shared" si="10"/>
        <v>1200</v>
      </c>
      <c r="S12" s="13"/>
      <c r="T12" s="13"/>
      <c r="U12" s="13"/>
      <c r="V12" s="13"/>
      <c r="W12" s="13"/>
      <c r="X12" s="13"/>
      <c r="Y12" s="13"/>
      <c r="Z12" s="13"/>
      <c r="AA12" s="13"/>
      <c r="AB12" s="13"/>
      <c r="AC12" s="13"/>
      <c r="AD12" s="13"/>
      <c r="AE12" s="14">
        <f t="shared" si="11"/>
        <v>0</v>
      </c>
      <c r="AG12" s="13"/>
      <c r="AH12" s="13"/>
      <c r="AI12" s="13"/>
      <c r="AJ12" s="13"/>
      <c r="AK12" s="13"/>
      <c r="AL12" s="13"/>
      <c r="AM12" s="13"/>
      <c r="AN12" s="13"/>
      <c r="AO12" s="13"/>
      <c r="AP12" s="13"/>
      <c r="AQ12" s="13"/>
      <c r="AR12" s="13"/>
      <c r="AS12" s="14">
        <f t="shared" si="12"/>
        <v>0</v>
      </c>
      <c r="AU12" s="13"/>
      <c r="AV12" s="13"/>
      <c r="AW12" s="13"/>
      <c r="AX12" s="13"/>
      <c r="AY12" s="13"/>
      <c r="AZ12" s="13"/>
      <c r="BA12" s="13"/>
      <c r="BB12" s="13"/>
      <c r="BC12" s="13"/>
      <c r="BD12" s="13"/>
      <c r="BE12" s="13"/>
      <c r="BF12" s="13"/>
      <c r="BG12" s="14">
        <f t="shared" si="13"/>
        <v>0</v>
      </c>
      <c r="BI12" s="13"/>
      <c r="BJ12" s="13"/>
      <c r="BK12" s="13"/>
      <c r="BL12" s="13"/>
      <c r="BM12" s="13"/>
      <c r="BN12" s="13"/>
      <c r="BO12" s="13"/>
      <c r="BP12" s="13"/>
      <c r="BQ12" s="13"/>
      <c r="BR12" s="13"/>
      <c r="BS12" s="13"/>
      <c r="BT12" s="13"/>
      <c r="BU12" s="14">
        <f t="shared" si="14"/>
        <v>0</v>
      </c>
      <c r="BW12" s="13"/>
      <c r="BX12" s="13"/>
      <c r="BY12" s="13"/>
      <c r="BZ12" s="13"/>
      <c r="CA12" s="13"/>
      <c r="CB12" s="13"/>
      <c r="CC12" s="13"/>
      <c r="CD12" s="13"/>
      <c r="CE12" s="13"/>
      <c r="CF12" s="13"/>
      <c r="CG12" s="13"/>
      <c r="CH12" s="13"/>
      <c r="CI12" s="14">
        <f t="shared" si="15"/>
        <v>0</v>
      </c>
      <c r="CK12" s="13"/>
      <c r="CL12" s="13"/>
      <c r="CM12" s="13"/>
      <c r="CN12" s="13"/>
      <c r="CO12" s="13"/>
      <c r="CP12" s="13"/>
      <c r="CQ12" s="13"/>
      <c r="CR12" s="13"/>
      <c r="CS12" s="13"/>
      <c r="CT12" s="13"/>
      <c r="CU12" s="13"/>
      <c r="CV12" s="13"/>
      <c r="CW12" s="14">
        <f t="shared" si="16"/>
        <v>0</v>
      </c>
      <c r="CY12" s="13"/>
      <c r="CZ12" s="13"/>
      <c r="DA12" s="13"/>
      <c r="DB12" s="13"/>
      <c r="DC12" s="13"/>
      <c r="DD12" s="13"/>
      <c r="DE12" s="13"/>
      <c r="DF12" s="13"/>
      <c r="DG12" s="13"/>
      <c r="DH12" s="13"/>
      <c r="DI12" s="13"/>
      <c r="DJ12" s="13"/>
      <c r="DK12" s="14">
        <f t="shared" si="17"/>
        <v>0</v>
      </c>
      <c r="DM12" s="13"/>
      <c r="DN12" s="13"/>
      <c r="DO12" s="13"/>
      <c r="DP12" s="13"/>
      <c r="DQ12" s="13"/>
      <c r="DR12" s="13"/>
      <c r="DS12" s="13"/>
      <c r="DT12" s="13"/>
      <c r="DU12" s="13"/>
      <c r="DV12" s="13"/>
      <c r="DW12" s="13"/>
      <c r="DX12" s="13"/>
      <c r="DY12" s="14">
        <f t="shared" si="18"/>
        <v>0</v>
      </c>
      <c r="EA12" s="13"/>
      <c r="EB12" s="13"/>
      <c r="EC12" s="13"/>
      <c r="ED12" s="13"/>
      <c r="EE12" s="13"/>
      <c r="EF12" s="13"/>
      <c r="EG12" s="13"/>
      <c r="EH12" s="13"/>
      <c r="EI12" s="13"/>
      <c r="EJ12" s="13"/>
      <c r="EK12" s="13"/>
      <c r="EL12" s="13"/>
      <c r="EM12" s="14">
        <f t="shared" si="19"/>
        <v>0</v>
      </c>
    </row>
    <row r="13" spans="1:143" hidden="1" x14ac:dyDescent="0.3">
      <c r="C13" s="12" t="s">
        <v>6</v>
      </c>
      <c r="E13" s="13"/>
      <c r="F13" s="13"/>
      <c r="G13" s="13"/>
      <c r="H13" s="13"/>
      <c r="I13" s="13"/>
      <c r="J13" s="13"/>
      <c r="K13" s="13"/>
      <c r="L13" s="13"/>
      <c r="M13" s="13"/>
      <c r="N13" s="13"/>
      <c r="O13" s="13"/>
      <c r="P13" s="13"/>
      <c r="Q13" s="14">
        <f t="shared" si="10"/>
        <v>0</v>
      </c>
      <c r="S13" s="13"/>
      <c r="T13" s="13"/>
      <c r="U13" s="13"/>
      <c r="V13" s="13"/>
      <c r="W13" s="13"/>
      <c r="X13" s="13"/>
      <c r="Y13" s="13"/>
      <c r="Z13" s="13"/>
      <c r="AA13" s="13"/>
      <c r="AB13" s="13"/>
      <c r="AC13" s="13"/>
      <c r="AD13" s="13"/>
      <c r="AE13" s="14">
        <f t="shared" si="11"/>
        <v>0</v>
      </c>
      <c r="AG13" s="13"/>
      <c r="AH13" s="13"/>
      <c r="AI13" s="13"/>
      <c r="AJ13" s="13"/>
      <c r="AK13" s="13"/>
      <c r="AL13" s="13"/>
      <c r="AM13" s="13"/>
      <c r="AN13" s="13"/>
      <c r="AO13" s="13"/>
      <c r="AP13" s="13"/>
      <c r="AQ13" s="13"/>
      <c r="AR13" s="13"/>
      <c r="AS13" s="14">
        <f t="shared" si="12"/>
        <v>0</v>
      </c>
      <c r="AU13" s="13"/>
      <c r="AV13" s="13"/>
      <c r="AW13" s="13"/>
      <c r="AX13" s="13"/>
      <c r="AY13" s="13"/>
      <c r="AZ13" s="13"/>
      <c r="BA13" s="13"/>
      <c r="BB13" s="13"/>
      <c r="BC13" s="13"/>
      <c r="BD13" s="13"/>
      <c r="BE13" s="13"/>
      <c r="BF13" s="13"/>
      <c r="BG13" s="14">
        <f t="shared" si="13"/>
        <v>0</v>
      </c>
      <c r="BI13" s="13"/>
      <c r="BJ13" s="13"/>
      <c r="BK13" s="13"/>
      <c r="BL13" s="13"/>
      <c r="BM13" s="13"/>
      <c r="BN13" s="13"/>
      <c r="BO13" s="13"/>
      <c r="BP13" s="13"/>
      <c r="BQ13" s="13"/>
      <c r="BR13" s="13"/>
      <c r="BS13" s="13"/>
      <c r="BT13" s="13"/>
      <c r="BU13" s="14">
        <f t="shared" si="14"/>
        <v>0</v>
      </c>
      <c r="BW13" s="13"/>
      <c r="BX13" s="13"/>
      <c r="BY13" s="13"/>
      <c r="BZ13" s="13"/>
      <c r="CA13" s="13"/>
      <c r="CB13" s="13"/>
      <c r="CC13" s="13"/>
      <c r="CD13" s="13"/>
      <c r="CE13" s="13"/>
      <c r="CF13" s="13"/>
      <c r="CG13" s="13"/>
      <c r="CH13" s="13"/>
      <c r="CI13" s="14">
        <f t="shared" si="15"/>
        <v>0</v>
      </c>
      <c r="CK13" s="13"/>
      <c r="CL13" s="13"/>
      <c r="CM13" s="13"/>
      <c r="CN13" s="13"/>
      <c r="CO13" s="13"/>
      <c r="CP13" s="13"/>
      <c r="CQ13" s="13"/>
      <c r="CR13" s="13"/>
      <c r="CS13" s="13"/>
      <c r="CT13" s="13"/>
      <c r="CU13" s="13"/>
      <c r="CV13" s="13"/>
      <c r="CW13" s="14">
        <f t="shared" si="16"/>
        <v>0</v>
      </c>
      <c r="CY13" s="13"/>
      <c r="CZ13" s="13"/>
      <c r="DA13" s="13"/>
      <c r="DB13" s="13"/>
      <c r="DC13" s="13"/>
      <c r="DD13" s="13"/>
      <c r="DE13" s="13"/>
      <c r="DF13" s="13"/>
      <c r="DG13" s="13"/>
      <c r="DH13" s="13"/>
      <c r="DI13" s="13"/>
      <c r="DJ13" s="13"/>
      <c r="DK13" s="14">
        <f t="shared" si="17"/>
        <v>0</v>
      </c>
      <c r="DM13" s="13"/>
      <c r="DN13" s="13"/>
      <c r="DO13" s="13"/>
      <c r="DP13" s="13"/>
      <c r="DQ13" s="13"/>
      <c r="DR13" s="13"/>
      <c r="DS13" s="13"/>
      <c r="DT13" s="13"/>
      <c r="DU13" s="13"/>
      <c r="DV13" s="13"/>
      <c r="DW13" s="13"/>
      <c r="DX13" s="13"/>
      <c r="DY13" s="14">
        <f t="shared" si="18"/>
        <v>0</v>
      </c>
      <c r="EA13" s="13"/>
      <c r="EB13" s="13"/>
      <c r="EC13" s="13"/>
      <c r="ED13" s="13"/>
      <c r="EE13" s="13"/>
      <c r="EF13" s="13"/>
      <c r="EG13" s="13"/>
      <c r="EH13" s="13"/>
      <c r="EI13" s="13"/>
      <c r="EJ13" s="13"/>
      <c r="EK13" s="13"/>
      <c r="EL13" s="13"/>
      <c r="EM13" s="14">
        <f t="shared" si="19"/>
        <v>0</v>
      </c>
    </row>
    <row r="14" spans="1:143" hidden="1" x14ac:dyDescent="0.3">
      <c r="C14" s="12" t="s">
        <v>6</v>
      </c>
      <c r="E14" s="13"/>
      <c r="F14" s="13"/>
      <c r="G14" s="13"/>
      <c r="H14" s="13"/>
      <c r="I14" s="13"/>
      <c r="J14" s="13"/>
      <c r="K14" s="13"/>
      <c r="L14" s="13"/>
      <c r="M14" s="13"/>
      <c r="N14" s="13"/>
      <c r="O14" s="13"/>
      <c r="P14" s="13"/>
      <c r="Q14" s="14">
        <f t="shared" si="10"/>
        <v>0</v>
      </c>
      <c r="S14" s="13"/>
      <c r="T14" s="13"/>
      <c r="U14" s="13"/>
      <c r="V14" s="13"/>
      <c r="W14" s="13"/>
      <c r="X14" s="13"/>
      <c r="Y14" s="13"/>
      <c r="Z14" s="13"/>
      <c r="AA14" s="13"/>
      <c r="AB14" s="13"/>
      <c r="AC14" s="13"/>
      <c r="AD14" s="13"/>
      <c r="AE14" s="14">
        <f t="shared" si="11"/>
        <v>0</v>
      </c>
      <c r="AG14" s="13"/>
      <c r="AH14" s="13"/>
      <c r="AI14" s="13"/>
      <c r="AJ14" s="13"/>
      <c r="AK14" s="13"/>
      <c r="AL14" s="13"/>
      <c r="AM14" s="13"/>
      <c r="AN14" s="13"/>
      <c r="AO14" s="13"/>
      <c r="AP14" s="13"/>
      <c r="AQ14" s="13"/>
      <c r="AR14" s="13"/>
      <c r="AS14" s="14">
        <f t="shared" si="12"/>
        <v>0</v>
      </c>
      <c r="AU14" s="13"/>
      <c r="AV14" s="13"/>
      <c r="AW14" s="13"/>
      <c r="AX14" s="13"/>
      <c r="AY14" s="13"/>
      <c r="AZ14" s="13"/>
      <c r="BA14" s="13"/>
      <c r="BB14" s="13"/>
      <c r="BC14" s="13"/>
      <c r="BD14" s="13"/>
      <c r="BE14" s="13"/>
      <c r="BF14" s="13"/>
      <c r="BG14" s="14">
        <f t="shared" si="13"/>
        <v>0</v>
      </c>
      <c r="BI14" s="13"/>
      <c r="BJ14" s="13"/>
      <c r="BK14" s="13"/>
      <c r="BL14" s="13"/>
      <c r="BM14" s="13"/>
      <c r="BN14" s="13"/>
      <c r="BO14" s="13"/>
      <c r="BP14" s="13"/>
      <c r="BQ14" s="13"/>
      <c r="BR14" s="13"/>
      <c r="BS14" s="13"/>
      <c r="BT14" s="13"/>
      <c r="BU14" s="14">
        <f t="shared" si="14"/>
        <v>0</v>
      </c>
      <c r="BW14" s="13"/>
      <c r="BX14" s="13"/>
      <c r="BY14" s="13"/>
      <c r="BZ14" s="13"/>
      <c r="CA14" s="13"/>
      <c r="CB14" s="13"/>
      <c r="CC14" s="13"/>
      <c r="CD14" s="13"/>
      <c r="CE14" s="13"/>
      <c r="CF14" s="13"/>
      <c r="CG14" s="13"/>
      <c r="CH14" s="13"/>
      <c r="CI14" s="14">
        <f t="shared" si="15"/>
        <v>0</v>
      </c>
      <c r="CK14" s="13"/>
      <c r="CL14" s="13"/>
      <c r="CM14" s="13"/>
      <c r="CN14" s="13"/>
      <c r="CO14" s="13"/>
      <c r="CP14" s="13"/>
      <c r="CQ14" s="13"/>
      <c r="CR14" s="13"/>
      <c r="CS14" s="13"/>
      <c r="CT14" s="13"/>
      <c r="CU14" s="13"/>
      <c r="CV14" s="13"/>
      <c r="CW14" s="14">
        <f t="shared" si="16"/>
        <v>0</v>
      </c>
      <c r="CY14" s="13"/>
      <c r="CZ14" s="13"/>
      <c r="DA14" s="13"/>
      <c r="DB14" s="13"/>
      <c r="DC14" s="13"/>
      <c r="DD14" s="13"/>
      <c r="DE14" s="13"/>
      <c r="DF14" s="13"/>
      <c r="DG14" s="13"/>
      <c r="DH14" s="13"/>
      <c r="DI14" s="13"/>
      <c r="DJ14" s="13"/>
      <c r="DK14" s="14">
        <f t="shared" si="17"/>
        <v>0</v>
      </c>
      <c r="DM14" s="13"/>
      <c r="DN14" s="13"/>
      <c r="DO14" s="13"/>
      <c r="DP14" s="13"/>
      <c r="DQ14" s="13"/>
      <c r="DR14" s="13"/>
      <c r="DS14" s="13"/>
      <c r="DT14" s="13"/>
      <c r="DU14" s="13"/>
      <c r="DV14" s="13"/>
      <c r="DW14" s="13"/>
      <c r="DX14" s="13"/>
      <c r="DY14" s="14">
        <f t="shared" si="18"/>
        <v>0</v>
      </c>
      <c r="EA14" s="13"/>
      <c r="EB14" s="13"/>
      <c r="EC14" s="13"/>
      <c r="ED14" s="13"/>
      <c r="EE14" s="13"/>
      <c r="EF14" s="13"/>
      <c r="EG14" s="13"/>
      <c r="EH14" s="13"/>
      <c r="EI14" s="13"/>
      <c r="EJ14" s="13"/>
      <c r="EK14" s="13"/>
      <c r="EL14" s="13"/>
      <c r="EM14" s="14">
        <f t="shared" si="19"/>
        <v>0</v>
      </c>
    </row>
    <row r="15" spans="1:143" hidden="1" x14ac:dyDescent="0.3">
      <c r="C15" s="12" t="s">
        <v>6</v>
      </c>
      <c r="E15" s="13"/>
      <c r="F15" s="13"/>
      <c r="G15" s="13"/>
      <c r="H15" s="13"/>
      <c r="I15" s="13"/>
      <c r="J15" s="13"/>
      <c r="K15" s="13"/>
      <c r="L15" s="13"/>
      <c r="M15" s="13"/>
      <c r="N15" s="13"/>
      <c r="O15" s="13"/>
      <c r="P15" s="13"/>
      <c r="Q15" s="14">
        <f t="shared" si="10"/>
        <v>0</v>
      </c>
      <c r="S15" s="13"/>
      <c r="T15" s="13"/>
      <c r="U15" s="13"/>
      <c r="V15" s="13"/>
      <c r="W15" s="13"/>
      <c r="X15" s="13"/>
      <c r="Y15" s="13"/>
      <c r="Z15" s="13"/>
      <c r="AA15" s="13"/>
      <c r="AB15" s="13"/>
      <c r="AC15" s="13"/>
      <c r="AD15" s="13"/>
      <c r="AE15" s="14">
        <f t="shared" si="11"/>
        <v>0</v>
      </c>
      <c r="AG15" s="13"/>
      <c r="AH15" s="13"/>
      <c r="AI15" s="13"/>
      <c r="AJ15" s="13"/>
      <c r="AK15" s="13"/>
      <c r="AL15" s="13"/>
      <c r="AM15" s="13"/>
      <c r="AN15" s="13"/>
      <c r="AO15" s="13"/>
      <c r="AP15" s="13"/>
      <c r="AQ15" s="13"/>
      <c r="AR15" s="13"/>
      <c r="AS15" s="14">
        <f t="shared" si="12"/>
        <v>0</v>
      </c>
      <c r="AU15" s="13"/>
      <c r="AV15" s="13"/>
      <c r="AW15" s="13"/>
      <c r="AX15" s="13"/>
      <c r="AY15" s="13"/>
      <c r="AZ15" s="13"/>
      <c r="BA15" s="13"/>
      <c r="BB15" s="13"/>
      <c r="BC15" s="13"/>
      <c r="BD15" s="13"/>
      <c r="BE15" s="13"/>
      <c r="BF15" s="13"/>
      <c r="BG15" s="14">
        <f t="shared" si="13"/>
        <v>0</v>
      </c>
      <c r="BI15" s="13"/>
      <c r="BJ15" s="13"/>
      <c r="BK15" s="13"/>
      <c r="BL15" s="13"/>
      <c r="BM15" s="13"/>
      <c r="BN15" s="13"/>
      <c r="BO15" s="13"/>
      <c r="BP15" s="13"/>
      <c r="BQ15" s="13"/>
      <c r="BR15" s="13"/>
      <c r="BS15" s="13"/>
      <c r="BT15" s="13"/>
      <c r="BU15" s="14">
        <f t="shared" si="14"/>
        <v>0</v>
      </c>
      <c r="BW15" s="13"/>
      <c r="BX15" s="13"/>
      <c r="BY15" s="13"/>
      <c r="BZ15" s="13"/>
      <c r="CA15" s="13"/>
      <c r="CB15" s="13"/>
      <c r="CC15" s="13"/>
      <c r="CD15" s="13"/>
      <c r="CE15" s="13"/>
      <c r="CF15" s="13"/>
      <c r="CG15" s="13"/>
      <c r="CH15" s="13"/>
      <c r="CI15" s="14">
        <f t="shared" si="15"/>
        <v>0</v>
      </c>
      <c r="CK15" s="13"/>
      <c r="CL15" s="13"/>
      <c r="CM15" s="13"/>
      <c r="CN15" s="13"/>
      <c r="CO15" s="13"/>
      <c r="CP15" s="13"/>
      <c r="CQ15" s="13"/>
      <c r="CR15" s="13"/>
      <c r="CS15" s="13"/>
      <c r="CT15" s="13"/>
      <c r="CU15" s="13"/>
      <c r="CV15" s="13"/>
      <c r="CW15" s="14">
        <f t="shared" si="16"/>
        <v>0</v>
      </c>
      <c r="CY15" s="13"/>
      <c r="CZ15" s="13"/>
      <c r="DA15" s="13"/>
      <c r="DB15" s="13"/>
      <c r="DC15" s="13"/>
      <c r="DD15" s="13"/>
      <c r="DE15" s="13"/>
      <c r="DF15" s="13"/>
      <c r="DG15" s="13"/>
      <c r="DH15" s="13"/>
      <c r="DI15" s="13"/>
      <c r="DJ15" s="13"/>
      <c r="DK15" s="14">
        <f t="shared" si="17"/>
        <v>0</v>
      </c>
      <c r="DM15" s="13"/>
      <c r="DN15" s="13"/>
      <c r="DO15" s="13"/>
      <c r="DP15" s="13"/>
      <c r="DQ15" s="13"/>
      <c r="DR15" s="13"/>
      <c r="DS15" s="13"/>
      <c r="DT15" s="13"/>
      <c r="DU15" s="13"/>
      <c r="DV15" s="13"/>
      <c r="DW15" s="13"/>
      <c r="DX15" s="13"/>
      <c r="DY15" s="14">
        <f t="shared" si="18"/>
        <v>0</v>
      </c>
      <c r="EA15" s="13"/>
      <c r="EB15" s="13"/>
      <c r="EC15" s="13"/>
      <c r="ED15" s="13"/>
      <c r="EE15" s="13"/>
      <c r="EF15" s="13"/>
      <c r="EG15" s="13"/>
      <c r="EH15" s="13"/>
      <c r="EI15" s="13"/>
      <c r="EJ15" s="13"/>
      <c r="EK15" s="13"/>
      <c r="EL15" s="13"/>
      <c r="EM15" s="14">
        <f t="shared" si="19"/>
        <v>0</v>
      </c>
    </row>
    <row r="16" spans="1:143" x14ac:dyDescent="0.3">
      <c r="C16" s="9" t="s">
        <v>7</v>
      </c>
      <c r="E16" s="15" cm="1">
        <f t="array" aca="1" ref="E16" ca="1">SUM(INDIRECT(ADDRESS(income_min_row, COLUMN())  &amp; ":" &amp; ADDRESS(income_max_row, COLUMN())))</f>
        <v>4650</v>
      </c>
      <c r="F16" s="15" cm="1">
        <f t="array" aca="1" ref="F16" ca="1">SUM(INDIRECT(ADDRESS(income_min_row, COLUMN())  &amp; ":" &amp; ADDRESS(income_max_row, COLUMN())))</f>
        <v>4550</v>
      </c>
      <c r="G16" s="15" cm="1">
        <f t="array" aca="1" ref="G16" ca="1">SUM(INDIRECT(ADDRESS(income_min_row, COLUMN())  &amp; ":" &amp; ADDRESS(income_max_row, COLUMN())))</f>
        <v>4600</v>
      </c>
      <c r="H16" s="15" cm="1">
        <f t="array" aca="1" ref="H16" ca="1">SUM(INDIRECT(ADDRESS(income_min_row, COLUMN())  &amp; ":" &amp; ADDRESS(income_max_row, COLUMN())))</f>
        <v>5650</v>
      </c>
      <c r="I16" s="15" cm="1">
        <f t="array" aca="1" ref="I16" ca="1">SUM(INDIRECT(ADDRESS(income_min_row, COLUMN())  &amp; ":" &amp; ADDRESS(income_max_row, COLUMN())))</f>
        <v>5550</v>
      </c>
      <c r="J16" s="15" cm="1">
        <f t="array" aca="1" ref="J16" ca="1">SUM(INDIRECT(ADDRESS(income_min_row, COLUMN())  &amp; ":" &amp; ADDRESS(income_max_row, COLUMN())))</f>
        <v>5600</v>
      </c>
      <c r="K16" s="15" cm="1">
        <f t="array" aca="1" ref="K16" ca="1">SUM(INDIRECT(ADDRESS(income_min_row, COLUMN())  &amp; ":" &amp; ADDRESS(income_max_row, COLUMN())))</f>
        <v>5650</v>
      </c>
      <c r="L16" s="15" cm="1">
        <f t="array" aca="1" ref="L16" ca="1">SUM(INDIRECT(ADDRESS(income_min_row, COLUMN())  &amp; ":" &amp; ADDRESS(income_max_row, COLUMN())))</f>
        <v>5550</v>
      </c>
      <c r="M16" s="15" cm="1">
        <f t="array" aca="1" ref="M16" ca="1">SUM(INDIRECT(ADDRESS(income_min_row, COLUMN())  &amp; ":" &amp; ADDRESS(income_max_row, COLUMN())))</f>
        <v>5600</v>
      </c>
      <c r="N16" s="15" cm="1">
        <f t="array" aca="1" ref="N16" ca="1">SUM(INDIRECT(ADDRESS(income_min_row, COLUMN())  &amp; ":" &amp; ADDRESS(income_max_row, COLUMN())))</f>
        <v>5650</v>
      </c>
      <c r="O16" s="15" cm="1">
        <f t="array" aca="1" ref="O16" ca="1">SUM(INDIRECT(ADDRESS(income_min_row, COLUMN())  &amp; ":" &amp; ADDRESS(income_max_row, COLUMN())))</f>
        <v>5550</v>
      </c>
      <c r="P16" s="15" cm="1">
        <f t="array" aca="1" ref="P16" ca="1">SUM(INDIRECT(ADDRESS(income_min_row, COLUMN())  &amp; ":" &amp; ADDRESS(income_max_row, COLUMN())))</f>
        <v>5600</v>
      </c>
      <c r="Q16" s="15" cm="1">
        <f t="array" aca="1" ref="Q16" ca="1">SUM(INDIRECT(ADDRESS(income_min_row, COLUMN())  &amp; ":" &amp; ADDRESS(income_max_row, COLUMN())))</f>
        <v>64200</v>
      </c>
      <c r="S16" s="15" cm="1">
        <f t="array" aca="1" ref="S16" ca="1">SUM(INDIRECT(ADDRESS(income_min_row, COLUMN())  &amp; ":" &amp; ADDRESS(income_max_row, COLUMN())))</f>
        <v>0</v>
      </c>
      <c r="T16" s="15" cm="1">
        <f t="array" aca="1" ref="T16" ca="1">SUM(INDIRECT(ADDRESS(income_min_row, COLUMN())  &amp; ":" &amp; ADDRESS(income_max_row, COLUMN())))</f>
        <v>0</v>
      </c>
      <c r="U16" s="15" cm="1">
        <f t="array" aca="1" ref="U16" ca="1">SUM(INDIRECT(ADDRESS(income_min_row, COLUMN())  &amp; ":" &amp; ADDRESS(income_max_row, COLUMN())))</f>
        <v>0</v>
      </c>
      <c r="V16" s="15" cm="1">
        <f t="array" aca="1" ref="V16" ca="1">SUM(INDIRECT(ADDRESS(income_min_row, COLUMN())  &amp; ":" &amp; ADDRESS(income_max_row, COLUMN())))</f>
        <v>0</v>
      </c>
      <c r="W16" s="15" cm="1">
        <f t="array" aca="1" ref="W16" ca="1">SUM(INDIRECT(ADDRESS(income_min_row, COLUMN())  &amp; ":" &amp; ADDRESS(income_max_row, COLUMN())))</f>
        <v>0</v>
      </c>
      <c r="X16" s="15" cm="1">
        <f t="array" aca="1" ref="X16" ca="1">SUM(INDIRECT(ADDRESS(income_min_row, COLUMN())  &amp; ":" &amp; ADDRESS(income_max_row, COLUMN())))</f>
        <v>0</v>
      </c>
      <c r="Y16" s="15" cm="1">
        <f t="array" aca="1" ref="Y16" ca="1">SUM(INDIRECT(ADDRESS(income_min_row, COLUMN())  &amp; ":" &amp; ADDRESS(income_max_row, COLUMN())))</f>
        <v>0</v>
      </c>
      <c r="Z16" s="15" cm="1">
        <f t="array" aca="1" ref="Z16" ca="1">SUM(INDIRECT(ADDRESS(income_min_row, COLUMN())  &amp; ":" &amp; ADDRESS(income_max_row, COLUMN())))</f>
        <v>0</v>
      </c>
      <c r="AA16" s="15" cm="1">
        <f t="array" aca="1" ref="AA16" ca="1">SUM(INDIRECT(ADDRESS(income_min_row, COLUMN())  &amp; ":" &amp; ADDRESS(income_max_row, COLUMN())))</f>
        <v>0</v>
      </c>
      <c r="AB16" s="15" cm="1">
        <f t="array" aca="1" ref="AB16" ca="1">SUM(INDIRECT(ADDRESS(income_min_row, COLUMN())  &amp; ":" &amp; ADDRESS(income_max_row, COLUMN())))</f>
        <v>0</v>
      </c>
      <c r="AC16" s="15" cm="1">
        <f t="array" aca="1" ref="AC16" ca="1">SUM(INDIRECT(ADDRESS(income_min_row, COLUMN())  &amp; ":" &amp; ADDRESS(income_max_row, COLUMN())))</f>
        <v>0</v>
      </c>
      <c r="AD16" s="15" cm="1">
        <f t="array" aca="1" ref="AD16" ca="1">SUM(INDIRECT(ADDRESS(income_min_row, COLUMN())  &amp; ":" &amp; ADDRESS(income_max_row, COLUMN())))</f>
        <v>0</v>
      </c>
      <c r="AE16" s="15" cm="1">
        <f t="array" aca="1" ref="AE16" ca="1">SUM(INDIRECT(ADDRESS(income_min_row, COLUMN())  &amp; ":" &amp; ADDRESS(income_max_row, COLUMN())))</f>
        <v>0</v>
      </c>
      <c r="AG16" s="15" cm="1">
        <f t="array" aca="1" ref="AG16" ca="1">SUM(INDIRECT(ADDRESS(income_min_row, COLUMN())  &amp; ":" &amp; ADDRESS(income_max_row, COLUMN())))</f>
        <v>0</v>
      </c>
      <c r="AH16" s="15" cm="1">
        <f t="array" aca="1" ref="AH16" ca="1">SUM(INDIRECT(ADDRESS(income_min_row, COLUMN())  &amp; ":" &amp; ADDRESS(income_max_row, COLUMN())))</f>
        <v>0</v>
      </c>
      <c r="AI16" s="15" cm="1">
        <f t="array" aca="1" ref="AI16" ca="1">SUM(INDIRECT(ADDRESS(income_min_row, COLUMN())  &amp; ":" &amp; ADDRESS(income_max_row, COLUMN())))</f>
        <v>0</v>
      </c>
      <c r="AJ16" s="15" cm="1">
        <f t="array" aca="1" ref="AJ16" ca="1">SUM(INDIRECT(ADDRESS(income_min_row, COLUMN())  &amp; ":" &amp; ADDRESS(income_max_row, COLUMN())))</f>
        <v>0</v>
      </c>
      <c r="AK16" s="15" cm="1">
        <f t="array" aca="1" ref="AK16" ca="1">SUM(INDIRECT(ADDRESS(income_min_row, COLUMN())  &amp; ":" &amp; ADDRESS(income_max_row, COLUMN())))</f>
        <v>0</v>
      </c>
      <c r="AL16" s="15" cm="1">
        <f t="array" aca="1" ref="AL16" ca="1">SUM(INDIRECT(ADDRESS(income_min_row, COLUMN())  &amp; ":" &amp; ADDRESS(income_max_row, COLUMN())))</f>
        <v>0</v>
      </c>
      <c r="AM16" s="15" cm="1">
        <f t="array" aca="1" ref="AM16" ca="1">SUM(INDIRECT(ADDRESS(income_min_row, COLUMN())  &amp; ":" &amp; ADDRESS(income_max_row, COLUMN())))</f>
        <v>0</v>
      </c>
      <c r="AN16" s="15" cm="1">
        <f t="array" aca="1" ref="AN16" ca="1">SUM(INDIRECT(ADDRESS(income_min_row, COLUMN())  &amp; ":" &amp; ADDRESS(income_max_row, COLUMN())))</f>
        <v>0</v>
      </c>
      <c r="AO16" s="15" cm="1">
        <f t="array" aca="1" ref="AO16" ca="1">SUM(INDIRECT(ADDRESS(income_min_row, COLUMN())  &amp; ":" &amp; ADDRESS(income_max_row, COLUMN())))</f>
        <v>0</v>
      </c>
      <c r="AP16" s="15" cm="1">
        <f t="array" aca="1" ref="AP16" ca="1">SUM(INDIRECT(ADDRESS(income_min_row, COLUMN())  &amp; ":" &amp; ADDRESS(income_max_row, COLUMN())))</f>
        <v>0</v>
      </c>
      <c r="AQ16" s="15" cm="1">
        <f t="array" aca="1" ref="AQ16" ca="1">SUM(INDIRECT(ADDRESS(income_min_row, COLUMN())  &amp; ":" &amp; ADDRESS(income_max_row, COLUMN())))</f>
        <v>0</v>
      </c>
      <c r="AR16" s="15" cm="1">
        <f t="array" aca="1" ref="AR16" ca="1">SUM(INDIRECT(ADDRESS(income_min_row, COLUMN())  &amp; ":" &amp; ADDRESS(income_max_row, COLUMN())))</f>
        <v>0</v>
      </c>
      <c r="AS16" s="15" cm="1">
        <f t="array" aca="1" ref="AS16" ca="1">SUM(INDIRECT(ADDRESS(income_min_row, COLUMN())  &amp; ":" &amp; ADDRESS(income_max_row, COLUMN())))</f>
        <v>0</v>
      </c>
      <c r="AU16" s="15" cm="1">
        <f t="array" aca="1" ref="AU16" ca="1">SUM(INDIRECT(ADDRESS(income_min_row, COLUMN())  &amp; ":" &amp; ADDRESS(income_max_row, COLUMN())))</f>
        <v>0</v>
      </c>
      <c r="AV16" s="15" cm="1">
        <f t="array" aca="1" ref="AV16" ca="1">SUM(INDIRECT(ADDRESS(income_min_row, COLUMN())  &amp; ":" &amp; ADDRESS(income_max_row, COLUMN())))</f>
        <v>0</v>
      </c>
      <c r="AW16" s="15" cm="1">
        <f t="array" aca="1" ref="AW16" ca="1">SUM(INDIRECT(ADDRESS(income_min_row, COLUMN())  &amp; ":" &amp; ADDRESS(income_max_row, COLUMN())))</f>
        <v>0</v>
      </c>
      <c r="AX16" s="15" cm="1">
        <f t="array" aca="1" ref="AX16" ca="1">SUM(INDIRECT(ADDRESS(income_min_row, COLUMN())  &amp; ":" &amp; ADDRESS(income_max_row, COLUMN())))</f>
        <v>0</v>
      </c>
      <c r="AY16" s="15" cm="1">
        <f t="array" aca="1" ref="AY16" ca="1">SUM(INDIRECT(ADDRESS(income_min_row, COLUMN())  &amp; ":" &amp; ADDRESS(income_max_row, COLUMN())))</f>
        <v>0</v>
      </c>
      <c r="AZ16" s="15" cm="1">
        <f t="array" aca="1" ref="AZ16" ca="1">SUM(INDIRECT(ADDRESS(income_min_row, COLUMN())  &amp; ":" &amp; ADDRESS(income_max_row, COLUMN())))</f>
        <v>0</v>
      </c>
      <c r="BA16" s="15" cm="1">
        <f t="array" aca="1" ref="BA16" ca="1">SUM(INDIRECT(ADDRESS(income_min_row, COLUMN())  &amp; ":" &amp; ADDRESS(income_max_row, COLUMN())))</f>
        <v>0</v>
      </c>
      <c r="BB16" s="15" cm="1">
        <f t="array" aca="1" ref="BB16" ca="1">SUM(INDIRECT(ADDRESS(income_min_row, COLUMN())  &amp; ":" &amp; ADDRESS(income_max_row, COLUMN())))</f>
        <v>0</v>
      </c>
      <c r="BC16" s="15" cm="1">
        <f t="array" aca="1" ref="BC16" ca="1">SUM(INDIRECT(ADDRESS(income_min_row, COLUMN())  &amp; ":" &amp; ADDRESS(income_max_row, COLUMN())))</f>
        <v>0</v>
      </c>
      <c r="BD16" s="15" cm="1">
        <f t="array" aca="1" ref="BD16" ca="1">SUM(INDIRECT(ADDRESS(income_min_row, COLUMN())  &amp; ":" &amp; ADDRESS(income_max_row, COLUMN())))</f>
        <v>0</v>
      </c>
      <c r="BE16" s="15" cm="1">
        <f t="array" aca="1" ref="BE16" ca="1">SUM(INDIRECT(ADDRESS(income_min_row, COLUMN())  &amp; ":" &amp; ADDRESS(income_max_row, COLUMN())))</f>
        <v>0</v>
      </c>
      <c r="BF16" s="15" cm="1">
        <f t="array" aca="1" ref="BF16" ca="1">SUM(INDIRECT(ADDRESS(income_min_row, COLUMN())  &amp; ":" &amp; ADDRESS(income_max_row, COLUMN())))</f>
        <v>0</v>
      </c>
      <c r="BG16" s="15" cm="1">
        <f t="array" aca="1" ref="BG16" ca="1">SUM(INDIRECT(ADDRESS(income_min_row, COLUMN())  &amp; ":" &amp; ADDRESS(income_max_row, COLUMN())))</f>
        <v>0</v>
      </c>
      <c r="BI16" s="15" cm="1">
        <f t="array" aca="1" ref="BI16" ca="1">SUM(INDIRECT(ADDRESS(income_min_row, COLUMN())  &amp; ":" &amp; ADDRESS(income_max_row, COLUMN())))</f>
        <v>0</v>
      </c>
      <c r="BJ16" s="15" cm="1">
        <f t="array" aca="1" ref="BJ16" ca="1">SUM(INDIRECT(ADDRESS(income_min_row, COLUMN())  &amp; ":" &amp; ADDRESS(income_max_row, COLUMN())))</f>
        <v>0</v>
      </c>
      <c r="BK16" s="15" cm="1">
        <f t="array" aca="1" ref="BK16" ca="1">SUM(INDIRECT(ADDRESS(income_min_row, COLUMN())  &amp; ":" &amp; ADDRESS(income_max_row, COLUMN())))</f>
        <v>0</v>
      </c>
      <c r="BL16" s="15" cm="1">
        <f t="array" aca="1" ref="BL16" ca="1">SUM(INDIRECT(ADDRESS(income_min_row, COLUMN())  &amp; ":" &amp; ADDRESS(income_max_row, COLUMN())))</f>
        <v>0</v>
      </c>
      <c r="BM16" s="15" cm="1">
        <f t="array" aca="1" ref="BM16" ca="1">SUM(INDIRECT(ADDRESS(income_min_row, COLUMN())  &amp; ":" &amp; ADDRESS(income_max_row, COLUMN())))</f>
        <v>0</v>
      </c>
      <c r="BN16" s="15" cm="1">
        <f t="array" aca="1" ref="BN16" ca="1">SUM(INDIRECT(ADDRESS(income_min_row, COLUMN())  &amp; ":" &amp; ADDRESS(income_max_row, COLUMN())))</f>
        <v>0</v>
      </c>
      <c r="BO16" s="15" cm="1">
        <f t="array" aca="1" ref="BO16" ca="1">SUM(INDIRECT(ADDRESS(income_min_row, COLUMN())  &amp; ":" &amp; ADDRESS(income_max_row, COLUMN())))</f>
        <v>0</v>
      </c>
      <c r="BP16" s="15" cm="1">
        <f t="array" aca="1" ref="BP16" ca="1">SUM(INDIRECT(ADDRESS(income_min_row, COLUMN())  &amp; ":" &amp; ADDRESS(income_max_row, COLUMN())))</f>
        <v>0</v>
      </c>
      <c r="BQ16" s="15" cm="1">
        <f t="array" aca="1" ref="BQ16" ca="1">SUM(INDIRECT(ADDRESS(income_min_row, COLUMN())  &amp; ":" &amp; ADDRESS(income_max_row, COLUMN())))</f>
        <v>0</v>
      </c>
      <c r="BR16" s="15" cm="1">
        <f t="array" aca="1" ref="BR16" ca="1">SUM(INDIRECT(ADDRESS(income_min_row, COLUMN())  &amp; ":" &amp; ADDRESS(income_max_row, COLUMN())))</f>
        <v>0</v>
      </c>
      <c r="BS16" s="15" cm="1">
        <f t="array" aca="1" ref="BS16" ca="1">SUM(INDIRECT(ADDRESS(income_min_row, COLUMN())  &amp; ":" &amp; ADDRESS(income_max_row, COLUMN())))</f>
        <v>0</v>
      </c>
      <c r="BT16" s="15" cm="1">
        <f t="array" aca="1" ref="BT16" ca="1">SUM(INDIRECT(ADDRESS(income_min_row, COLUMN())  &amp; ":" &amp; ADDRESS(income_max_row, COLUMN())))</f>
        <v>0</v>
      </c>
      <c r="BU16" s="15" cm="1">
        <f t="array" aca="1" ref="BU16" ca="1">SUM(INDIRECT(ADDRESS(income_min_row, COLUMN())  &amp; ":" &amp; ADDRESS(income_max_row, COLUMN())))</f>
        <v>0</v>
      </c>
      <c r="BW16" s="15" cm="1">
        <f t="array" aca="1" ref="BW16" ca="1">SUM(INDIRECT(ADDRESS(income_min_row, COLUMN())  &amp; ":" &amp; ADDRESS(income_max_row, COLUMN())))</f>
        <v>0</v>
      </c>
      <c r="BX16" s="15" cm="1">
        <f t="array" aca="1" ref="BX16" ca="1">SUM(INDIRECT(ADDRESS(income_min_row, COLUMN())  &amp; ":" &amp; ADDRESS(income_max_row, COLUMN())))</f>
        <v>0</v>
      </c>
      <c r="BY16" s="15" cm="1">
        <f t="array" aca="1" ref="BY16" ca="1">SUM(INDIRECT(ADDRESS(income_min_row, COLUMN())  &amp; ":" &amp; ADDRESS(income_max_row, COLUMN())))</f>
        <v>0</v>
      </c>
      <c r="BZ16" s="15" cm="1">
        <f t="array" aca="1" ref="BZ16" ca="1">SUM(INDIRECT(ADDRESS(income_min_row, COLUMN())  &amp; ":" &amp; ADDRESS(income_max_row, COLUMN())))</f>
        <v>0</v>
      </c>
      <c r="CA16" s="15" cm="1">
        <f t="array" aca="1" ref="CA16" ca="1">SUM(INDIRECT(ADDRESS(income_min_row, COLUMN())  &amp; ":" &amp; ADDRESS(income_max_row, COLUMN())))</f>
        <v>0</v>
      </c>
      <c r="CB16" s="15" cm="1">
        <f t="array" aca="1" ref="CB16" ca="1">SUM(INDIRECT(ADDRESS(income_min_row, COLUMN())  &amp; ":" &amp; ADDRESS(income_max_row, COLUMN())))</f>
        <v>0</v>
      </c>
      <c r="CC16" s="15" cm="1">
        <f t="array" aca="1" ref="CC16" ca="1">SUM(INDIRECT(ADDRESS(income_min_row, COLUMN())  &amp; ":" &amp; ADDRESS(income_max_row, COLUMN())))</f>
        <v>0</v>
      </c>
      <c r="CD16" s="15" cm="1">
        <f t="array" aca="1" ref="CD16" ca="1">SUM(INDIRECT(ADDRESS(income_min_row, COLUMN())  &amp; ":" &amp; ADDRESS(income_max_row, COLUMN())))</f>
        <v>0</v>
      </c>
      <c r="CE16" s="15" cm="1">
        <f t="array" aca="1" ref="CE16" ca="1">SUM(INDIRECT(ADDRESS(income_min_row, COLUMN())  &amp; ":" &amp; ADDRESS(income_max_row, COLUMN())))</f>
        <v>0</v>
      </c>
      <c r="CF16" s="15" cm="1">
        <f t="array" aca="1" ref="CF16" ca="1">SUM(INDIRECT(ADDRESS(income_min_row, COLUMN())  &amp; ":" &amp; ADDRESS(income_max_row, COLUMN())))</f>
        <v>0</v>
      </c>
      <c r="CG16" s="15" cm="1">
        <f t="array" aca="1" ref="CG16" ca="1">SUM(INDIRECT(ADDRESS(income_min_row, COLUMN())  &amp; ":" &amp; ADDRESS(income_max_row, COLUMN())))</f>
        <v>0</v>
      </c>
      <c r="CH16" s="15" cm="1">
        <f t="array" aca="1" ref="CH16" ca="1">SUM(INDIRECT(ADDRESS(income_min_row, COLUMN())  &amp; ":" &amp; ADDRESS(income_max_row, COLUMN())))</f>
        <v>0</v>
      </c>
      <c r="CI16" s="15" cm="1">
        <f t="array" aca="1" ref="CI16" ca="1">SUM(INDIRECT(ADDRESS(income_min_row, COLUMN())  &amp; ":" &amp; ADDRESS(income_max_row, COLUMN())))</f>
        <v>0</v>
      </c>
      <c r="CK16" s="15" cm="1">
        <f t="array" aca="1" ref="CK16" ca="1">SUM(INDIRECT(ADDRESS(income_min_row, COLUMN())  &amp; ":" &amp; ADDRESS(income_max_row, COLUMN())))</f>
        <v>0</v>
      </c>
      <c r="CL16" s="15" cm="1">
        <f t="array" aca="1" ref="CL16" ca="1">SUM(INDIRECT(ADDRESS(income_min_row, COLUMN())  &amp; ":" &amp; ADDRESS(income_max_row, COLUMN())))</f>
        <v>0</v>
      </c>
      <c r="CM16" s="15" cm="1">
        <f t="array" aca="1" ref="CM16" ca="1">SUM(INDIRECT(ADDRESS(income_min_row, COLUMN())  &amp; ":" &amp; ADDRESS(income_max_row, COLUMN())))</f>
        <v>0</v>
      </c>
      <c r="CN16" s="15" cm="1">
        <f t="array" aca="1" ref="CN16" ca="1">SUM(INDIRECT(ADDRESS(income_min_row, COLUMN())  &amp; ":" &amp; ADDRESS(income_max_row, COLUMN())))</f>
        <v>0</v>
      </c>
      <c r="CO16" s="15" cm="1">
        <f t="array" aca="1" ref="CO16" ca="1">SUM(INDIRECT(ADDRESS(income_min_row, COLUMN())  &amp; ":" &amp; ADDRESS(income_max_row, COLUMN())))</f>
        <v>0</v>
      </c>
      <c r="CP16" s="15" cm="1">
        <f t="array" aca="1" ref="CP16" ca="1">SUM(INDIRECT(ADDRESS(income_min_row, COLUMN())  &amp; ":" &amp; ADDRESS(income_max_row, COLUMN())))</f>
        <v>0</v>
      </c>
      <c r="CQ16" s="15" cm="1">
        <f t="array" aca="1" ref="CQ16" ca="1">SUM(INDIRECT(ADDRESS(income_min_row, COLUMN())  &amp; ":" &amp; ADDRESS(income_max_row, COLUMN())))</f>
        <v>0</v>
      </c>
      <c r="CR16" s="15" cm="1">
        <f t="array" aca="1" ref="CR16" ca="1">SUM(INDIRECT(ADDRESS(income_min_row, COLUMN())  &amp; ":" &amp; ADDRESS(income_max_row, COLUMN())))</f>
        <v>0</v>
      </c>
      <c r="CS16" s="15" cm="1">
        <f t="array" aca="1" ref="CS16" ca="1">SUM(INDIRECT(ADDRESS(income_min_row, COLUMN())  &amp; ":" &amp; ADDRESS(income_max_row, COLUMN())))</f>
        <v>0</v>
      </c>
      <c r="CT16" s="15" cm="1">
        <f t="array" aca="1" ref="CT16" ca="1">SUM(INDIRECT(ADDRESS(income_min_row, COLUMN())  &amp; ":" &amp; ADDRESS(income_max_row, COLUMN())))</f>
        <v>0</v>
      </c>
      <c r="CU16" s="15" cm="1">
        <f t="array" aca="1" ref="CU16" ca="1">SUM(INDIRECT(ADDRESS(income_min_row, COLUMN())  &amp; ":" &amp; ADDRESS(income_max_row, COLUMN())))</f>
        <v>0</v>
      </c>
      <c r="CV16" s="15" cm="1">
        <f t="array" aca="1" ref="CV16" ca="1">SUM(INDIRECT(ADDRESS(income_min_row, COLUMN())  &amp; ":" &amp; ADDRESS(income_max_row, COLUMN())))</f>
        <v>0</v>
      </c>
      <c r="CW16" s="15" cm="1">
        <f t="array" aca="1" ref="CW16" ca="1">SUM(INDIRECT(ADDRESS(income_min_row, COLUMN())  &amp; ":" &amp; ADDRESS(income_max_row, COLUMN())))</f>
        <v>0</v>
      </c>
      <c r="CY16" s="15" cm="1">
        <f t="array" aca="1" ref="CY16" ca="1">SUM(INDIRECT(ADDRESS(income_min_row, COLUMN())  &amp; ":" &amp; ADDRESS(income_max_row, COLUMN())))</f>
        <v>0</v>
      </c>
      <c r="CZ16" s="15" cm="1">
        <f t="array" aca="1" ref="CZ16" ca="1">SUM(INDIRECT(ADDRESS(income_min_row, COLUMN())  &amp; ":" &amp; ADDRESS(income_max_row, COLUMN())))</f>
        <v>0</v>
      </c>
      <c r="DA16" s="15" cm="1">
        <f t="array" aca="1" ref="DA16" ca="1">SUM(INDIRECT(ADDRESS(income_min_row, COLUMN())  &amp; ":" &amp; ADDRESS(income_max_row, COLUMN())))</f>
        <v>0</v>
      </c>
      <c r="DB16" s="15" cm="1">
        <f t="array" aca="1" ref="DB16" ca="1">SUM(INDIRECT(ADDRESS(income_min_row, COLUMN())  &amp; ":" &amp; ADDRESS(income_max_row, COLUMN())))</f>
        <v>0</v>
      </c>
      <c r="DC16" s="15" cm="1">
        <f t="array" aca="1" ref="DC16" ca="1">SUM(INDIRECT(ADDRESS(income_min_row, COLUMN())  &amp; ":" &amp; ADDRESS(income_max_row, COLUMN())))</f>
        <v>0</v>
      </c>
      <c r="DD16" s="15" cm="1">
        <f t="array" aca="1" ref="DD16" ca="1">SUM(INDIRECT(ADDRESS(income_min_row, COLUMN())  &amp; ":" &amp; ADDRESS(income_max_row, COLUMN())))</f>
        <v>0</v>
      </c>
      <c r="DE16" s="15" cm="1">
        <f t="array" aca="1" ref="DE16" ca="1">SUM(INDIRECT(ADDRESS(income_min_row, COLUMN())  &amp; ":" &amp; ADDRESS(income_max_row, COLUMN())))</f>
        <v>0</v>
      </c>
      <c r="DF16" s="15" cm="1">
        <f t="array" aca="1" ref="DF16" ca="1">SUM(INDIRECT(ADDRESS(income_min_row, COLUMN())  &amp; ":" &amp; ADDRESS(income_max_row, COLUMN())))</f>
        <v>0</v>
      </c>
      <c r="DG16" s="15" cm="1">
        <f t="array" aca="1" ref="DG16" ca="1">SUM(INDIRECT(ADDRESS(income_min_row, COLUMN())  &amp; ":" &amp; ADDRESS(income_max_row, COLUMN())))</f>
        <v>0</v>
      </c>
      <c r="DH16" s="15" cm="1">
        <f t="array" aca="1" ref="DH16" ca="1">SUM(INDIRECT(ADDRESS(income_min_row, COLUMN())  &amp; ":" &amp; ADDRESS(income_max_row, COLUMN())))</f>
        <v>0</v>
      </c>
      <c r="DI16" s="15" cm="1">
        <f t="array" aca="1" ref="DI16" ca="1">SUM(INDIRECT(ADDRESS(income_min_row, COLUMN())  &amp; ":" &amp; ADDRESS(income_max_row, COLUMN())))</f>
        <v>0</v>
      </c>
      <c r="DJ16" s="15" cm="1">
        <f t="array" aca="1" ref="DJ16" ca="1">SUM(INDIRECT(ADDRESS(income_min_row, COLUMN())  &amp; ":" &amp; ADDRESS(income_max_row, COLUMN())))</f>
        <v>0</v>
      </c>
      <c r="DK16" s="15" cm="1">
        <f t="array" aca="1" ref="DK16" ca="1">SUM(INDIRECT(ADDRESS(income_min_row, COLUMN())  &amp; ":" &amp; ADDRESS(income_max_row, COLUMN())))</f>
        <v>0</v>
      </c>
      <c r="DM16" s="15" cm="1">
        <f t="array" aca="1" ref="DM16" ca="1">SUM(INDIRECT(ADDRESS(income_min_row, COLUMN())  &amp; ":" &amp; ADDRESS(income_max_row, COLUMN())))</f>
        <v>0</v>
      </c>
      <c r="DN16" s="15" cm="1">
        <f t="array" aca="1" ref="DN16" ca="1">SUM(INDIRECT(ADDRESS(income_min_row, COLUMN())  &amp; ":" &amp; ADDRESS(income_max_row, COLUMN())))</f>
        <v>0</v>
      </c>
      <c r="DO16" s="15" cm="1">
        <f t="array" aca="1" ref="DO16" ca="1">SUM(INDIRECT(ADDRESS(income_min_row, COLUMN())  &amp; ":" &amp; ADDRESS(income_max_row, COLUMN())))</f>
        <v>0</v>
      </c>
      <c r="DP16" s="15" cm="1">
        <f t="array" aca="1" ref="DP16" ca="1">SUM(INDIRECT(ADDRESS(income_min_row, COLUMN())  &amp; ":" &amp; ADDRESS(income_max_row, COLUMN())))</f>
        <v>0</v>
      </c>
      <c r="DQ16" s="15" cm="1">
        <f t="array" aca="1" ref="DQ16" ca="1">SUM(INDIRECT(ADDRESS(income_min_row, COLUMN())  &amp; ":" &amp; ADDRESS(income_max_row, COLUMN())))</f>
        <v>0</v>
      </c>
      <c r="DR16" s="15" cm="1">
        <f t="array" aca="1" ref="DR16" ca="1">SUM(INDIRECT(ADDRESS(income_min_row, COLUMN())  &amp; ":" &amp; ADDRESS(income_max_row, COLUMN())))</f>
        <v>0</v>
      </c>
      <c r="DS16" s="15" cm="1">
        <f t="array" aca="1" ref="DS16" ca="1">SUM(INDIRECT(ADDRESS(income_min_row, COLUMN())  &amp; ":" &amp; ADDRESS(income_max_row, COLUMN())))</f>
        <v>0</v>
      </c>
      <c r="DT16" s="15" cm="1">
        <f t="array" aca="1" ref="DT16" ca="1">SUM(INDIRECT(ADDRESS(income_min_row, COLUMN())  &amp; ":" &amp; ADDRESS(income_max_row, COLUMN())))</f>
        <v>0</v>
      </c>
      <c r="DU16" s="15" cm="1">
        <f t="array" aca="1" ref="DU16" ca="1">SUM(INDIRECT(ADDRESS(income_min_row, COLUMN())  &amp; ":" &amp; ADDRESS(income_max_row, COLUMN())))</f>
        <v>0</v>
      </c>
      <c r="DV16" s="15" cm="1">
        <f t="array" aca="1" ref="DV16" ca="1">SUM(INDIRECT(ADDRESS(income_min_row, COLUMN())  &amp; ":" &amp; ADDRESS(income_max_row, COLUMN())))</f>
        <v>0</v>
      </c>
      <c r="DW16" s="15" cm="1">
        <f t="array" aca="1" ref="DW16" ca="1">SUM(INDIRECT(ADDRESS(income_min_row, COLUMN())  &amp; ":" &amp; ADDRESS(income_max_row, COLUMN())))</f>
        <v>0</v>
      </c>
      <c r="DX16" s="15" cm="1">
        <f t="array" aca="1" ref="DX16" ca="1">SUM(INDIRECT(ADDRESS(income_min_row, COLUMN())  &amp; ":" &amp; ADDRESS(income_max_row, COLUMN())))</f>
        <v>0</v>
      </c>
      <c r="DY16" s="15" cm="1">
        <f t="array" aca="1" ref="DY16" ca="1">SUM(INDIRECT(ADDRESS(income_min_row, COLUMN())  &amp; ":" &amp; ADDRESS(income_max_row, COLUMN())))</f>
        <v>0</v>
      </c>
      <c r="EA16" s="15" cm="1">
        <f t="array" aca="1" ref="EA16" ca="1">SUM(INDIRECT(ADDRESS(income_min_row, COLUMN())  &amp; ":" &amp; ADDRESS(income_max_row, COLUMN())))</f>
        <v>0</v>
      </c>
      <c r="EB16" s="15" cm="1">
        <f t="array" aca="1" ref="EB16" ca="1">SUM(INDIRECT(ADDRESS(income_min_row, COLUMN())  &amp; ":" &amp; ADDRESS(income_max_row, COLUMN())))</f>
        <v>0</v>
      </c>
      <c r="EC16" s="15" cm="1">
        <f t="array" aca="1" ref="EC16" ca="1">SUM(INDIRECT(ADDRESS(income_min_row, COLUMN())  &amp; ":" &amp; ADDRESS(income_max_row, COLUMN())))</f>
        <v>0</v>
      </c>
      <c r="ED16" s="15" cm="1">
        <f t="array" aca="1" ref="ED16" ca="1">SUM(INDIRECT(ADDRESS(income_min_row, COLUMN())  &amp; ":" &amp; ADDRESS(income_max_row, COLUMN())))</f>
        <v>0</v>
      </c>
      <c r="EE16" s="15" cm="1">
        <f t="array" aca="1" ref="EE16" ca="1">SUM(INDIRECT(ADDRESS(income_min_row, COLUMN())  &amp; ":" &amp; ADDRESS(income_max_row, COLUMN())))</f>
        <v>0</v>
      </c>
      <c r="EF16" s="15" cm="1">
        <f t="array" aca="1" ref="EF16" ca="1">SUM(INDIRECT(ADDRESS(income_min_row, COLUMN())  &amp; ":" &amp; ADDRESS(income_max_row, COLUMN())))</f>
        <v>0</v>
      </c>
      <c r="EG16" s="15" cm="1">
        <f t="array" aca="1" ref="EG16" ca="1">SUM(INDIRECT(ADDRESS(income_min_row, COLUMN())  &amp; ":" &amp; ADDRESS(income_max_row, COLUMN())))</f>
        <v>0</v>
      </c>
      <c r="EH16" s="15" cm="1">
        <f t="array" aca="1" ref="EH16" ca="1">SUM(INDIRECT(ADDRESS(income_min_row, COLUMN())  &amp; ":" &amp; ADDRESS(income_max_row, COLUMN())))</f>
        <v>0</v>
      </c>
      <c r="EI16" s="15" cm="1">
        <f t="array" aca="1" ref="EI16" ca="1">SUM(INDIRECT(ADDRESS(income_min_row, COLUMN())  &amp; ":" &amp; ADDRESS(income_max_row, COLUMN())))</f>
        <v>0</v>
      </c>
      <c r="EJ16" s="15" cm="1">
        <f t="array" aca="1" ref="EJ16" ca="1">SUM(INDIRECT(ADDRESS(income_min_row, COLUMN())  &amp; ":" &amp; ADDRESS(income_max_row, COLUMN())))</f>
        <v>0</v>
      </c>
      <c r="EK16" s="15" cm="1">
        <f t="array" aca="1" ref="EK16" ca="1">SUM(INDIRECT(ADDRESS(income_min_row, COLUMN())  &amp; ":" &amp; ADDRESS(income_max_row, COLUMN())))</f>
        <v>0</v>
      </c>
      <c r="EL16" s="15" cm="1">
        <f t="array" aca="1" ref="EL16" ca="1">SUM(INDIRECT(ADDRESS(income_min_row, COLUMN())  &amp; ":" &amp; ADDRESS(income_max_row, COLUMN())))</f>
        <v>0</v>
      </c>
      <c r="EM16" s="15" cm="1">
        <f t="array" aca="1" ref="EM16" ca="1">SUM(INDIRECT(ADDRESS(income_min_row, COLUMN())  &amp; ":" &amp; ADDRESS(income_max_row, COLUMN())))</f>
        <v>0</v>
      </c>
    </row>
    <row r="22" spans="3:143" x14ac:dyDescent="0.3">
      <c r="C22" s="8" t="s">
        <v>11</v>
      </c>
      <c r="E22" s="19">
        <f>DATE($E$5,1,1)</f>
        <v>44562</v>
      </c>
      <c r="F22" s="19">
        <f>DATE($E$5,2,1)</f>
        <v>44593</v>
      </c>
      <c r="G22" s="19">
        <f>DATE($E$5,3,1)</f>
        <v>44621</v>
      </c>
      <c r="H22" s="19">
        <f>DATE($E$5,4,1)</f>
        <v>44652</v>
      </c>
      <c r="I22" s="19">
        <f>DATE($E$5,5,1)</f>
        <v>44682</v>
      </c>
      <c r="J22" s="19">
        <f>DATE($E$5,6,1)</f>
        <v>44713</v>
      </c>
      <c r="K22" s="19">
        <f>DATE($E$5,7,1)</f>
        <v>44743</v>
      </c>
      <c r="L22" s="19">
        <f>DATE($E$5,8,1)</f>
        <v>44774</v>
      </c>
      <c r="M22" s="19">
        <f>DATE($E$5,9,1)</f>
        <v>44805</v>
      </c>
      <c r="N22" s="19">
        <f>DATE($E$5,10,1)</f>
        <v>44835</v>
      </c>
      <c r="O22" s="19">
        <f>DATE($E$5,11,1)</f>
        <v>44866</v>
      </c>
      <c r="P22" s="19">
        <f>DATE($E$5,12,1)</f>
        <v>44896</v>
      </c>
      <c r="Q22" s="20">
        <f>E$5</f>
        <v>2022</v>
      </c>
      <c r="S22" s="19">
        <f>DATE($E$5,1,1)</f>
        <v>44562</v>
      </c>
      <c r="T22" s="19">
        <f>DATE($E$5,2,1)</f>
        <v>44593</v>
      </c>
      <c r="U22" s="19">
        <f>DATE($E$5,3,1)</f>
        <v>44621</v>
      </c>
      <c r="V22" s="19">
        <f>DATE($E$5,4,1)</f>
        <v>44652</v>
      </c>
      <c r="W22" s="19">
        <f>DATE($E$5,5,1)</f>
        <v>44682</v>
      </c>
      <c r="X22" s="19">
        <f>DATE($E$5,6,1)</f>
        <v>44713</v>
      </c>
      <c r="Y22" s="19">
        <f>DATE($E$5,7,1)</f>
        <v>44743</v>
      </c>
      <c r="Z22" s="19">
        <f>DATE($E$5,8,1)</f>
        <v>44774</v>
      </c>
      <c r="AA22" s="19">
        <f>DATE($E$5,9,1)</f>
        <v>44805</v>
      </c>
      <c r="AB22" s="19">
        <f>DATE($E$5,10,1)</f>
        <v>44835</v>
      </c>
      <c r="AC22" s="19">
        <f>DATE($E$5,11,1)</f>
        <v>44866</v>
      </c>
      <c r="AD22" s="19">
        <f>DATE($E$5,12,1)</f>
        <v>44896</v>
      </c>
      <c r="AE22" s="20">
        <f>S$5</f>
        <v>2023</v>
      </c>
      <c r="AG22" s="19">
        <f>DATE($E$5,1,1)</f>
        <v>44562</v>
      </c>
      <c r="AH22" s="19">
        <f>DATE($E$5,2,1)</f>
        <v>44593</v>
      </c>
      <c r="AI22" s="19">
        <f>DATE($E$5,3,1)</f>
        <v>44621</v>
      </c>
      <c r="AJ22" s="19">
        <f>DATE($E$5,4,1)</f>
        <v>44652</v>
      </c>
      <c r="AK22" s="19">
        <f>DATE($E$5,5,1)</f>
        <v>44682</v>
      </c>
      <c r="AL22" s="19">
        <f>DATE($E$5,6,1)</f>
        <v>44713</v>
      </c>
      <c r="AM22" s="19">
        <f>DATE($E$5,7,1)</f>
        <v>44743</v>
      </c>
      <c r="AN22" s="19">
        <f>DATE($E$5,8,1)</f>
        <v>44774</v>
      </c>
      <c r="AO22" s="19">
        <f>DATE($E$5,9,1)</f>
        <v>44805</v>
      </c>
      <c r="AP22" s="19">
        <f>DATE($E$5,10,1)</f>
        <v>44835</v>
      </c>
      <c r="AQ22" s="19">
        <f>DATE($E$5,11,1)</f>
        <v>44866</v>
      </c>
      <c r="AR22" s="19">
        <f>DATE($E$5,12,1)</f>
        <v>44896</v>
      </c>
      <c r="AS22" s="20">
        <f>AG$5</f>
        <v>2024</v>
      </c>
      <c r="AU22" s="19">
        <f>DATE($E$5,1,1)</f>
        <v>44562</v>
      </c>
      <c r="AV22" s="19">
        <f>DATE($E$5,2,1)</f>
        <v>44593</v>
      </c>
      <c r="AW22" s="19">
        <f>DATE($E$5,3,1)</f>
        <v>44621</v>
      </c>
      <c r="AX22" s="19">
        <f>DATE($E$5,4,1)</f>
        <v>44652</v>
      </c>
      <c r="AY22" s="19">
        <f>DATE($E$5,5,1)</f>
        <v>44682</v>
      </c>
      <c r="AZ22" s="19">
        <f>DATE($E$5,6,1)</f>
        <v>44713</v>
      </c>
      <c r="BA22" s="19">
        <f>DATE($E$5,7,1)</f>
        <v>44743</v>
      </c>
      <c r="BB22" s="19">
        <f>DATE($E$5,8,1)</f>
        <v>44774</v>
      </c>
      <c r="BC22" s="19">
        <f>DATE($E$5,9,1)</f>
        <v>44805</v>
      </c>
      <c r="BD22" s="19">
        <f>DATE($E$5,10,1)</f>
        <v>44835</v>
      </c>
      <c r="BE22" s="19">
        <f>DATE($E$5,11,1)</f>
        <v>44866</v>
      </c>
      <c r="BF22" s="19">
        <f>DATE($E$5,12,1)</f>
        <v>44896</v>
      </c>
      <c r="BG22" s="20">
        <f>AU$5</f>
        <v>2025</v>
      </c>
      <c r="BI22" s="19">
        <f>DATE($E$5,1,1)</f>
        <v>44562</v>
      </c>
      <c r="BJ22" s="19">
        <f>DATE($E$5,2,1)</f>
        <v>44593</v>
      </c>
      <c r="BK22" s="19">
        <f>DATE($E$5,3,1)</f>
        <v>44621</v>
      </c>
      <c r="BL22" s="19">
        <f>DATE($E$5,4,1)</f>
        <v>44652</v>
      </c>
      <c r="BM22" s="19">
        <f>DATE($E$5,5,1)</f>
        <v>44682</v>
      </c>
      <c r="BN22" s="19">
        <f>DATE($E$5,6,1)</f>
        <v>44713</v>
      </c>
      <c r="BO22" s="19">
        <f>DATE($E$5,7,1)</f>
        <v>44743</v>
      </c>
      <c r="BP22" s="19">
        <f>DATE($E$5,8,1)</f>
        <v>44774</v>
      </c>
      <c r="BQ22" s="19">
        <f>DATE($E$5,9,1)</f>
        <v>44805</v>
      </c>
      <c r="BR22" s="19">
        <f>DATE($E$5,10,1)</f>
        <v>44835</v>
      </c>
      <c r="BS22" s="19">
        <f>DATE($E$5,11,1)</f>
        <v>44866</v>
      </c>
      <c r="BT22" s="19">
        <f>DATE($E$5,12,1)</f>
        <v>44896</v>
      </c>
      <c r="BU22" s="20">
        <f>BI$5</f>
        <v>2026</v>
      </c>
      <c r="BW22" s="19">
        <f>DATE($E$5,1,1)</f>
        <v>44562</v>
      </c>
      <c r="BX22" s="19">
        <f>DATE($E$5,2,1)</f>
        <v>44593</v>
      </c>
      <c r="BY22" s="19">
        <f>DATE($E$5,3,1)</f>
        <v>44621</v>
      </c>
      <c r="BZ22" s="19">
        <f>DATE($E$5,4,1)</f>
        <v>44652</v>
      </c>
      <c r="CA22" s="19">
        <f>DATE($E$5,5,1)</f>
        <v>44682</v>
      </c>
      <c r="CB22" s="19">
        <f>DATE($E$5,6,1)</f>
        <v>44713</v>
      </c>
      <c r="CC22" s="19">
        <f>DATE($E$5,7,1)</f>
        <v>44743</v>
      </c>
      <c r="CD22" s="19">
        <f>DATE($E$5,8,1)</f>
        <v>44774</v>
      </c>
      <c r="CE22" s="19">
        <f>DATE($E$5,9,1)</f>
        <v>44805</v>
      </c>
      <c r="CF22" s="19">
        <f>DATE($E$5,10,1)</f>
        <v>44835</v>
      </c>
      <c r="CG22" s="19">
        <f>DATE($E$5,11,1)</f>
        <v>44866</v>
      </c>
      <c r="CH22" s="19">
        <f>DATE($E$5,12,1)</f>
        <v>44896</v>
      </c>
      <c r="CI22" s="20">
        <f>BW$5</f>
        <v>2027</v>
      </c>
      <c r="CK22" s="19">
        <f>DATE($E$5,1,1)</f>
        <v>44562</v>
      </c>
      <c r="CL22" s="19">
        <f>DATE($E$5,2,1)</f>
        <v>44593</v>
      </c>
      <c r="CM22" s="19">
        <f>DATE($E$5,3,1)</f>
        <v>44621</v>
      </c>
      <c r="CN22" s="19">
        <f>DATE($E$5,4,1)</f>
        <v>44652</v>
      </c>
      <c r="CO22" s="19">
        <f>DATE($E$5,5,1)</f>
        <v>44682</v>
      </c>
      <c r="CP22" s="19">
        <f>DATE($E$5,6,1)</f>
        <v>44713</v>
      </c>
      <c r="CQ22" s="19">
        <f>DATE($E$5,7,1)</f>
        <v>44743</v>
      </c>
      <c r="CR22" s="19">
        <f>DATE($E$5,8,1)</f>
        <v>44774</v>
      </c>
      <c r="CS22" s="19">
        <f>DATE($E$5,9,1)</f>
        <v>44805</v>
      </c>
      <c r="CT22" s="19">
        <f>DATE($E$5,10,1)</f>
        <v>44835</v>
      </c>
      <c r="CU22" s="19">
        <f>DATE($E$5,11,1)</f>
        <v>44866</v>
      </c>
      <c r="CV22" s="19">
        <f>DATE($E$5,12,1)</f>
        <v>44896</v>
      </c>
      <c r="CW22" s="20">
        <f>CK$5</f>
        <v>2028</v>
      </c>
      <c r="CY22" s="19">
        <f>DATE($E$5,1,1)</f>
        <v>44562</v>
      </c>
      <c r="CZ22" s="19">
        <f>DATE($E$5,2,1)</f>
        <v>44593</v>
      </c>
      <c r="DA22" s="19">
        <f>DATE($E$5,3,1)</f>
        <v>44621</v>
      </c>
      <c r="DB22" s="19">
        <f>DATE($E$5,4,1)</f>
        <v>44652</v>
      </c>
      <c r="DC22" s="19">
        <f>DATE($E$5,5,1)</f>
        <v>44682</v>
      </c>
      <c r="DD22" s="19">
        <f>DATE($E$5,6,1)</f>
        <v>44713</v>
      </c>
      <c r="DE22" s="19">
        <f>DATE($E$5,7,1)</f>
        <v>44743</v>
      </c>
      <c r="DF22" s="19">
        <f>DATE($E$5,8,1)</f>
        <v>44774</v>
      </c>
      <c r="DG22" s="19">
        <f>DATE($E$5,9,1)</f>
        <v>44805</v>
      </c>
      <c r="DH22" s="19">
        <f>DATE($E$5,10,1)</f>
        <v>44835</v>
      </c>
      <c r="DI22" s="19">
        <f>DATE($E$5,11,1)</f>
        <v>44866</v>
      </c>
      <c r="DJ22" s="19">
        <f>DATE($E$5,12,1)</f>
        <v>44896</v>
      </c>
      <c r="DK22" s="20">
        <f>CY$5</f>
        <v>2029</v>
      </c>
      <c r="DM22" s="19">
        <f>DATE($E$5,1,1)</f>
        <v>44562</v>
      </c>
      <c r="DN22" s="19">
        <f>DATE($E$5,2,1)</f>
        <v>44593</v>
      </c>
      <c r="DO22" s="19">
        <f>DATE($E$5,3,1)</f>
        <v>44621</v>
      </c>
      <c r="DP22" s="19">
        <f>DATE($E$5,4,1)</f>
        <v>44652</v>
      </c>
      <c r="DQ22" s="19">
        <f>DATE($E$5,5,1)</f>
        <v>44682</v>
      </c>
      <c r="DR22" s="19">
        <f>DATE($E$5,6,1)</f>
        <v>44713</v>
      </c>
      <c r="DS22" s="19">
        <f>DATE($E$5,7,1)</f>
        <v>44743</v>
      </c>
      <c r="DT22" s="19">
        <f>DATE($E$5,8,1)</f>
        <v>44774</v>
      </c>
      <c r="DU22" s="19">
        <f>DATE($E$5,9,1)</f>
        <v>44805</v>
      </c>
      <c r="DV22" s="19">
        <f>DATE($E$5,10,1)</f>
        <v>44835</v>
      </c>
      <c r="DW22" s="19">
        <f>DATE($E$5,11,1)</f>
        <v>44866</v>
      </c>
      <c r="DX22" s="19">
        <f>DATE($E$5,12,1)</f>
        <v>44896</v>
      </c>
      <c r="DY22" s="20">
        <f>DM$5</f>
        <v>2030</v>
      </c>
      <c r="EA22" s="19">
        <f>DATE($E$5,1,1)</f>
        <v>44562</v>
      </c>
      <c r="EB22" s="19">
        <f>DATE($E$5,2,1)</f>
        <v>44593</v>
      </c>
      <c r="EC22" s="19">
        <f>DATE($E$5,3,1)</f>
        <v>44621</v>
      </c>
      <c r="ED22" s="19">
        <f>DATE($E$5,4,1)</f>
        <v>44652</v>
      </c>
      <c r="EE22" s="19">
        <f>DATE($E$5,5,1)</f>
        <v>44682</v>
      </c>
      <c r="EF22" s="19">
        <f>DATE($E$5,6,1)</f>
        <v>44713</v>
      </c>
      <c r="EG22" s="19">
        <f>DATE($E$5,7,1)</f>
        <v>44743</v>
      </c>
      <c r="EH22" s="19">
        <f>DATE($E$5,8,1)</f>
        <v>44774</v>
      </c>
      <c r="EI22" s="19">
        <f>DATE($E$5,9,1)</f>
        <v>44805</v>
      </c>
      <c r="EJ22" s="19">
        <f>DATE($E$5,10,1)</f>
        <v>44835</v>
      </c>
      <c r="EK22" s="19">
        <f>DATE($E$5,11,1)</f>
        <v>44866</v>
      </c>
      <c r="EL22" s="19">
        <f>DATE($E$5,12,1)</f>
        <v>44896</v>
      </c>
      <c r="EM22" s="20">
        <f>EA$5</f>
        <v>2031</v>
      </c>
    </row>
    <row r="23" spans="3:143" x14ac:dyDescent="0.3">
      <c r="C23" s="18" t="s">
        <v>12</v>
      </c>
      <c r="E23" s="16">
        <v>1200</v>
      </c>
      <c r="F23" s="16">
        <v>1200</v>
      </c>
      <c r="G23" s="16">
        <v>1200</v>
      </c>
      <c r="H23" s="16">
        <v>1200</v>
      </c>
      <c r="I23" s="16">
        <v>1200</v>
      </c>
      <c r="J23" s="16">
        <v>1200</v>
      </c>
      <c r="K23" s="16">
        <v>1200</v>
      </c>
      <c r="L23" s="16">
        <v>1200</v>
      </c>
      <c r="M23" s="16">
        <v>1200</v>
      </c>
      <c r="N23" s="16">
        <v>1200</v>
      </c>
      <c r="O23" s="16">
        <v>1200</v>
      </c>
      <c r="P23" s="16">
        <v>1200</v>
      </c>
      <c r="Q23" s="17">
        <f>SUM(E23:P23)</f>
        <v>14400</v>
      </c>
      <c r="S23" s="16"/>
      <c r="T23" s="16"/>
      <c r="U23" s="16"/>
      <c r="V23" s="16"/>
      <c r="W23" s="16"/>
      <c r="X23" s="16"/>
      <c r="Y23" s="16"/>
      <c r="Z23" s="16"/>
      <c r="AA23" s="16"/>
      <c r="AB23" s="16"/>
      <c r="AC23" s="16"/>
      <c r="AD23" s="16"/>
      <c r="AE23" s="17">
        <f>SUM(S23:AD23)</f>
        <v>0</v>
      </c>
      <c r="AG23" s="16"/>
      <c r="AH23" s="16"/>
      <c r="AI23" s="16"/>
      <c r="AJ23" s="16"/>
      <c r="AK23" s="16"/>
      <c r="AL23" s="16"/>
      <c r="AM23" s="16"/>
      <c r="AN23" s="16"/>
      <c r="AO23" s="16"/>
      <c r="AP23" s="16"/>
      <c r="AQ23" s="16"/>
      <c r="AR23" s="16"/>
      <c r="AS23" s="17">
        <f>SUM(AG23:AR23)</f>
        <v>0</v>
      </c>
      <c r="AU23" s="16"/>
      <c r="AV23" s="16"/>
      <c r="AW23" s="16"/>
      <c r="AX23" s="16"/>
      <c r="AY23" s="16"/>
      <c r="AZ23" s="16"/>
      <c r="BA23" s="16"/>
      <c r="BB23" s="16"/>
      <c r="BC23" s="16"/>
      <c r="BD23" s="16"/>
      <c r="BE23" s="16"/>
      <c r="BF23" s="16"/>
      <c r="BG23" s="17">
        <f>SUM(AU23:BF23)</f>
        <v>0</v>
      </c>
      <c r="BI23" s="16"/>
      <c r="BJ23" s="16"/>
      <c r="BK23" s="16"/>
      <c r="BL23" s="16"/>
      <c r="BM23" s="16"/>
      <c r="BN23" s="16"/>
      <c r="BO23" s="16"/>
      <c r="BP23" s="16"/>
      <c r="BQ23" s="16"/>
      <c r="BR23" s="16"/>
      <c r="BS23" s="16"/>
      <c r="BT23" s="16"/>
      <c r="BU23" s="17">
        <f>SUM(BI23:BT23)</f>
        <v>0</v>
      </c>
      <c r="BW23" s="16"/>
      <c r="BX23" s="16"/>
      <c r="BY23" s="16"/>
      <c r="BZ23" s="16"/>
      <c r="CA23" s="16"/>
      <c r="CB23" s="16"/>
      <c r="CC23" s="16"/>
      <c r="CD23" s="16"/>
      <c r="CE23" s="16"/>
      <c r="CF23" s="16"/>
      <c r="CG23" s="16"/>
      <c r="CH23" s="16"/>
      <c r="CI23" s="17">
        <f>SUM(BW23:CH23)</f>
        <v>0</v>
      </c>
      <c r="CK23" s="16"/>
      <c r="CL23" s="16"/>
      <c r="CM23" s="16"/>
      <c r="CN23" s="16"/>
      <c r="CO23" s="16"/>
      <c r="CP23" s="16"/>
      <c r="CQ23" s="16"/>
      <c r="CR23" s="16"/>
      <c r="CS23" s="16"/>
      <c r="CT23" s="16"/>
      <c r="CU23" s="16"/>
      <c r="CV23" s="16"/>
      <c r="CW23" s="17">
        <f>SUM(CK23:CV23)</f>
        <v>0</v>
      </c>
      <c r="CY23" s="16"/>
      <c r="CZ23" s="16"/>
      <c r="DA23" s="16"/>
      <c r="DB23" s="16"/>
      <c r="DC23" s="16"/>
      <c r="DD23" s="16"/>
      <c r="DE23" s="16"/>
      <c r="DF23" s="16"/>
      <c r="DG23" s="16"/>
      <c r="DH23" s="16"/>
      <c r="DI23" s="16"/>
      <c r="DJ23" s="16"/>
      <c r="DK23" s="17">
        <f>SUM(CY23:DJ23)</f>
        <v>0</v>
      </c>
      <c r="DM23" s="16"/>
      <c r="DN23" s="16"/>
      <c r="DO23" s="16"/>
      <c r="DP23" s="16"/>
      <c r="DQ23" s="16"/>
      <c r="DR23" s="16"/>
      <c r="DS23" s="16"/>
      <c r="DT23" s="16"/>
      <c r="DU23" s="16"/>
      <c r="DV23" s="16"/>
      <c r="DW23" s="16"/>
      <c r="DX23" s="16"/>
      <c r="DY23" s="17">
        <f>SUM(DM23:DX23)</f>
        <v>0</v>
      </c>
      <c r="EA23" s="16"/>
      <c r="EB23" s="16"/>
      <c r="EC23" s="16"/>
      <c r="ED23" s="16"/>
      <c r="EE23" s="16"/>
      <c r="EF23" s="16"/>
      <c r="EG23" s="16"/>
      <c r="EH23" s="16"/>
      <c r="EI23" s="16"/>
      <c r="EJ23" s="16"/>
      <c r="EK23" s="16"/>
      <c r="EL23" s="16"/>
      <c r="EM23" s="17">
        <f>SUM(EA23:EL23)</f>
        <v>0</v>
      </c>
    </row>
    <row r="24" spans="3:143" x14ac:dyDescent="0.3">
      <c r="C24" s="18" t="s">
        <v>13</v>
      </c>
      <c r="E24" s="16">
        <v>300</v>
      </c>
      <c r="F24" s="16">
        <v>300</v>
      </c>
      <c r="G24" s="16">
        <v>300</v>
      </c>
      <c r="H24" s="16">
        <v>300</v>
      </c>
      <c r="I24" s="16">
        <v>300</v>
      </c>
      <c r="J24" s="16">
        <v>300</v>
      </c>
      <c r="K24" s="16">
        <v>300</v>
      </c>
      <c r="L24" s="16">
        <v>300</v>
      </c>
      <c r="M24" s="16">
        <v>300</v>
      </c>
      <c r="N24" s="16">
        <v>300</v>
      </c>
      <c r="O24" s="16">
        <v>300</v>
      </c>
      <c r="P24" s="16">
        <v>300</v>
      </c>
      <c r="Q24" s="17">
        <f t="shared" ref="Q24:Q32" si="20">SUM(E24:P24)</f>
        <v>3600</v>
      </c>
      <c r="S24" s="16"/>
      <c r="T24" s="16"/>
      <c r="U24" s="16"/>
      <c r="V24" s="16"/>
      <c r="W24" s="16"/>
      <c r="X24" s="16"/>
      <c r="Y24" s="16"/>
      <c r="Z24" s="16"/>
      <c r="AA24" s="16"/>
      <c r="AB24" s="16"/>
      <c r="AC24" s="16"/>
      <c r="AD24" s="16"/>
      <c r="AE24" s="17">
        <f t="shared" ref="AE24:AE32" si="21">SUM(S24:AD24)</f>
        <v>0</v>
      </c>
      <c r="AG24" s="16"/>
      <c r="AH24" s="16"/>
      <c r="AI24" s="16"/>
      <c r="AJ24" s="16"/>
      <c r="AK24" s="16"/>
      <c r="AL24" s="16"/>
      <c r="AM24" s="16"/>
      <c r="AN24" s="16"/>
      <c r="AO24" s="16"/>
      <c r="AP24" s="16"/>
      <c r="AQ24" s="16"/>
      <c r="AR24" s="16"/>
      <c r="AS24" s="17">
        <f t="shared" ref="AS24:AS32" si="22">SUM(AG24:AR24)</f>
        <v>0</v>
      </c>
      <c r="AU24" s="16"/>
      <c r="AV24" s="16"/>
      <c r="AW24" s="16"/>
      <c r="AX24" s="16"/>
      <c r="AY24" s="16"/>
      <c r="AZ24" s="16"/>
      <c r="BA24" s="16"/>
      <c r="BB24" s="16"/>
      <c r="BC24" s="16"/>
      <c r="BD24" s="16"/>
      <c r="BE24" s="16"/>
      <c r="BF24" s="16"/>
      <c r="BG24" s="17">
        <f t="shared" ref="BG24:BG32" si="23">SUM(AU24:BF24)</f>
        <v>0</v>
      </c>
      <c r="BI24" s="16"/>
      <c r="BJ24" s="16"/>
      <c r="BK24" s="16"/>
      <c r="BL24" s="16"/>
      <c r="BM24" s="16"/>
      <c r="BN24" s="16"/>
      <c r="BO24" s="16"/>
      <c r="BP24" s="16"/>
      <c r="BQ24" s="16"/>
      <c r="BR24" s="16"/>
      <c r="BS24" s="16"/>
      <c r="BT24" s="16"/>
      <c r="BU24" s="17">
        <f t="shared" ref="BU24:BU32" si="24">SUM(BI24:BT24)</f>
        <v>0</v>
      </c>
      <c r="BW24" s="16"/>
      <c r="BX24" s="16"/>
      <c r="BY24" s="16"/>
      <c r="BZ24" s="16"/>
      <c r="CA24" s="16"/>
      <c r="CB24" s="16"/>
      <c r="CC24" s="16"/>
      <c r="CD24" s="16"/>
      <c r="CE24" s="16"/>
      <c r="CF24" s="16"/>
      <c r="CG24" s="16"/>
      <c r="CH24" s="16"/>
      <c r="CI24" s="17">
        <f t="shared" ref="CI24:CI32" si="25">SUM(BW24:CH24)</f>
        <v>0</v>
      </c>
      <c r="CK24" s="16"/>
      <c r="CL24" s="16"/>
      <c r="CM24" s="16"/>
      <c r="CN24" s="16"/>
      <c r="CO24" s="16"/>
      <c r="CP24" s="16"/>
      <c r="CQ24" s="16"/>
      <c r="CR24" s="16"/>
      <c r="CS24" s="16"/>
      <c r="CT24" s="16"/>
      <c r="CU24" s="16"/>
      <c r="CV24" s="16"/>
      <c r="CW24" s="17">
        <f t="shared" ref="CW24:CW32" si="26">SUM(CK24:CV24)</f>
        <v>0</v>
      </c>
      <c r="CY24" s="16"/>
      <c r="CZ24" s="16"/>
      <c r="DA24" s="16"/>
      <c r="DB24" s="16"/>
      <c r="DC24" s="16"/>
      <c r="DD24" s="16"/>
      <c r="DE24" s="16"/>
      <c r="DF24" s="16"/>
      <c r="DG24" s="16"/>
      <c r="DH24" s="16"/>
      <c r="DI24" s="16"/>
      <c r="DJ24" s="16"/>
      <c r="DK24" s="17">
        <f t="shared" ref="DK24:DK32" si="27">SUM(CY24:DJ24)</f>
        <v>0</v>
      </c>
      <c r="DM24" s="16"/>
      <c r="DN24" s="16"/>
      <c r="DO24" s="16"/>
      <c r="DP24" s="16"/>
      <c r="DQ24" s="16"/>
      <c r="DR24" s="16"/>
      <c r="DS24" s="16"/>
      <c r="DT24" s="16"/>
      <c r="DU24" s="16"/>
      <c r="DV24" s="16"/>
      <c r="DW24" s="16"/>
      <c r="DX24" s="16"/>
      <c r="DY24" s="17">
        <f t="shared" ref="DY24:DY32" si="28">SUM(DM24:DX24)</f>
        <v>0</v>
      </c>
      <c r="EA24" s="16"/>
      <c r="EB24" s="16"/>
      <c r="EC24" s="16"/>
      <c r="ED24" s="16"/>
      <c r="EE24" s="16"/>
      <c r="EF24" s="16"/>
      <c r="EG24" s="16"/>
      <c r="EH24" s="16"/>
      <c r="EI24" s="16"/>
      <c r="EJ24" s="16"/>
      <c r="EK24" s="16"/>
      <c r="EL24" s="16"/>
      <c r="EM24" s="17">
        <f t="shared" ref="EM24:EM32" si="29">SUM(EA24:EL24)</f>
        <v>0</v>
      </c>
    </row>
    <row r="25" spans="3:143" x14ac:dyDescent="0.3">
      <c r="C25" s="18" t="s">
        <v>14</v>
      </c>
      <c r="E25" s="16">
        <v>350</v>
      </c>
      <c r="F25" s="16">
        <v>350</v>
      </c>
      <c r="G25" s="16">
        <v>350</v>
      </c>
      <c r="H25" s="16">
        <v>350</v>
      </c>
      <c r="I25" s="16">
        <v>350</v>
      </c>
      <c r="J25" s="16">
        <v>350</v>
      </c>
      <c r="K25" s="16">
        <v>350</v>
      </c>
      <c r="L25" s="16">
        <v>350</v>
      </c>
      <c r="M25" s="16">
        <v>350</v>
      </c>
      <c r="N25" s="16">
        <v>350</v>
      </c>
      <c r="O25" s="16">
        <v>350</v>
      </c>
      <c r="P25" s="16">
        <v>350</v>
      </c>
      <c r="Q25" s="17">
        <f t="shared" si="20"/>
        <v>4200</v>
      </c>
      <c r="S25" s="16"/>
      <c r="T25" s="16"/>
      <c r="U25" s="16"/>
      <c r="V25" s="16"/>
      <c r="W25" s="16"/>
      <c r="X25" s="16"/>
      <c r="Y25" s="16"/>
      <c r="Z25" s="16"/>
      <c r="AA25" s="16"/>
      <c r="AB25" s="16"/>
      <c r="AC25" s="16"/>
      <c r="AD25" s="16"/>
      <c r="AE25" s="17">
        <f t="shared" si="21"/>
        <v>0</v>
      </c>
      <c r="AG25" s="16"/>
      <c r="AH25" s="16"/>
      <c r="AI25" s="16"/>
      <c r="AJ25" s="16"/>
      <c r="AK25" s="16"/>
      <c r="AL25" s="16"/>
      <c r="AM25" s="16"/>
      <c r="AN25" s="16"/>
      <c r="AO25" s="16"/>
      <c r="AP25" s="16"/>
      <c r="AQ25" s="16"/>
      <c r="AR25" s="16"/>
      <c r="AS25" s="17">
        <f t="shared" si="22"/>
        <v>0</v>
      </c>
      <c r="AU25" s="16"/>
      <c r="AV25" s="16"/>
      <c r="AW25" s="16"/>
      <c r="AX25" s="16"/>
      <c r="AY25" s="16"/>
      <c r="AZ25" s="16"/>
      <c r="BA25" s="16"/>
      <c r="BB25" s="16"/>
      <c r="BC25" s="16"/>
      <c r="BD25" s="16"/>
      <c r="BE25" s="16"/>
      <c r="BF25" s="16"/>
      <c r="BG25" s="17">
        <f t="shared" si="23"/>
        <v>0</v>
      </c>
      <c r="BI25" s="16"/>
      <c r="BJ25" s="16"/>
      <c r="BK25" s="16"/>
      <c r="BL25" s="16"/>
      <c r="BM25" s="16"/>
      <c r="BN25" s="16"/>
      <c r="BO25" s="16"/>
      <c r="BP25" s="16"/>
      <c r="BQ25" s="16"/>
      <c r="BR25" s="16"/>
      <c r="BS25" s="16"/>
      <c r="BT25" s="16"/>
      <c r="BU25" s="17">
        <f t="shared" si="24"/>
        <v>0</v>
      </c>
      <c r="BW25" s="16"/>
      <c r="BX25" s="16"/>
      <c r="BY25" s="16"/>
      <c r="BZ25" s="16"/>
      <c r="CA25" s="16"/>
      <c r="CB25" s="16"/>
      <c r="CC25" s="16"/>
      <c r="CD25" s="16"/>
      <c r="CE25" s="16"/>
      <c r="CF25" s="16"/>
      <c r="CG25" s="16"/>
      <c r="CH25" s="16"/>
      <c r="CI25" s="17">
        <f t="shared" si="25"/>
        <v>0</v>
      </c>
      <c r="CK25" s="16"/>
      <c r="CL25" s="16"/>
      <c r="CM25" s="16"/>
      <c r="CN25" s="16"/>
      <c r="CO25" s="16"/>
      <c r="CP25" s="16"/>
      <c r="CQ25" s="16"/>
      <c r="CR25" s="16"/>
      <c r="CS25" s="16"/>
      <c r="CT25" s="16"/>
      <c r="CU25" s="16"/>
      <c r="CV25" s="16"/>
      <c r="CW25" s="17">
        <f t="shared" si="26"/>
        <v>0</v>
      </c>
      <c r="CY25" s="16"/>
      <c r="CZ25" s="16"/>
      <c r="DA25" s="16"/>
      <c r="DB25" s="16"/>
      <c r="DC25" s="16"/>
      <c r="DD25" s="16"/>
      <c r="DE25" s="16"/>
      <c r="DF25" s="16"/>
      <c r="DG25" s="16"/>
      <c r="DH25" s="16"/>
      <c r="DI25" s="16"/>
      <c r="DJ25" s="16"/>
      <c r="DK25" s="17">
        <f t="shared" si="27"/>
        <v>0</v>
      </c>
      <c r="DM25" s="16"/>
      <c r="DN25" s="16"/>
      <c r="DO25" s="16"/>
      <c r="DP25" s="16"/>
      <c r="DQ25" s="16"/>
      <c r="DR25" s="16"/>
      <c r="DS25" s="16"/>
      <c r="DT25" s="16"/>
      <c r="DU25" s="16"/>
      <c r="DV25" s="16"/>
      <c r="DW25" s="16"/>
      <c r="DX25" s="16"/>
      <c r="DY25" s="17">
        <f t="shared" si="28"/>
        <v>0</v>
      </c>
      <c r="EA25" s="16"/>
      <c r="EB25" s="16"/>
      <c r="EC25" s="16"/>
      <c r="ED25" s="16"/>
      <c r="EE25" s="16"/>
      <c r="EF25" s="16"/>
      <c r="EG25" s="16"/>
      <c r="EH25" s="16"/>
      <c r="EI25" s="16"/>
      <c r="EJ25" s="16"/>
      <c r="EK25" s="16"/>
      <c r="EL25" s="16"/>
      <c r="EM25" s="17">
        <f t="shared" si="29"/>
        <v>0</v>
      </c>
    </row>
    <row r="26" spans="3:143" x14ac:dyDescent="0.3">
      <c r="C26" s="18" t="s">
        <v>20</v>
      </c>
      <c r="E26" s="16">
        <v>300</v>
      </c>
      <c r="F26" s="16">
        <v>300</v>
      </c>
      <c r="G26" s="16">
        <v>300</v>
      </c>
      <c r="H26" s="16">
        <v>300</v>
      </c>
      <c r="I26" s="16">
        <v>300</v>
      </c>
      <c r="J26" s="16">
        <v>300</v>
      </c>
      <c r="K26" s="16">
        <v>300</v>
      </c>
      <c r="L26" s="16">
        <v>300</v>
      </c>
      <c r="M26" s="16">
        <v>300</v>
      </c>
      <c r="N26" s="16">
        <v>300</v>
      </c>
      <c r="O26" s="16">
        <v>300</v>
      </c>
      <c r="P26" s="16">
        <v>300</v>
      </c>
      <c r="Q26" s="17">
        <f t="shared" si="20"/>
        <v>3600</v>
      </c>
      <c r="S26" s="16"/>
      <c r="T26" s="16"/>
      <c r="U26" s="16"/>
      <c r="V26" s="16"/>
      <c r="W26" s="16"/>
      <c r="X26" s="16"/>
      <c r="Y26" s="16"/>
      <c r="Z26" s="16"/>
      <c r="AA26" s="16"/>
      <c r="AB26" s="16"/>
      <c r="AC26" s="16"/>
      <c r="AD26" s="16"/>
      <c r="AE26" s="17">
        <f t="shared" si="21"/>
        <v>0</v>
      </c>
      <c r="AG26" s="16"/>
      <c r="AH26" s="16"/>
      <c r="AI26" s="16"/>
      <c r="AJ26" s="16"/>
      <c r="AK26" s="16"/>
      <c r="AL26" s="16"/>
      <c r="AM26" s="16"/>
      <c r="AN26" s="16"/>
      <c r="AO26" s="16"/>
      <c r="AP26" s="16"/>
      <c r="AQ26" s="16"/>
      <c r="AR26" s="16"/>
      <c r="AS26" s="17">
        <f t="shared" si="22"/>
        <v>0</v>
      </c>
      <c r="AU26" s="16"/>
      <c r="AV26" s="16"/>
      <c r="AW26" s="16"/>
      <c r="AX26" s="16"/>
      <c r="AY26" s="16"/>
      <c r="AZ26" s="16"/>
      <c r="BA26" s="16"/>
      <c r="BB26" s="16"/>
      <c r="BC26" s="16"/>
      <c r="BD26" s="16"/>
      <c r="BE26" s="16"/>
      <c r="BF26" s="16"/>
      <c r="BG26" s="17">
        <f t="shared" si="23"/>
        <v>0</v>
      </c>
      <c r="BI26" s="16"/>
      <c r="BJ26" s="16"/>
      <c r="BK26" s="16"/>
      <c r="BL26" s="16"/>
      <c r="BM26" s="16"/>
      <c r="BN26" s="16"/>
      <c r="BO26" s="16"/>
      <c r="BP26" s="16"/>
      <c r="BQ26" s="16"/>
      <c r="BR26" s="16"/>
      <c r="BS26" s="16"/>
      <c r="BT26" s="16"/>
      <c r="BU26" s="17">
        <f t="shared" si="24"/>
        <v>0</v>
      </c>
      <c r="BW26" s="16"/>
      <c r="BX26" s="16"/>
      <c r="BY26" s="16"/>
      <c r="BZ26" s="16"/>
      <c r="CA26" s="16"/>
      <c r="CB26" s="16"/>
      <c r="CC26" s="16"/>
      <c r="CD26" s="16"/>
      <c r="CE26" s="16"/>
      <c r="CF26" s="16"/>
      <c r="CG26" s="16"/>
      <c r="CH26" s="16"/>
      <c r="CI26" s="17">
        <f t="shared" si="25"/>
        <v>0</v>
      </c>
      <c r="CK26" s="16"/>
      <c r="CL26" s="16"/>
      <c r="CM26" s="16"/>
      <c r="CN26" s="16"/>
      <c r="CO26" s="16"/>
      <c r="CP26" s="16"/>
      <c r="CQ26" s="16"/>
      <c r="CR26" s="16"/>
      <c r="CS26" s="16"/>
      <c r="CT26" s="16"/>
      <c r="CU26" s="16"/>
      <c r="CV26" s="16"/>
      <c r="CW26" s="17">
        <f t="shared" si="26"/>
        <v>0</v>
      </c>
      <c r="CY26" s="16"/>
      <c r="CZ26" s="16"/>
      <c r="DA26" s="16"/>
      <c r="DB26" s="16"/>
      <c r="DC26" s="16"/>
      <c r="DD26" s="16"/>
      <c r="DE26" s="16"/>
      <c r="DF26" s="16"/>
      <c r="DG26" s="16"/>
      <c r="DH26" s="16"/>
      <c r="DI26" s="16"/>
      <c r="DJ26" s="16"/>
      <c r="DK26" s="17">
        <f t="shared" si="27"/>
        <v>0</v>
      </c>
      <c r="DM26" s="16"/>
      <c r="DN26" s="16"/>
      <c r="DO26" s="16"/>
      <c r="DP26" s="16"/>
      <c r="DQ26" s="16"/>
      <c r="DR26" s="16"/>
      <c r="DS26" s="16"/>
      <c r="DT26" s="16"/>
      <c r="DU26" s="16"/>
      <c r="DV26" s="16"/>
      <c r="DW26" s="16"/>
      <c r="DX26" s="16"/>
      <c r="DY26" s="17">
        <f t="shared" si="28"/>
        <v>0</v>
      </c>
      <c r="EA26" s="16"/>
      <c r="EB26" s="16"/>
      <c r="EC26" s="16"/>
      <c r="ED26" s="16"/>
      <c r="EE26" s="16"/>
      <c r="EF26" s="16"/>
      <c r="EG26" s="16"/>
      <c r="EH26" s="16"/>
      <c r="EI26" s="16"/>
      <c r="EJ26" s="16"/>
      <c r="EK26" s="16"/>
      <c r="EL26" s="16"/>
      <c r="EM26" s="17">
        <f t="shared" si="29"/>
        <v>0</v>
      </c>
    </row>
    <row r="27" spans="3:143" x14ac:dyDescent="0.3">
      <c r="C27" s="18" t="s">
        <v>21</v>
      </c>
      <c r="E27" s="16">
        <v>0</v>
      </c>
      <c r="F27" s="16">
        <v>0</v>
      </c>
      <c r="G27" s="16">
        <v>150</v>
      </c>
      <c r="H27" s="16">
        <v>0</v>
      </c>
      <c r="I27" s="16">
        <v>0</v>
      </c>
      <c r="J27" s="16">
        <v>150</v>
      </c>
      <c r="K27" s="16">
        <v>0</v>
      </c>
      <c r="L27" s="16">
        <v>0</v>
      </c>
      <c r="M27" s="16">
        <v>150</v>
      </c>
      <c r="N27" s="16">
        <v>0</v>
      </c>
      <c r="O27" s="16">
        <v>0</v>
      </c>
      <c r="P27" s="16">
        <v>150</v>
      </c>
      <c r="Q27" s="17">
        <f t="shared" si="20"/>
        <v>600</v>
      </c>
      <c r="S27" s="16"/>
      <c r="T27" s="16"/>
      <c r="U27" s="16"/>
      <c r="V27" s="16"/>
      <c r="W27" s="16"/>
      <c r="X27" s="16"/>
      <c r="Y27" s="16"/>
      <c r="Z27" s="16"/>
      <c r="AA27" s="16"/>
      <c r="AB27" s="16"/>
      <c r="AC27" s="16"/>
      <c r="AD27" s="16"/>
      <c r="AE27" s="17">
        <f t="shared" si="21"/>
        <v>0</v>
      </c>
      <c r="AG27" s="16"/>
      <c r="AH27" s="16"/>
      <c r="AI27" s="16"/>
      <c r="AJ27" s="16"/>
      <c r="AK27" s="16"/>
      <c r="AL27" s="16"/>
      <c r="AM27" s="16"/>
      <c r="AN27" s="16"/>
      <c r="AO27" s="16"/>
      <c r="AP27" s="16"/>
      <c r="AQ27" s="16"/>
      <c r="AR27" s="16"/>
      <c r="AS27" s="17">
        <f t="shared" si="22"/>
        <v>0</v>
      </c>
      <c r="AU27" s="16"/>
      <c r="AV27" s="16"/>
      <c r="AW27" s="16"/>
      <c r="AX27" s="16"/>
      <c r="AY27" s="16"/>
      <c r="AZ27" s="16"/>
      <c r="BA27" s="16"/>
      <c r="BB27" s="16"/>
      <c r="BC27" s="16"/>
      <c r="BD27" s="16"/>
      <c r="BE27" s="16"/>
      <c r="BF27" s="16"/>
      <c r="BG27" s="17">
        <f t="shared" si="23"/>
        <v>0</v>
      </c>
      <c r="BI27" s="16"/>
      <c r="BJ27" s="16"/>
      <c r="BK27" s="16"/>
      <c r="BL27" s="16"/>
      <c r="BM27" s="16"/>
      <c r="BN27" s="16"/>
      <c r="BO27" s="16"/>
      <c r="BP27" s="16"/>
      <c r="BQ27" s="16"/>
      <c r="BR27" s="16"/>
      <c r="BS27" s="16"/>
      <c r="BT27" s="16"/>
      <c r="BU27" s="17">
        <f t="shared" si="24"/>
        <v>0</v>
      </c>
      <c r="BW27" s="16"/>
      <c r="BX27" s="16"/>
      <c r="BY27" s="16"/>
      <c r="BZ27" s="16"/>
      <c r="CA27" s="16"/>
      <c r="CB27" s="16"/>
      <c r="CC27" s="16"/>
      <c r="CD27" s="16"/>
      <c r="CE27" s="16"/>
      <c r="CF27" s="16"/>
      <c r="CG27" s="16"/>
      <c r="CH27" s="16"/>
      <c r="CI27" s="17">
        <f t="shared" si="25"/>
        <v>0</v>
      </c>
      <c r="CK27" s="16"/>
      <c r="CL27" s="16"/>
      <c r="CM27" s="16"/>
      <c r="CN27" s="16"/>
      <c r="CO27" s="16"/>
      <c r="CP27" s="16"/>
      <c r="CQ27" s="16"/>
      <c r="CR27" s="16"/>
      <c r="CS27" s="16"/>
      <c r="CT27" s="16"/>
      <c r="CU27" s="16"/>
      <c r="CV27" s="16"/>
      <c r="CW27" s="17">
        <f t="shared" si="26"/>
        <v>0</v>
      </c>
      <c r="CY27" s="16"/>
      <c r="CZ27" s="16"/>
      <c r="DA27" s="16"/>
      <c r="DB27" s="16"/>
      <c r="DC27" s="16"/>
      <c r="DD27" s="16"/>
      <c r="DE27" s="16"/>
      <c r="DF27" s="16"/>
      <c r="DG27" s="16"/>
      <c r="DH27" s="16"/>
      <c r="DI27" s="16"/>
      <c r="DJ27" s="16"/>
      <c r="DK27" s="17">
        <f t="shared" si="27"/>
        <v>0</v>
      </c>
      <c r="DM27" s="16"/>
      <c r="DN27" s="16"/>
      <c r="DO27" s="16"/>
      <c r="DP27" s="16"/>
      <c r="DQ27" s="16"/>
      <c r="DR27" s="16"/>
      <c r="DS27" s="16"/>
      <c r="DT27" s="16"/>
      <c r="DU27" s="16"/>
      <c r="DV27" s="16"/>
      <c r="DW27" s="16"/>
      <c r="DX27" s="16"/>
      <c r="DY27" s="17">
        <f t="shared" si="28"/>
        <v>0</v>
      </c>
      <c r="EA27" s="16"/>
      <c r="EB27" s="16"/>
      <c r="EC27" s="16"/>
      <c r="ED27" s="16"/>
      <c r="EE27" s="16"/>
      <c r="EF27" s="16"/>
      <c r="EG27" s="16"/>
      <c r="EH27" s="16"/>
      <c r="EI27" s="16"/>
      <c r="EJ27" s="16"/>
      <c r="EK27" s="16"/>
      <c r="EL27" s="16"/>
      <c r="EM27" s="17">
        <f t="shared" si="29"/>
        <v>0</v>
      </c>
    </row>
    <row r="28" spans="3:143" x14ac:dyDescent="0.3">
      <c r="C28" s="18" t="s">
        <v>25</v>
      </c>
      <c r="E28" s="16">
        <v>200</v>
      </c>
      <c r="F28" s="16">
        <v>200</v>
      </c>
      <c r="G28" s="16">
        <v>200</v>
      </c>
      <c r="H28" s="16">
        <v>200</v>
      </c>
      <c r="I28" s="16">
        <v>200</v>
      </c>
      <c r="J28" s="16">
        <v>200</v>
      </c>
      <c r="K28" s="16">
        <v>200</v>
      </c>
      <c r="L28" s="16">
        <v>200</v>
      </c>
      <c r="M28" s="16">
        <v>200</v>
      </c>
      <c r="N28" s="16">
        <v>200</v>
      </c>
      <c r="O28" s="16">
        <v>200</v>
      </c>
      <c r="P28" s="16">
        <v>200</v>
      </c>
      <c r="Q28" s="17">
        <f t="shared" si="20"/>
        <v>2400</v>
      </c>
      <c r="S28" s="16"/>
      <c r="T28" s="16"/>
      <c r="U28" s="16"/>
      <c r="V28" s="16"/>
      <c r="W28" s="16"/>
      <c r="X28" s="16"/>
      <c r="Y28" s="16"/>
      <c r="Z28" s="16"/>
      <c r="AA28" s="16"/>
      <c r="AB28" s="16"/>
      <c r="AC28" s="16"/>
      <c r="AD28" s="16"/>
      <c r="AE28" s="17"/>
      <c r="AG28" s="16"/>
      <c r="AH28" s="16"/>
      <c r="AI28" s="16"/>
      <c r="AJ28" s="16"/>
      <c r="AK28" s="16"/>
      <c r="AL28" s="16"/>
      <c r="AM28" s="16"/>
      <c r="AN28" s="16"/>
      <c r="AO28" s="16"/>
      <c r="AP28" s="16"/>
      <c r="AQ28" s="16"/>
      <c r="AR28" s="16"/>
      <c r="AS28" s="17"/>
      <c r="AU28" s="16"/>
      <c r="AV28" s="16"/>
      <c r="AW28" s="16"/>
      <c r="AX28" s="16"/>
      <c r="AY28" s="16"/>
      <c r="AZ28" s="16"/>
      <c r="BA28" s="16"/>
      <c r="BB28" s="16"/>
      <c r="BC28" s="16"/>
      <c r="BD28" s="16"/>
      <c r="BE28" s="16"/>
      <c r="BF28" s="16"/>
      <c r="BG28" s="17"/>
      <c r="BI28" s="16"/>
      <c r="BJ28" s="16"/>
      <c r="BK28" s="16"/>
      <c r="BL28" s="16"/>
      <c r="BM28" s="16"/>
      <c r="BN28" s="16"/>
      <c r="BO28" s="16"/>
      <c r="BP28" s="16"/>
      <c r="BQ28" s="16"/>
      <c r="BR28" s="16"/>
      <c r="BS28" s="16"/>
      <c r="BT28" s="16"/>
      <c r="BU28" s="17"/>
      <c r="BW28" s="16"/>
      <c r="BX28" s="16"/>
      <c r="BY28" s="16"/>
      <c r="BZ28" s="16"/>
      <c r="CA28" s="16"/>
      <c r="CB28" s="16"/>
      <c r="CC28" s="16"/>
      <c r="CD28" s="16"/>
      <c r="CE28" s="16"/>
      <c r="CF28" s="16"/>
      <c r="CG28" s="16"/>
      <c r="CH28" s="16"/>
      <c r="CI28" s="17"/>
      <c r="CK28" s="16"/>
      <c r="CL28" s="16"/>
      <c r="CM28" s="16"/>
      <c r="CN28" s="16"/>
      <c r="CO28" s="16"/>
      <c r="CP28" s="16"/>
      <c r="CQ28" s="16"/>
      <c r="CR28" s="16"/>
      <c r="CS28" s="16"/>
      <c r="CT28" s="16"/>
      <c r="CU28" s="16"/>
      <c r="CV28" s="16"/>
      <c r="CW28" s="17"/>
      <c r="CY28" s="16"/>
      <c r="CZ28" s="16"/>
      <c r="DA28" s="16"/>
      <c r="DB28" s="16"/>
      <c r="DC28" s="16"/>
      <c r="DD28" s="16"/>
      <c r="DE28" s="16"/>
      <c r="DF28" s="16"/>
      <c r="DG28" s="16"/>
      <c r="DH28" s="16"/>
      <c r="DI28" s="16"/>
      <c r="DJ28" s="16"/>
      <c r="DK28" s="17"/>
      <c r="DM28" s="16"/>
      <c r="DN28" s="16"/>
      <c r="DO28" s="16"/>
      <c r="DP28" s="16"/>
      <c r="DQ28" s="16"/>
      <c r="DR28" s="16"/>
      <c r="DS28" s="16"/>
      <c r="DT28" s="16"/>
      <c r="DU28" s="16"/>
      <c r="DV28" s="16"/>
      <c r="DW28" s="16"/>
      <c r="DX28" s="16"/>
      <c r="DY28" s="17"/>
      <c r="EA28" s="16"/>
      <c r="EB28" s="16"/>
      <c r="EC28" s="16"/>
      <c r="ED28" s="16"/>
      <c r="EE28" s="16"/>
      <c r="EF28" s="16"/>
      <c r="EG28" s="16"/>
      <c r="EH28" s="16"/>
      <c r="EI28" s="16"/>
      <c r="EJ28" s="16"/>
      <c r="EK28" s="16"/>
      <c r="EL28" s="16"/>
      <c r="EM28" s="17"/>
    </row>
    <row r="29" spans="3:143" x14ac:dyDescent="0.3">
      <c r="C29" s="18" t="s">
        <v>22</v>
      </c>
      <c r="E29" s="16">
        <v>200</v>
      </c>
      <c r="F29" s="16">
        <v>200</v>
      </c>
      <c r="G29" s="16">
        <v>200</v>
      </c>
      <c r="H29" s="16">
        <v>200</v>
      </c>
      <c r="I29" s="16">
        <v>200</v>
      </c>
      <c r="J29" s="16">
        <v>200</v>
      </c>
      <c r="K29" s="16">
        <v>200</v>
      </c>
      <c r="L29" s="16">
        <v>200</v>
      </c>
      <c r="M29" s="16">
        <v>200</v>
      </c>
      <c r="N29" s="16">
        <v>200</v>
      </c>
      <c r="O29" s="16">
        <v>200</v>
      </c>
      <c r="P29" s="16">
        <v>200</v>
      </c>
      <c r="Q29" s="17">
        <f t="shared" si="20"/>
        <v>2400</v>
      </c>
      <c r="S29" s="16"/>
      <c r="T29" s="16"/>
      <c r="U29" s="16"/>
      <c r="V29" s="16"/>
      <c r="W29" s="16"/>
      <c r="X29" s="16"/>
      <c r="Y29" s="16"/>
      <c r="Z29" s="16"/>
      <c r="AA29" s="16"/>
      <c r="AB29" s="16"/>
      <c r="AC29" s="16"/>
      <c r="AD29" s="16"/>
      <c r="AE29" s="17"/>
      <c r="AG29" s="16"/>
      <c r="AH29" s="16"/>
      <c r="AI29" s="16"/>
      <c r="AJ29" s="16"/>
      <c r="AK29" s="16"/>
      <c r="AL29" s="16"/>
      <c r="AM29" s="16"/>
      <c r="AN29" s="16"/>
      <c r="AO29" s="16"/>
      <c r="AP29" s="16"/>
      <c r="AQ29" s="16"/>
      <c r="AR29" s="16"/>
      <c r="AS29" s="17"/>
      <c r="AU29" s="16"/>
      <c r="AV29" s="16"/>
      <c r="AW29" s="16"/>
      <c r="AX29" s="16"/>
      <c r="AY29" s="16"/>
      <c r="AZ29" s="16"/>
      <c r="BA29" s="16"/>
      <c r="BB29" s="16"/>
      <c r="BC29" s="16"/>
      <c r="BD29" s="16"/>
      <c r="BE29" s="16"/>
      <c r="BF29" s="16"/>
      <c r="BG29" s="17"/>
      <c r="BI29" s="16"/>
      <c r="BJ29" s="16"/>
      <c r="BK29" s="16"/>
      <c r="BL29" s="16"/>
      <c r="BM29" s="16"/>
      <c r="BN29" s="16"/>
      <c r="BO29" s="16"/>
      <c r="BP29" s="16"/>
      <c r="BQ29" s="16"/>
      <c r="BR29" s="16"/>
      <c r="BS29" s="16"/>
      <c r="BT29" s="16"/>
      <c r="BU29" s="17"/>
      <c r="BW29" s="16"/>
      <c r="BX29" s="16"/>
      <c r="BY29" s="16"/>
      <c r="BZ29" s="16"/>
      <c r="CA29" s="16"/>
      <c r="CB29" s="16"/>
      <c r="CC29" s="16"/>
      <c r="CD29" s="16"/>
      <c r="CE29" s="16"/>
      <c r="CF29" s="16"/>
      <c r="CG29" s="16"/>
      <c r="CH29" s="16"/>
      <c r="CI29" s="17"/>
      <c r="CK29" s="16"/>
      <c r="CL29" s="16"/>
      <c r="CM29" s="16"/>
      <c r="CN29" s="16"/>
      <c r="CO29" s="16"/>
      <c r="CP29" s="16"/>
      <c r="CQ29" s="16"/>
      <c r="CR29" s="16"/>
      <c r="CS29" s="16"/>
      <c r="CT29" s="16"/>
      <c r="CU29" s="16"/>
      <c r="CV29" s="16"/>
      <c r="CW29" s="17"/>
      <c r="CY29" s="16"/>
      <c r="CZ29" s="16"/>
      <c r="DA29" s="16"/>
      <c r="DB29" s="16"/>
      <c r="DC29" s="16"/>
      <c r="DD29" s="16"/>
      <c r="DE29" s="16"/>
      <c r="DF29" s="16"/>
      <c r="DG29" s="16"/>
      <c r="DH29" s="16"/>
      <c r="DI29" s="16"/>
      <c r="DJ29" s="16"/>
      <c r="DK29" s="17"/>
      <c r="DM29" s="16"/>
      <c r="DN29" s="16"/>
      <c r="DO29" s="16"/>
      <c r="DP29" s="16"/>
      <c r="DQ29" s="16"/>
      <c r="DR29" s="16"/>
      <c r="DS29" s="16"/>
      <c r="DT29" s="16"/>
      <c r="DU29" s="16"/>
      <c r="DV29" s="16"/>
      <c r="DW29" s="16"/>
      <c r="DX29" s="16"/>
      <c r="DY29" s="17"/>
      <c r="EA29" s="16"/>
      <c r="EB29" s="16"/>
      <c r="EC29" s="16"/>
      <c r="ED29" s="16"/>
      <c r="EE29" s="16"/>
      <c r="EF29" s="16"/>
      <c r="EG29" s="16"/>
      <c r="EH29" s="16"/>
      <c r="EI29" s="16"/>
      <c r="EJ29" s="16"/>
      <c r="EK29" s="16"/>
      <c r="EL29" s="16"/>
      <c r="EM29" s="17"/>
    </row>
    <row r="30" spans="3:143" x14ac:dyDescent="0.3">
      <c r="C30" s="18" t="s">
        <v>23</v>
      </c>
      <c r="E30" s="16">
        <v>50</v>
      </c>
      <c r="F30" s="16">
        <v>50</v>
      </c>
      <c r="G30" s="16">
        <v>50</v>
      </c>
      <c r="H30" s="16">
        <v>50</v>
      </c>
      <c r="I30" s="16">
        <v>50</v>
      </c>
      <c r="J30" s="16">
        <v>50</v>
      </c>
      <c r="K30" s="16">
        <v>50</v>
      </c>
      <c r="L30" s="16">
        <v>50</v>
      </c>
      <c r="M30" s="16">
        <v>50</v>
      </c>
      <c r="N30" s="16">
        <v>50</v>
      </c>
      <c r="O30" s="16">
        <v>50</v>
      </c>
      <c r="P30" s="16">
        <v>50</v>
      </c>
      <c r="Q30" s="17">
        <f t="shared" si="20"/>
        <v>600</v>
      </c>
      <c r="S30" s="16"/>
      <c r="T30" s="16"/>
      <c r="U30" s="16"/>
      <c r="V30" s="16"/>
      <c r="W30" s="16"/>
      <c r="X30" s="16"/>
      <c r="Y30" s="16"/>
      <c r="Z30" s="16"/>
      <c r="AA30" s="16"/>
      <c r="AB30" s="16"/>
      <c r="AC30" s="16"/>
      <c r="AD30" s="16"/>
      <c r="AE30" s="17"/>
      <c r="AG30" s="16"/>
      <c r="AH30" s="16"/>
      <c r="AI30" s="16"/>
      <c r="AJ30" s="16"/>
      <c r="AK30" s="16"/>
      <c r="AL30" s="16"/>
      <c r="AM30" s="16"/>
      <c r="AN30" s="16"/>
      <c r="AO30" s="16"/>
      <c r="AP30" s="16"/>
      <c r="AQ30" s="16"/>
      <c r="AR30" s="16"/>
      <c r="AS30" s="17"/>
      <c r="AU30" s="16"/>
      <c r="AV30" s="16"/>
      <c r="AW30" s="16"/>
      <c r="AX30" s="16"/>
      <c r="AY30" s="16"/>
      <c r="AZ30" s="16"/>
      <c r="BA30" s="16"/>
      <c r="BB30" s="16"/>
      <c r="BC30" s="16"/>
      <c r="BD30" s="16"/>
      <c r="BE30" s="16"/>
      <c r="BF30" s="16"/>
      <c r="BG30" s="17"/>
      <c r="BI30" s="16"/>
      <c r="BJ30" s="16"/>
      <c r="BK30" s="16"/>
      <c r="BL30" s="16"/>
      <c r="BM30" s="16"/>
      <c r="BN30" s="16"/>
      <c r="BO30" s="16"/>
      <c r="BP30" s="16"/>
      <c r="BQ30" s="16"/>
      <c r="BR30" s="16"/>
      <c r="BS30" s="16"/>
      <c r="BT30" s="16"/>
      <c r="BU30" s="17"/>
      <c r="BW30" s="16"/>
      <c r="BX30" s="16"/>
      <c r="BY30" s="16"/>
      <c r="BZ30" s="16"/>
      <c r="CA30" s="16"/>
      <c r="CB30" s="16"/>
      <c r="CC30" s="16"/>
      <c r="CD30" s="16"/>
      <c r="CE30" s="16"/>
      <c r="CF30" s="16"/>
      <c r="CG30" s="16"/>
      <c r="CH30" s="16"/>
      <c r="CI30" s="17"/>
      <c r="CK30" s="16"/>
      <c r="CL30" s="16"/>
      <c r="CM30" s="16"/>
      <c r="CN30" s="16"/>
      <c r="CO30" s="16"/>
      <c r="CP30" s="16"/>
      <c r="CQ30" s="16"/>
      <c r="CR30" s="16"/>
      <c r="CS30" s="16"/>
      <c r="CT30" s="16"/>
      <c r="CU30" s="16"/>
      <c r="CV30" s="16"/>
      <c r="CW30" s="17"/>
      <c r="CY30" s="16"/>
      <c r="CZ30" s="16"/>
      <c r="DA30" s="16"/>
      <c r="DB30" s="16"/>
      <c r="DC30" s="16"/>
      <c r="DD30" s="16"/>
      <c r="DE30" s="16"/>
      <c r="DF30" s="16"/>
      <c r="DG30" s="16"/>
      <c r="DH30" s="16"/>
      <c r="DI30" s="16"/>
      <c r="DJ30" s="16"/>
      <c r="DK30" s="17"/>
      <c r="DM30" s="16"/>
      <c r="DN30" s="16"/>
      <c r="DO30" s="16"/>
      <c r="DP30" s="16"/>
      <c r="DQ30" s="16"/>
      <c r="DR30" s="16"/>
      <c r="DS30" s="16"/>
      <c r="DT30" s="16"/>
      <c r="DU30" s="16"/>
      <c r="DV30" s="16"/>
      <c r="DW30" s="16"/>
      <c r="DX30" s="16"/>
      <c r="DY30" s="17"/>
      <c r="EA30" s="16"/>
      <c r="EB30" s="16"/>
      <c r="EC30" s="16"/>
      <c r="ED30" s="16"/>
      <c r="EE30" s="16"/>
      <c r="EF30" s="16"/>
      <c r="EG30" s="16"/>
      <c r="EH30" s="16"/>
      <c r="EI30" s="16"/>
      <c r="EJ30" s="16"/>
      <c r="EK30" s="16"/>
      <c r="EL30" s="16"/>
      <c r="EM30" s="17"/>
    </row>
    <row r="31" spans="3:143" x14ac:dyDescent="0.3">
      <c r="C31" s="18" t="s">
        <v>24</v>
      </c>
      <c r="E31" s="16">
        <v>300</v>
      </c>
      <c r="F31" s="16">
        <v>300</v>
      </c>
      <c r="G31" s="16">
        <v>300</v>
      </c>
      <c r="H31" s="16">
        <v>1200</v>
      </c>
      <c r="I31" s="16">
        <v>300</v>
      </c>
      <c r="J31" s="16">
        <v>300</v>
      </c>
      <c r="K31" s="16">
        <v>300</v>
      </c>
      <c r="L31" s="16">
        <v>1500</v>
      </c>
      <c r="M31" s="16">
        <v>300</v>
      </c>
      <c r="N31" s="16">
        <v>300</v>
      </c>
      <c r="O31" s="16">
        <v>300</v>
      </c>
      <c r="P31" s="16">
        <v>600</v>
      </c>
      <c r="Q31" s="17">
        <f t="shared" si="20"/>
        <v>6000</v>
      </c>
      <c r="S31" s="16"/>
      <c r="T31" s="16"/>
      <c r="U31" s="16"/>
      <c r="V31" s="16"/>
      <c r="W31" s="16"/>
      <c r="X31" s="16"/>
      <c r="Y31" s="16"/>
      <c r="Z31" s="16"/>
      <c r="AA31" s="16"/>
      <c r="AB31" s="16"/>
      <c r="AC31" s="16"/>
      <c r="AD31" s="16"/>
      <c r="AE31" s="17"/>
      <c r="AG31" s="16"/>
      <c r="AH31" s="16"/>
      <c r="AI31" s="16"/>
      <c r="AJ31" s="16"/>
      <c r="AK31" s="16"/>
      <c r="AL31" s="16"/>
      <c r="AM31" s="16"/>
      <c r="AN31" s="16"/>
      <c r="AO31" s="16"/>
      <c r="AP31" s="16"/>
      <c r="AQ31" s="16"/>
      <c r="AR31" s="16"/>
      <c r="AS31" s="17"/>
      <c r="AU31" s="16"/>
      <c r="AV31" s="16"/>
      <c r="AW31" s="16"/>
      <c r="AX31" s="16"/>
      <c r="AY31" s="16"/>
      <c r="AZ31" s="16"/>
      <c r="BA31" s="16"/>
      <c r="BB31" s="16"/>
      <c r="BC31" s="16"/>
      <c r="BD31" s="16"/>
      <c r="BE31" s="16"/>
      <c r="BF31" s="16"/>
      <c r="BG31" s="17"/>
      <c r="BI31" s="16"/>
      <c r="BJ31" s="16"/>
      <c r="BK31" s="16"/>
      <c r="BL31" s="16"/>
      <c r="BM31" s="16"/>
      <c r="BN31" s="16"/>
      <c r="BO31" s="16"/>
      <c r="BP31" s="16"/>
      <c r="BQ31" s="16"/>
      <c r="BR31" s="16"/>
      <c r="BS31" s="16"/>
      <c r="BT31" s="16"/>
      <c r="BU31" s="17"/>
      <c r="BW31" s="16"/>
      <c r="BX31" s="16"/>
      <c r="BY31" s="16"/>
      <c r="BZ31" s="16"/>
      <c r="CA31" s="16"/>
      <c r="CB31" s="16"/>
      <c r="CC31" s="16"/>
      <c r="CD31" s="16"/>
      <c r="CE31" s="16"/>
      <c r="CF31" s="16"/>
      <c r="CG31" s="16"/>
      <c r="CH31" s="16"/>
      <c r="CI31" s="17"/>
      <c r="CK31" s="16"/>
      <c r="CL31" s="16"/>
      <c r="CM31" s="16"/>
      <c r="CN31" s="16"/>
      <c r="CO31" s="16"/>
      <c r="CP31" s="16"/>
      <c r="CQ31" s="16"/>
      <c r="CR31" s="16"/>
      <c r="CS31" s="16"/>
      <c r="CT31" s="16"/>
      <c r="CU31" s="16"/>
      <c r="CV31" s="16"/>
      <c r="CW31" s="17"/>
      <c r="CY31" s="16"/>
      <c r="CZ31" s="16"/>
      <c r="DA31" s="16"/>
      <c r="DB31" s="16"/>
      <c r="DC31" s="16"/>
      <c r="DD31" s="16"/>
      <c r="DE31" s="16"/>
      <c r="DF31" s="16"/>
      <c r="DG31" s="16"/>
      <c r="DH31" s="16"/>
      <c r="DI31" s="16"/>
      <c r="DJ31" s="16"/>
      <c r="DK31" s="17"/>
      <c r="DM31" s="16"/>
      <c r="DN31" s="16"/>
      <c r="DO31" s="16"/>
      <c r="DP31" s="16"/>
      <c r="DQ31" s="16"/>
      <c r="DR31" s="16"/>
      <c r="DS31" s="16"/>
      <c r="DT31" s="16"/>
      <c r="DU31" s="16"/>
      <c r="DV31" s="16"/>
      <c r="DW31" s="16"/>
      <c r="DX31" s="16"/>
      <c r="DY31" s="17"/>
      <c r="EA31" s="16"/>
      <c r="EB31" s="16"/>
      <c r="EC31" s="16"/>
      <c r="ED31" s="16"/>
      <c r="EE31" s="16"/>
      <c r="EF31" s="16"/>
      <c r="EG31" s="16"/>
      <c r="EH31" s="16"/>
      <c r="EI31" s="16"/>
      <c r="EJ31" s="16"/>
      <c r="EK31" s="16"/>
      <c r="EL31" s="16"/>
      <c r="EM31" s="17"/>
    </row>
    <row r="32" spans="3:143" hidden="1" x14ac:dyDescent="0.3">
      <c r="C32" s="18" t="s">
        <v>15</v>
      </c>
      <c r="E32" s="16"/>
      <c r="F32" s="16"/>
      <c r="G32" s="16"/>
      <c r="H32" s="16"/>
      <c r="I32" s="16"/>
      <c r="J32" s="16"/>
      <c r="K32" s="16"/>
      <c r="L32" s="16"/>
      <c r="M32" s="16"/>
      <c r="N32" s="16"/>
      <c r="O32" s="16"/>
      <c r="P32" s="16"/>
      <c r="Q32" s="17">
        <f t="shared" si="20"/>
        <v>0</v>
      </c>
      <c r="S32" s="16"/>
      <c r="T32" s="16"/>
      <c r="U32" s="16"/>
      <c r="V32" s="16"/>
      <c r="W32" s="16"/>
      <c r="X32" s="16"/>
      <c r="Y32" s="16"/>
      <c r="Z32" s="16"/>
      <c r="AA32" s="16"/>
      <c r="AB32" s="16"/>
      <c r="AC32" s="16"/>
      <c r="AD32" s="16"/>
      <c r="AE32" s="17">
        <f t="shared" si="21"/>
        <v>0</v>
      </c>
      <c r="AG32" s="16"/>
      <c r="AH32" s="16"/>
      <c r="AI32" s="16"/>
      <c r="AJ32" s="16"/>
      <c r="AK32" s="16"/>
      <c r="AL32" s="16"/>
      <c r="AM32" s="16"/>
      <c r="AN32" s="16"/>
      <c r="AO32" s="16"/>
      <c r="AP32" s="16"/>
      <c r="AQ32" s="16"/>
      <c r="AR32" s="16"/>
      <c r="AS32" s="17">
        <f t="shared" si="22"/>
        <v>0</v>
      </c>
      <c r="AU32" s="16"/>
      <c r="AV32" s="16"/>
      <c r="AW32" s="16"/>
      <c r="AX32" s="16"/>
      <c r="AY32" s="16"/>
      <c r="AZ32" s="16"/>
      <c r="BA32" s="16"/>
      <c r="BB32" s="16"/>
      <c r="BC32" s="16"/>
      <c r="BD32" s="16"/>
      <c r="BE32" s="16"/>
      <c r="BF32" s="16"/>
      <c r="BG32" s="17">
        <f t="shared" si="23"/>
        <v>0</v>
      </c>
      <c r="BI32" s="16"/>
      <c r="BJ32" s="16"/>
      <c r="BK32" s="16"/>
      <c r="BL32" s="16"/>
      <c r="BM32" s="16"/>
      <c r="BN32" s="16"/>
      <c r="BO32" s="16"/>
      <c r="BP32" s="16"/>
      <c r="BQ32" s="16"/>
      <c r="BR32" s="16"/>
      <c r="BS32" s="16"/>
      <c r="BT32" s="16"/>
      <c r="BU32" s="17">
        <f t="shared" si="24"/>
        <v>0</v>
      </c>
      <c r="BW32" s="16"/>
      <c r="BX32" s="16"/>
      <c r="BY32" s="16"/>
      <c r="BZ32" s="16"/>
      <c r="CA32" s="16"/>
      <c r="CB32" s="16"/>
      <c r="CC32" s="16"/>
      <c r="CD32" s="16"/>
      <c r="CE32" s="16"/>
      <c r="CF32" s="16"/>
      <c r="CG32" s="16"/>
      <c r="CH32" s="16"/>
      <c r="CI32" s="17">
        <f t="shared" si="25"/>
        <v>0</v>
      </c>
      <c r="CK32" s="16"/>
      <c r="CL32" s="16"/>
      <c r="CM32" s="16"/>
      <c r="CN32" s="16"/>
      <c r="CO32" s="16"/>
      <c r="CP32" s="16"/>
      <c r="CQ32" s="16"/>
      <c r="CR32" s="16"/>
      <c r="CS32" s="16"/>
      <c r="CT32" s="16"/>
      <c r="CU32" s="16"/>
      <c r="CV32" s="16"/>
      <c r="CW32" s="17">
        <f t="shared" si="26"/>
        <v>0</v>
      </c>
      <c r="CY32" s="16"/>
      <c r="CZ32" s="16"/>
      <c r="DA32" s="16"/>
      <c r="DB32" s="16"/>
      <c r="DC32" s="16"/>
      <c r="DD32" s="16"/>
      <c r="DE32" s="16"/>
      <c r="DF32" s="16"/>
      <c r="DG32" s="16"/>
      <c r="DH32" s="16"/>
      <c r="DI32" s="16"/>
      <c r="DJ32" s="16"/>
      <c r="DK32" s="17">
        <f t="shared" si="27"/>
        <v>0</v>
      </c>
      <c r="DM32" s="16"/>
      <c r="DN32" s="16"/>
      <c r="DO32" s="16"/>
      <c r="DP32" s="16"/>
      <c r="DQ32" s="16"/>
      <c r="DR32" s="16"/>
      <c r="DS32" s="16"/>
      <c r="DT32" s="16"/>
      <c r="DU32" s="16"/>
      <c r="DV32" s="16"/>
      <c r="DW32" s="16"/>
      <c r="DX32" s="16"/>
      <c r="DY32" s="17">
        <f t="shared" si="28"/>
        <v>0</v>
      </c>
      <c r="EA32" s="16"/>
      <c r="EB32" s="16"/>
      <c r="EC32" s="16"/>
      <c r="ED32" s="16"/>
      <c r="EE32" s="16"/>
      <c r="EF32" s="16"/>
      <c r="EG32" s="16"/>
      <c r="EH32" s="16"/>
      <c r="EI32" s="16"/>
      <c r="EJ32" s="16"/>
      <c r="EK32" s="16"/>
      <c r="EL32" s="16"/>
      <c r="EM32" s="17">
        <f t="shared" si="29"/>
        <v>0</v>
      </c>
    </row>
    <row r="33" spans="3:143" x14ac:dyDescent="0.3">
      <c r="C33" s="9" t="s">
        <v>7</v>
      </c>
      <c r="E33" s="15" cm="1">
        <f t="array" aca="1" ref="E33" ca="1">SUM(INDIRECT(ADDRESS(expenses_min_row,COLUMN())&amp;":"&amp;ADDRESS(expenses_max_row,COLUMN())))</f>
        <v>2900</v>
      </c>
      <c r="F33" s="15" cm="1">
        <f t="array" aca="1" ref="F33" ca="1">SUM(INDIRECT(ADDRESS(expenses_min_row,COLUMN())&amp;":"&amp;ADDRESS(expenses_max_row,COLUMN())))</f>
        <v>2900</v>
      </c>
      <c r="G33" s="15" cm="1">
        <f t="array" aca="1" ref="G33" ca="1">SUM(INDIRECT(ADDRESS(expenses_min_row,COLUMN())&amp;":"&amp;ADDRESS(expenses_max_row,COLUMN())))</f>
        <v>3050</v>
      </c>
      <c r="H33" s="15" cm="1">
        <f t="array" aca="1" ref="H33" ca="1">SUM(INDIRECT(ADDRESS(expenses_min_row,COLUMN())&amp;":"&amp;ADDRESS(expenses_max_row,COLUMN())))</f>
        <v>3800</v>
      </c>
      <c r="I33" s="15" cm="1">
        <f t="array" aca="1" ref="I33" ca="1">SUM(INDIRECT(ADDRESS(expenses_min_row,COLUMN())&amp;":"&amp;ADDRESS(expenses_max_row,COLUMN())))</f>
        <v>2900</v>
      </c>
      <c r="J33" s="15" cm="1">
        <f t="array" aca="1" ref="J33" ca="1">SUM(INDIRECT(ADDRESS(expenses_min_row,COLUMN())&amp;":"&amp;ADDRESS(expenses_max_row,COLUMN())))</f>
        <v>3050</v>
      </c>
      <c r="K33" s="15" cm="1">
        <f t="array" aca="1" ref="K33" ca="1">SUM(INDIRECT(ADDRESS(expenses_min_row,COLUMN())&amp;":"&amp;ADDRESS(expenses_max_row,COLUMN())))</f>
        <v>2900</v>
      </c>
      <c r="L33" s="15" cm="1">
        <f t="array" aca="1" ref="L33" ca="1">SUM(INDIRECT(ADDRESS(expenses_min_row,COLUMN())&amp;":"&amp;ADDRESS(expenses_max_row,COLUMN())))</f>
        <v>4100</v>
      </c>
      <c r="M33" s="15" cm="1">
        <f t="array" aca="1" ref="M33" ca="1">SUM(INDIRECT(ADDRESS(expenses_min_row,COLUMN())&amp;":"&amp;ADDRESS(expenses_max_row,COLUMN())))</f>
        <v>3050</v>
      </c>
      <c r="N33" s="15" cm="1">
        <f t="array" aca="1" ref="N33" ca="1">SUM(INDIRECT(ADDRESS(expenses_min_row,COLUMN())&amp;":"&amp;ADDRESS(expenses_max_row,COLUMN())))</f>
        <v>2900</v>
      </c>
      <c r="O33" s="15" cm="1">
        <f t="array" aca="1" ref="O33" ca="1">SUM(INDIRECT(ADDRESS(expenses_min_row,COLUMN())&amp;":"&amp;ADDRESS(expenses_max_row,COLUMN())))</f>
        <v>2900</v>
      </c>
      <c r="P33" s="15" cm="1">
        <f t="array" aca="1" ref="P33" ca="1">SUM(INDIRECT(ADDRESS(expenses_min_row,COLUMN())&amp;":"&amp;ADDRESS(expenses_max_row,COLUMN())))</f>
        <v>3350</v>
      </c>
      <c r="Q33" s="15" cm="1">
        <f t="array" aca="1" ref="Q33" ca="1">SUM(INDIRECT(ADDRESS(expenses_min_row,COLUMN())&amp;":"&amp;ADDRESS(expenses_max_row,COLUMN())))</f>
        <v>37800</v>
      </c>
      <c r="S33" s="15" cm="1">
        <f t="array" aca="1" ref="S33" ca="1">SUM(INDIRECT(ADDRESS(expenses_min_row,COLUMN())&amp;":"&amp;ADDRESS(expenses_max_row,COLUMN())))</f>
        <v>0</v>
      </c>
      <c r="T33" s="15" cm="1">
        <f t="array" aca="1" ref="T33" ca="1">SUM(INDIRECT(ADDRESS(expenses_min_row,COLUMN())&amp;":"&amp;ADDRESS(expenses_max_row,COLUMN())))</f>
        <v>0</v>
      </c>
      <c r="U33" s="15" cm="1">
        <f t="array" aca="1" ref="U33" ca="1">SUM(INDIRECT(ADDRESS(expenses_min_row,COLUMN())&amp;":"&amp;ADDRESS(expenses_max_row,COLUMN())))</f>
        <v>0</v>
      </c>
      <c r="V33" s="15" cm="1">
        <f t="array" aca="1" ref="V33" ca="1">SUM(INDIRECT(ADDRESS(expenses_min_row,COLUMN())&amp;":"&amp;ADDRESS(expenses_max_row,COLUMN())))</f>
        <v>0</v>
      </c>
      <c r="W33" s="15" cm="1">
        <f t="array" aca="1" ref="W33" ca="1">SUM(INDIRECT(ADDRESS(expenses_min_row,COLUMN())&amp;":"&amp;ADDRESS(expenses_max_row,COLUMN())))</f>
        <v>0</v>
      </c>
      <c r="X33" s="15" cm="1">
        <f t="array" aca="1" ref="X33" ca="1">SUM(INDIRECT(ADDRESS(expenses_min_row,COLUMN())&amp;":"&amp;ADDRESS(expenses_max_row,COLUMN())))</f>
        <v>0</v>
      </c>
      <c r="Y33" s="15" cm="1">
        <f t="array" aca="1" ref="Y33" ca="1">SUM(INDIRECT(ADDRESS(expenses_min_row,COLUMN())&amp;":"&amp;ADDRESS(expenses_max_row,COLUMN())))</f>
        <v>0</v>
      </c>
      <c r="Z33" s="15" cm="1">
        <f t="array" aca="1" ref="Z33" ca="1">SUM(INDIRECT(ADDRESS(expenses_min_row,COLUMN())&amp;":"&amp;ADDRESS(expenses_max_row,COLUMN())))</f>
        <v>0</v>
      </c>
      <c r="AA33" s="15" cm="1">
        <f t="array" aca="1" ref="AA33" ca="1">SUM(INDIRECT(ADDRESS(expenses_min_row,COLUMN())&amp;":"&amp;ADDRESS(expenses_max_row,COLUMN())))</f>
        <v>0</v>
      </c>
      <c r="AB33" s="15" cm="1">
        <f t="array" aca="1" ref="AB33" ca="1">SUM(INDIRECT(ADDRESS(expenses_min_row,COLUMN())&amp;":"&amp;ADDRESS(expenses_max_row,COLUMN())))</f>
        <v>0</v>
      </c>
      <c r="AC33" s="15" cm="1">
        <f t="array" aca="1" ref="AC33" ca="1">SUM(INDIRECT(ADDRESS(expenses_min_row,COLUMN())&amp;":"&amp;ADDRESS(expenses_max_row,COLUMN())))</f>
        <v>0</v>
      </c>
      <c r="AD33" s="15" cm="1">
        <f t="array" aca="1" ref="AD33" ca="1">SUM(INDIRECT(ADDRESS(expenses_min_row,COLUMN())&amp;":"&amp;ADDRESS(expenses_max_row,COLUMN())))</f>
        <v>0</v>
      </c>
      <c r="AE33" s="15" cm="1">
        <f t="array" aca="1" ref="AE33" ca="1">SUM(INDIRECT(ADDRESS(expenses_min_row,COLUMN())&amp;":"&amp;ADDRESS(expenses_max_row,COLUMN())))</f>
        <v>0</v>
      </c>
      <c r="AG33" s="15" cm="1">
        <f t="array" aca="1" ref="AG33" ca="1">SUM(INDIRECT(ADDRESS(expenses_min_row,COLUMN())&amp;":"&amp;ADDRESS(expenses_max_row,COLUMN())))</f>
        <v>0</v>
      </c>
      <c r="AH33" s="15" cm="1">
        <f t="array" aca="1" ref="AH33" ca="1">SUM(INDIRECT(ADDRESS(expenses_min_row,COLUMN())&amp;":"&amp;ADDRESS(expenses_max_row,COLUMN())))</f>
        <v>0</v>
      </c>
      <c r="AI33" s="15" cm="1">
        <f t="array" aca="1" ref="AI33" ca="1">SUM(INDIRECT(ADDRESS(expenses_min_row,COLUMN())&amp;":"&amp;ADDRESS(expenses_max_row,COLUMN())))</f>
        <v>0</v>
      </c>
      <c r="AJ33" s="15" cm="1">
        <f t="array" aca="1" ref="AJ33" ca="1">SUM(INDIRECT(ADDRESS(expenses_min_row,COLUMN())&amp;":"&amp;ADDRESS(expenses_max_row,COLUMN())))</f>
        <v>0</v>
      </c>
      <c r="AK33" s="15" cm="1">
        <f t="array" aca="1" ref="AK33" ca="1">SUM(INDIRECT(ADDRESS(expenses_min_row,COLUMN())&amp;":"&amp;ADDRESS(expenses_max_row,COLUMN())))</f>
        <v>0</v>
      </c>
      <c r="AL33" s="15" cm="1">
        <f t="array" aca="1" ref="AL33" ca="1">SUM(INDIRECT(ADDRESS(expenses_min_row,COLUMN())&amp;":"&amp;ADDRESS(expenses_max_row,COLUMN())))</f>
        <v>0</v>
      </c>
      <c r="AM33" s="15" cm="1">
        <f t="array" aca="1" ref="AM33" ca="1">SUM(INDIRECT(ADDRESS(expenses_min_row,COLUMN())&amp;":"&amp;ADDRESS(expenses_max_row,COLUMN())))</f>
        <v>0</v>
      </c>
      <c r="AN33" s="15" cm="1">
        <f t="array" aca="1" ref="AN33" ca="1">SUM(INDIRECT(ADDRESS(expenses_min_row,COLUMN())&amp;":"&amp;ADDRESS(expenses_max_row,COLUMN())))</f>
        <v>0</v>
      </c>
      <c r="AO33" s="15" cm="1">
        <f t="array" aca="1" ref="AO33" ca="1">SUM(INDIRECT(ADDRESS(expenses_min_row,COLUMN())&amp;":"&amp;ADDRESS(expenses_max_row,COLUMN())))</f>
        <v>0</v>
      </c>
      <c r="AP33" s="15" cm="1">
        <f t="array" aca="1" ref="AP33" ca="1">SUM(INDIRECT(ADDRESS(expenses_min_row,COLUMN())&amp;":"&amp;ADDRESS(expenses_max_row,COLUMN())))</f>
        <v>0</v>
      </c>
      <c r="AQ33" s="15" cm="1">
        <f t="array" aca="1" ref="AQ33" ca="1">SUM(INDIRECT(ADDRESS(expenses_min_row,COLUMN())&amp;":"&amp;ADDRESS(expenses_max_row,COLUMN())))</f>
        <v>0</v>
      </c>
      <c r="AR33" s="15" cm="1">
        <f t="array" aca="1" ref="AR33" ca="1">SUM(INDIRECT(ADDRESS(expenses_min_row,COLUMN())&amp;":"&amp;ADDRESS(expenses_max_row,COLUMN())))</f>
        <v>0</v>
      </c>
      <c r="AS33" s="15" cm="1">
        <f t="array" aca="1" ref="AS33" ca="1">SUM(INDIRECT(ADDRESS(expenses_min_row,COLUMN())&amp;":"&amp;ADDRESS(expenses_max_row,COLUMN())))</f>
        <v>0</v>
      </c>
      <c r="AU33" s="15" cm="1">
        <f t="array" aca="1" ref="AU33" ca="1">SUM(INDIRECT(ADDRESS(expenses_min_row,COLUMN())&amp;":"&amp;ADDRESS(expenses_max_row,COLUMN())))</f>
        <v>0</v>
      </c>
      <c r="AV33" s="15" cm="1">
        <f t="array" aca="1" ref="AV33" ca="1">SUM(INDIRECT(ADDRESS(expenses_min_row,COLUMN())&amp;":"&amp;ADDRESS(expenses_max_row,COLUMN())))</f>
        <v>0</v>
      </c>
      <c r="AW33" s="15" cm="1">
        <f t="array" aca="1" ref="AW33" ca="1">SUM(INDIRECT(ADDRESS(expenses_min_row,COLUMN())&amp;":"&amp;ADDRESS(expenses_max_row,COLUMN())))</f>
        <v>0</v>
      </c>
      <c r="AX33" s="15" cm="1">
        <f t="array" aca="1" ref="AX33" ca="1">SUM(INDIRECT(ADDRESS(expenses_min_row,COLUMN())&amp;":"&amp;ADDRESS(expenses_max_row,COLUMN())))</f>
        <v>0</v>
      </c>
      <c r="AY33" s="15" cm="1">
        <f t="array" aca="1" ref="AY33" ca="1">SUM(INDIRECT(ADDRESS(expenses_min_row,COLUMN())&amp;":"&amp;ADDRESS(expenses_max_row,COLUMN())))</f>
        <v>0</v>
      </c>
      <c r="AZ33" s="15" cm="1">
        <f t="array" aca="1" ref="AZ33" ca="1">SUM(INDIRECT(ADDRESS(expenses_min_row,COLUMN())&amp;":"&amp;ADDRESS(expenses_max_row,COLUMN())))</f>
        <v>0</v>
      </c>
      <c r="BA33" s="15" cm="1">
        <f t="array" aca="1" ref="BA33" ca="1">SUM(INDIRECT(ADDRESS(expenses_min_row,COLUMN())&amp;":"&amp;ADDRESS(expenses_max_row,COLUMN())))</f>
        <v>0</v>
      </c>
      <c r="BB33" s="15" cm="1">
        <f t="array" aca="1" ref="BB33" ca="1">SUM(INDIRECT(ADDRESS(expenses_min_row,COLUMN())&amp;":"&amp;ADDRESS(expenses_max_row,COLUMN())))</f>
        <v>0</v>
      </c>
      <c r="BC33" s="15" cm="1">
        <f t="array" aca="1" ref="BC33" ca="1">SUM(INDIRECT(ADDRESS(expenses_min_row,COLUMN())&amp;":"&amp;ADDRESS(expenses_max_row,COLUMN())))</f>
        <v>0</v>
      </c>
      <c r="BD33" s="15" cm="1">
        <f t="array" aca="1" ref="BD33" ca="1">SUM(INDIRECT(ADDRESS(expenses_min_row,COLUMN())&amp;":"&amp;ADDRESS(expenses_max_row,COLUMN())))</f>
        <v>0</v>
      </c>
      <c r="BE33" s="15" cm="1">
        <f t="array" aca="1" ref="BE33" ca="1">SUM(INDIRECT(ADDRESS(expenses_min_row,COLUMN())&amp;":"&amp;ADDRESS(expenses_max_row,COLUMN())))</f>
        <v>0</v>
      </c>
      <c r="BF33" s="15" cm="1">
        <f t="array" aca="1" ref="BF33" ca="1">SUM(INDIRECT(ADDRESS(expenses_min_row,COLUMN())&amp;":"&amp;ADDRESS(expenses_max_row,COLUMN())))</f>
        <v>0</v>
      </c>
      <c r="BG33" s="15" cm="1">
        <f t="array" aca="1" ref="BG33" ca="1">SUM(INDIRECT(ADDRESS(expenses_min_row,COLUMN())&amp;":"&amp;ADDRESS(expenses_max_row,COLUMN())))</f>
        <v>0</v>
      </c>
      <c r="BI33" s="15" cm="1">
        <f t="array" aca="1" ref="BI33" ca="1">SUM(INDIRECT(ADDRESS(expenses_min_row,COLUMN())&amp;":"&amp;ADDRESS(expenses_max_row,COLUMN())))</f>
        <v>0</v>
      </c>
      <c r="BJ33" s="15" cm="1">
        <f t="array" aca="1" ref="BJ33" ca="1">SUM(INDIRECT(ADDRESS(expenses_min_row,COLUMN())&amp;":"&amp;ADDRESS(expenses_max_row,COLUMN())))</f>
        <v>0</v>
      </c>
      <c r="BK33" s="15" cm="1">
        <f t="array" aca="1" ref="BK33" ca="1">SUM(INDIRECT(ADDRESS(expenses_min_row,COLUMN())&amp;":"&amp;ADDRESS(expenses_max_row,COLUMN())))</f>
        <v>0</v>
      </c>
      <c r="BL33" s="15" cm="1">
        <f t="array" aca="1" ref="BL33" ca="1">SUM(INDIRECT(ADDRESS(expenses_min_row,COLUMN())&amp;":"&amp;ADDRESS(expenses_max_row,COLUMN())))</f>
        <v>0</v>
      </c>
      <c r="BM33" s="15" cm="1">
        <f t="array" aca="1" ref="BM33" ca="1">SUM(INDIRECT(ADDRESS(expenses_min_row,COLUMN())&amp;":"&amp;ADDRESS(expenses_max_row,COLUMN())))</f>
        <v>0</v>
      </c>
      <c r="BN33" s="15" cm="1">
        <f t="array" aca="1" ref="BN33" ca="1">SUM(INDIRECT(ADDRESS(expenses_min_row,COLUMN())&amp;":"&amp;ADDRESS(expenses_max_row,COLUMN())))</f>
        <v>0</v>
      </c>
      <c r="BO33" s="15" cm="1">
        <f t="array" aca="1" ref="BO33" ca="1">SUM(INDIRECT(ADDRESS(expenses_min_row,COLUMN())&amp;":"&amp;ADDRESS(expenses_max_row,COLUMN())))</f>
        <v>0</v>
      </c>
      <c r="BP33" s="15" cm="1">
        <f t="array" aca="1" ref="BP33" ca="1">SUM(INDIRECT(ADDRESS(expenses_min_row,COLUMN())&amp;":"&amp;ADDRESS(expenses_max_row,COLUMN())))</f>
        <v>0</v>
      </c>
      <c r="BQ33" s="15" cm="1">
        <f t="array" aca="1" ref="BQ33" ca="1">SUM(INDIRECT(ADDRESS(expenses_min_row,COLUMN())&amp;":"&amp;ADDRESS(expenses_max_row,COLUMN())))</f>
        <v>0</v>
      </c>
      <c r="BR33" s="15" cm="1">
        <f t="array" aca="1" ref="BR33" ca="1">SUM(INDIRECT(ADDRESS(expenses_min_row,COLUMN())&amp;":"&amp;ADDRESS(expenses_max_row,COLUMN())))</f>
        <v>0</v>
      </c>
      <c r="BS33" s="15" cm="1">
        <f t="array" aca="1" ref="BS33" ca="1">SUM(INDIRECT(ADDRESS(expenses_min_row,COLUMN())&amp;":"&amp;ADDRESS(expenses_max_row,COLUMN())))</f>
        <v>0</v>
      </c>
      <c r="BT33" s="15" cm="1">
        <f t="array" aca="1" ref="BT33" ca="1">SUM(INDIRECT(ADDRESS(expenses_min_row,COLUMN())&amp;":"&amp;ADDRESS(expenses_max_row,COLUMN())))</f>
        <v>0</v>
      </c>
      <c r="BU33" s="15" cm="1">
        <f t="array" aca="1" ref="BU33" ca="1">SUM(INDIRECT(ADDRESS(expenses_min_row,COLUMN())&amp;":"&amp;ADDRESS(expenses_max_row,COLUMN())))</f>
        <v>0</v>
      </c>
      <c r="BW33" s="15" cm="1">
        <f t="array" aca="1" ref="BW33" ca="1">SUM(INDIRECT(ADDRESS(expenses_min_row,COLUMN())&amp;":"&amp;ADDRESS(expenses_max_row,COLUMN())))</f>
        <v>0</v>
      </c>
      <c r="BX33" s="15" cm="1">
        <f t="array" aca="1" ref="BX33" ca="1">SUM(INDIRECT(ADDRESS(expenses_min_row,COLUMN())&amp;":"&amp;ADDRESS(expenses_max_row,COLUMN())))</f>
        <v>0</v>
      </c>
      <c r="BY33" s="15" cm="1">
        <f t="array" aca="1" ref="BY33" ca="1">SUM(INDIRECT(ADDRESS(expenses_min_row,COLUMN())&amp;":"&amp;ADDRESS(expenses_max_row,COLUMN())))</f>
        <v>0</v>
      </c>
      <c r="BZ33" s="15" cm="1">
        <f t="array" aca="1" ref="BZ33" ca="1">SUM(INDIRECT(ADDRESS(expenses_min_row,COLUMN())&amp;":"&amp;ADDRESS(expenses_max_row,COLUMN())))</f>
        <v>0</v>
      </c>
      <c r="CA33" s="15" cm="1">
        <f t="array" aca="1" ref="CA33" ca="1">SUM(INDIRECT(ADDRESS(expenses_min_row,COLUMN())&amp;":"&amp;ADDRESS(expenses_max_row,COLUMN())))</f>
        <v>0</v>
      </c>
      <c r="CB33" s="15" cm="1">
        <f t="array" aca="1" ref="CB33" ca="1">SUM(INDIRECT(ADDRESS(expenses_min_row,COLUMN())&amp;":"&amp;ADDRESS(expenses_max_row,COLUMN())))</f>
        <v>0</v>
      </c>
      <c r="CC33" s="15" cm="1">
        <f t="array" aca="1" ref="CC33" ca="1">SUM(INDIRECT(ADDRESS(expenses_min_row,COLUMN())&amp;":"&amp;ADDRESS(expenses_max_row,COLUMN())))</f>
        <v>0</v>
      </c>
      <c r="CD33" s="15" cm="1">
        <f t="array" aca="1" ref="CD33" ca="1">SUM(INDIRECT(ADDRESS(expenses_min_row,COLUMN())&amp;":"&amp;ADDRESS(expenses_max_row,COLUMN())))</f>
        <v>0</v>
      </c>
      <c r="CE33" s="15" cm="1">
        <f t="array" aca="1" ref="CE33" ca="1">SUM(INDIRECT(ADDRESS(expenses_min_row,COLUMN())&amp;":"&amp;ADDRESS(expenses_max_row,COLUMN())))</f>
        <v>0</v>
      </c>
      <c r="CF33" s="15" cm="1">
        <f t="array" aca="1" ref="CF33" ca="1">SUM(INDIRECT(ADDRESS(expenses_min_row,COLUMN())&amp;":"&amp;ADDRESS(expenses_max_row,COLUMN())))</f>
        <v>0</v>
      </c>
      <c r="CG33" s="15" cm="1">
        <f t="array" aca="1" ref="CG33" ca="1">SUM(INDIRECT(ADDRESS(expenses_min_row,COLUMN())&amp;":"&amp;ADDRESS(expenses_max_row,COLUMN())))</f>
        <v>0</v>
      </c>
      <c r="CH33" s="15" cm="1">
        <f t="array" aca="1" ref="CH33" ca="1">SUM(INDIRECT(ADDRESS(expenses_min_row,COLUMN())&amp;":"&amp;ADDRESS(expenses_max_row,COLUMN())))</f>
        <v>0</v>
      </c>
      <c r="CI33" s="15" cm="1">
        <f t="array" aca="1" ref="CI33" ca="1">SUM(INDIRECT(ADDRESS(expenses_min_row,COLUMN())&amp;":"&amp;ADDRESS(expenses_max_row,COLUMN())))</f>
        <v>0</v>
      </c>
      <c r="CK33" s="15" cm="1">
        <f t="array" aca="1" ref="CK33" ca="1">SUM(INDIRECT(ADDRESS(expenses_min_row,COLUMN())&amp;":"&amp;ADDRESS(expenses_max_row,COLUMN())))</f>
        <v>0</v>
      </c>
      <c r="CL33" s="15" cm="1">
        <f t="array" aca="1" ref="CL33" ca="1">SUM(INDIRECT(ADDRESS(expenses_min_row,COLUMN())&amp;":"&amp;ADDRESS(expenses_max_row,COLUMN())))</f>
        <v>0</v>
      </c>
      <c r="CM33" s="15" cm="1">
        <f t="array" aca="1" ref="CM33" ca="1">SUM(INDIRECT(ADDRESS(expenses_min_row,COLUMN())&amp;":"&amp;ADDRESS(expenses_max_row,COLUMN())))</f>
        <v>0</v>
      </c>
      <c r="CN33" s="15" cm="1">
        <f t="array" aca="1" ref="CN33" ca="1">SUM(INDIRECT(ADDRESS(expenses_min_row,COLUMN())&amp;":"&amp;ADDRESS(expenses_max_row,COLUMN())))</f>
        <v>0</v>
      </c>
      <c r="CO33" s="15" cm="1">
        <f t="array" aca="1" ref="CO33" ca="1">SUM(INDIRECT(ADDRESS(expenses_min_row,COLUMN())&amp;":"&amp;ADDRESS(expenses_max_row,COLUMN())))</f>
        <v>0</v>
      </c>
      <c r="CP33" s="15" cm="1">
        <f t="array" aca="1" ref="CP33" ca="1">SUM(INDIRECT(ADDRESS(expenses_min_row,COLUMN())&amp;":"&amp;ADDRESS(expenses_max_row,COLUMN())))</f>
        <v>0</v>
      </c>
      <c r="CQ33" s="15" cm="1">
        <f t="array" aca="1" ref="CQ33" ca="1">SUM(INDIRECT(ADDRESS(expenses_min_row,COLUMN())&amp;":"&amp;ADDRESS(expenses_max_row,COLUMN())))</f>
        <v>0</v>
      </c>
      <c r="CR33" s="15" cm="1">
        <f t="array" aca="1" ref="CR33" ca="1">SUM(INDIRECT(ADDRESS(expenses_min_row,COLUMN())&amp;":"&amp;ADDRESS(expenses_max_row,COLUMN())))</f>
        <v>0</v>
      </c>
      <c r="CS33" s="15" cm="1">
        <f t="array" aca="1" ref="CS33" ca="1">SUM(INDIRECT(ADDRESS(expenses_min_row,COLUMN())&amp;":"&amp;ADDRESS(expenses_max_row,COLUMN())))</f>
        <v>0</v>
      </c>
      <c r="CT33" s="15" cm="1">
        <f t="array" aca="1" ref="CT33" ca="1">SUM(INDIRECT(ADDRESS(expenses_min_row,COLUMN())&amp;":"&amp;ADDRESS(expenses_max_row,COLUMN())))</f>
        <v>0</v>
      </c>
      <c r="CU33" s="15" cm="1">
        <f t="array" aca="1" ref="CU33" ca="1">SUM(INDIRECT(ADDRESS(expenses_min_row,COLUMN())&amp;":"&amp;ADDRESS(expenses_max_row,COLUMN())))</f>
        <v>0</v>
      </c>
      <c r="CV33" s="15" cm="1">
        <f t="array" aca="1" ref="CV33" ca="1">SUM(INDIRECT(ADDRESS(expenses_min_row,COLUMN())&amp;":"&amp;ADDRESS(expenses_max_row,COLUMN())))</f>
        <v>0</v>
      </c>
      <c r="CW33" s="15" cm="1">
        <f t="array" aca="1" ref="CW33" ca="1">SUM(INDIRECT(ADDRESS(expenses_min_row,COLUMN())&amp;":"&amp;ADDRESS(expenses_max_row,COLUMN())))</f>
        <v>0</v>
      </c>
      <c r="CY33" s="15" cm="1">
        <f t="array" aca="1" ref="CY33" ca="1">SUM(INDIRECT(ADDRESS(expenses_min_row,COLUMN())&amp;":"&amp;ADDRESS(expenses_max_row,COLUMN())))</f>
        <v>0</v>
      </c>
      <c r="CZ33" s="15" cm="1">
        <f t="array" aca="1" ref="CZ33" ca="1">SUM(INDIRECT(ADDRESS(expenses_min_row,COLUMN())&amp;":"&amp;ADDRESS(expenses_max_row,COLUMN())))</f>
        <v>0</v>
      </c>
      <c r="DA33" s="15" cm="1">
        <f t="array" aca="1" ref="DA33" ca="1">SUM(INDIRECT(ADDRESS(expenses_min_row,COLUMN())&amp;":"&amp;ADDRESS(expenses_max_row,COLUMN())))</f>
        <v>0</v>
      </c>
      <c r="DB33" s="15" cm="1">
        <f t="array" aca="1" ref="DB33" ca="1">SUM(INDIRECT(ADDRESS(expenses_min_row,COLUMN())&amp;":"&amp;ADDRESS(expenses_max_row,COLUMN())))</f>
        <v>0</v>
      </c>
      <c r="DC33" s="15" cm="1">
        <f t="array" aca="1" ref="DC33" ca="1">SUM(INDIRECT(ADDRESS(expenses_min_row,COLUMN())&amp;":"&amp;ADDRESS(expenses_max_row,COLUMN())))</f>
        <v>0</v>
      </c>
      <c r="DD33" s="15" cm="1">
        <f t="array" aca="1" ref="DD33" ca="1">SUM(INDIRECT(ADDRESS(expenses_min_row,COLUMN())&amp;":"&amp;ADDRESS(expenses_max_row,COLUMN())))</f>
        <v>0</v>
      </c>
      <c r="DE33" s="15" cm="1">
        <f t="array" aca="1" ref="DE33" ca="1">SUM(INDIRECT(ADDRESS(expenses_min_row,COLUMN())&amp;":"&amp;ADDRESS(expenses_max_row,COLUMN())))</f>
        <v>0</v>
      </c>
      <c r="DF33" s="15" cm="1">
        <f t="array" aca="1" ref="DF33" ca="1">SUM(INDIRECT(ADDRESS(expenses_min_row,COLUMN())&amp;":"&amp;ADDRESS(expenses_max_row,COLUMN())))</f>
        <v>0</v>
      </c>
      <c r="DG33" s="15" cm="1">
        <f t="array" aca="1" ref="DG33" ca="1">SUM(INDIRECT(ADDRESS(expenses_min_row,COLUMN())&amp;":"&amp;ADDRESS(expenses_max_row,COLUMN())))</f>
        <v>0</v>
      </c>
      <c r="DH33" s="15" cm="1">
        <f t="array" aca="1" ref="DH33" ca="1">SUM(INDIRECT(ADDRESS(expenses_min_row,COLUMN())&amp;":"&amp;ADDRESS(expenses_max_row,COLUMN())))</f>
        <v>0</v>
      </c>
      <c r="DI33" s="15" cm="1">
        <f t="array" aca="1" ref="DI33" ca="1">SUM(INDIRECT(ADDRESS(expenses_min_row,COLUMN())&amp;":"&amp;ADDRESS(expenses_max_row,COLUMN())))</f>
        <v>0</v>
      </c>
      <c r="DJ33" s="15" cm="1">
        <f t="array" aca="1" ref="DJ33" ca="1">SUM(INDIRECT(ADDRESS(expenses_min_row,COLUMN())&amp;":"&amp;ADDRESS(expenses_max_row,COLUMN())))</f>
        <v>0</v>
      </c>
      <c r="DK33" s="15" cm="1">
        <f t="array" aca="1" ref="DK33" ca="1">SUM(INDIRECT(ADDRESS(expenses_min_row,COLUMN())&amp;":"&amp;ADDRESS(expenses_max_row,COLUMN())))</f>
        <v>0</v>
      </c>
      <c r="DM33" s="15" cm="1">
        <f t="array" aca="1" ref="DM33" ca="1">SUM(INDIRECT(ADDRESS(expenses_min_row,COLUMN())&amp;":"&amp;ADDRESS(expenses_max_row,COLUMN())))</f>
        <v>0</v>
      </c>
      <c r="DN33" s="15" cm="1">
        <f t="array" aca="1" ref="DN33" ca="1">SUM(INDIRECT(ADDRESS(expenses_min_row,COLUMN())&amp;":"&amp;ADDRESS(expenses_max_row,COLUMN())))</f>
        <v>0</v>
      </c>
      <c r="DO33" s="15" cm="1">
        <f t="array" aca="1" ref="DO33" ca="1">SUM(INDIRECT(ADDRESS(expenses_min_row,COLUMN())&amp;":"&amp;ADDRESS(expenses_max_row,COLUMN())))</f>
        <v>0</v>
      </c>
      <c r="DP33" s="15" cm="1">
        <f t="array" aca="1" ref="DP33" ca="1">SUM(INDIRECT(ADDRESS(expenses_min_row,COLUMN())&amp;":"&amp;ADDRESS(expenses_max_row,COLUMN())))</f>
        <v>0</v>
      </c>
      <c r="DQ33" s="15" cm="1">
        <f t="array" aca="1" ref="DQ33" ca="1">SUM(INDIRECT(ADDRESS(expenses_min_row,COLUMN())&amp;":"&amp;ADDRESS(expenses_max_row,COLUMN())))</f>
        <v>0</v>
      </c>
      <c r="DR33" s="15" cm="1">
        <f t="array" aca="1" ref="DR33" ca="1">SUM(INDIRECT(ADDRESS(expenses_min_row,COLUMN())&amp;":"&amp;ADDRESS(expenses_max_row,COLUMN())))</f>
        <v>0</v>
      </c>
      <c r="DS33" s="15" cm="1">
        <f t="array" aca="1" ref="DS33" ca="1">SUM(INDIRECT(ADDRESS(expenses_min_row,COLUMN())&amp;":"&amp;ADDRESS(expenses_max_row,COLUMN())))</f>
        <v>0</v>
      </c>
      <c r="DT33" s="15" cm="1">
        <f t="array" aca="1" ref="DT33" ca="1">SUM(INDIRECT(ADDRESS(expenses_min_row,COLUMN())&amp;":"&amp;ADDRESS(expenses_max_row,COLUMN())))</f>
        <v>0</v>
      </c>
      <c r="DU33" s="15" cm="1">
        <f t="array" aca="1" ref="DU33" ca="1">SUM(INDIRECT(ADDRESS(expenses_min_row,COLUMN())&amp;":"&amp;ADDRESS(expenses_max_row,COLUMN())))</f>
        <v>0</v>
      </c>
      <c r="DV33" s="15" cm="1">
        <f t="array" aca="1" ref="DV33" ca="1">SUM(INDIRECT(ADDRESS(expenses_min_row,COLUMN())&amp;":"&amp;ADDRESS(expenses_max_row,COLUMN())))</f>
        <v>0</v>
      </c>
      <c r="DW33" s="15" cm="1">
        <f t="array" aca="1" ref="DW33" ca="1">SUM(INDIRECT(ADDRESS(expenses_min_row,COLUMN())&amp;":"&amp;ADDRESS(expenses_max_row,COLUMN())))</f>
        <v>0</v>
      </c>
      <c r="DX33" s="15" cm="1">
        <f t="array" aca="1" ref="DX33" ca="1">SUM(INDIRECT(ADDRESS(expenses_min_row,COLUMN())&amp;":"&amp;ADDRESS(expenses_max_row,COLUMN())))</f>
        <v>0</v>
      </c>
      <c r="DY33" s="15" cm="1">
        <f t="array" aca="1" ref="DY33" ca="1">SUM(INDIRECT(ADDRESS(expenses_min_row,COLUMN())&amp;":"&amp;ADDRESS(expenses_max_row,COLUMN())))</f>
        <v>0</v>
      </c>
      <c r="EA33" s="15" cm="1">
        <f t="array" aca="1" ref="EA33" ca="1">SUM(INDIRECT(ADDRESS(expenses_min_row,COLUMN())&amp;":"&amp;ADDRESS(expenses_max_row,COLUMN())))</f>
        <v>0</v>
      </c>
      <c r="EB33" s="15" cm="1">
        <f t="array" aca="1" ref="EB33" ca="1">SUM(INDIRECT(ADDRESS(expenses_min_row,COLUMN())&amp;":"&amp;ADDRESS(expenses_max_row,COLUMN())))</f>
        <v>0</v>
      </c>
      <c r="EC33" s="15" cm="1">
        <f t="array" aca="1" ref="EC33" ca="1">SUM(INDIRECT(ADDRESS(expenses_min_row,COLUMN())&amp;":"&amp;ADDRESS(expenses_max_row,COLUMN())))</f>
        <v>0</v>
      </c>
      <c r="ED33" s="15" cm="1">
        <f t="array" aca="1" ref="ED33" ca="1">SUM(INDIRECT(ADDRESS(expenses_min_row,COLUMN())&amp;":"&amp;ADDRESS(expenses_max_row,COLUMN())))</f>
        <v>0</v>
      </c>
      <c r="EE33" s="15" cm="1">
        <f t="array" aca="1" ref="EE33" ca="1">SUM(INDIRECT(ADDRESS(expenses_min_row,COLUMN())&amp;":"&amp;ADDRESS(expenses_max_row,COLUMN())))</f>
        <v>0</v>
      </c>
      <c r="EF33" s="15" cm="1">
        <f t="array" aca="1" ref="EF33" ca="1">SUM(INDIRECT(ADDRESS(expenses_min_row,COLUMN())&amp;":"&amp;ADDRESS(expenses_max_row,COLUMN())))</f>
        <v>0</v>
      </c>
      <c r="EG33" s="15" cm="1">
        <f t="array" aca="1" ref="EG33" ca="1">SUM(INDIRECT(ADDRESS(expenses_min_row,COLUMN())&amp;":"&amp;ADDRESS(expenses_max_row,COLUMN())))</f>
        <v>0</v>
      </c>
      <c r="EH33" s="15" cm="1">
        <f t="array" aca="1" ref="EH33" ca="1">SUM(INDIRECT(ADDRESS(expenses_min_row,COLUMN())&amp;":"&amp;ADDRESS(expenses_max_row,COLUMN())))</f>
        <v>0</v>
      </c>
      <c r="EI33" s="15" cm="1">
        <f t="array" aca="1" ref="EI33" ca="1">SUM(INDIRECT(ADDRESS(expenses_min_row,COLUMN())&amp;":"&amp;ADDRESS(expenses_max_row,COLUMN())))</f>
        <v>0</v>
      </c>
      <c r="EJ33" s="15" cm="1">
        <f t="array" aca="1" ref="EJ33" ca="1">SUM(INDIRECT(ADDRESS(expenses_min_row,COLUMN())&amp;":"&amp;ADDRESS(expenses_max_row,COLUMN())))</f>
        <v>0</v>
      </c>
      <c r="EK33" s="15" cm="1">
        <f t="array" aca="1" ref="EK33" ca="1">SUM(INDIRECT(ADDRESS(expenses_min_row,COLUMN())&amp;":"&amp;ADDRESS(expenses_max_row,COLUMN())))</f>
        <v>0</v>
      </c>
      <c r="EL33" s="15" cm="1">
        <f t="array" aca="1" ref="EL33" ca="1">SUM(INDIRECT(ADDRESS(expenses_min_row,COLUMN())&amp;":"&amp;ADDRESS(expenses_max_row,COLUMN())))</f>
        <v>0</v>
      </c>
      <c r="EM33" s="15" cm="1">
        <f t="array" aca="1" ref="EM33" ca="1">SUM(INDIRECT(ADDRESS(expenses_min_row,COLUMN())&amp;":"&amp;ADDRESS(expenses_max_row,COLUMN())))</f>
        <v>0</v>
      </c>
    </row>
    <row r="39" spans="3:143" x14ac:dyDescent="0.3">
      <c r="C39" s="8" t="s">
        <v>16</v>
      </c>
      <c r="E39" s="21">
        <f>DATE($E$5,1,1)</f>
        <v>44562</v>
      </c>
      <c r="F39" s="21">
        <f>DATE($E$5,2,1)</f>
        <v>44593</v>
      </c>
      <c r="G39" s="21">
        <f>DATE($E$5,3,1)</f>
        <v>44621</v>
      </c>
      <c r="H39" s="21">
        <f>DATE($E$5,4,1)</f>
        <v>44652</v>
      </c>
      <c r="I39" s="21">
        <f>DATE($E$5,5,1)</f>
        <v>44682</v>
      </c>
      <c r="J39" s="21">
        <f>DATE($E$5,6,1)</f>
        <v>44713</v>
      </c>
      <c r="K39" s="21">
        <f>DATE($E$5,7,1)</f>
        <v>44743</v>
      </c>
      <c r="L39" s="21">
        <f>DATE($E$5,8,1)</f>
        <v>44774</v>
      </c>
      <c r="M39" s="21">
        <f>DATE($E$5,9,1)</f>
        <v>44805</v>
      </c>
      <c r="N39" s="21">
        <f>DATE($E$5,10,1)</f>
        <v>44835</v>
      </c>
      <c r="O39" s="21">
        <f>DATE($E$5,11,1)</f>
        <v>44866</v>
      </c>
      <c r="P39" s="21">
        <f>DATE($E$5,12,1)</f>
        <v>44896</v>
      </c>
      <c r="Q39" s="22">
        <f>E$5</f>
        <v>2022</v>
      </c>
      <c r="S39" s="21">
        <f>DATE($E$5,1,1)</f>
        <v>44562</v>
      </c>
      <c r="T39" s="21">
        <f>DATE($E$5,2,1)</f>
        <v>44593</v>
      </c>
      <c r="U39" s="21">
        <f>DATE($E$5,3,1)</f>
        <v>44621</v>
      </c>
      <c r="V39" s="21">
        <f>DATE($E$5,4,1)</f>
        <v>44652</v>
      </c>
      <c r="W39" s="21">
        <f>DATE($E$5,5,1)</f>
        <v>44682</v>
      </c>
      <c r="X39" s="21">
        <f>DATE($E$5,6,1)</f>
        <v>44713</v>
      </c>
      <c r="Y39" s="21">
        <f>DATE($E$5,7,1)</f>
        <v>44743</v>
      </c>
      <c r="Z39" s="21">
        <f>DATE($E$5,8,1)</f>
        <v>44774</v>
      </c>
      <c r="AA39" s="21">
        <f>DATE($E$5,9,1)</f>
        <v>44805</v>
      </c>
      <c r="AB39" s="21">
        <f>DATE($E$5,10,1)</f>
        <v>44835</v>
      </c>
      <c r="AC39" s="21">
        <f>DATE($E$5,11,1)</f>
        <v>44866</v>
      </c>
      <c r="AD39" s="21">
        <f>DATE($E$5,12,1)</f>
        <v>44896</v>
      </c>
      <c r="AE39" s="22">
        <f>S$5</f>
        <v>2023</v>
      </c>
      <c r="AG39" s="21">
        <f>DATE($E$5,1,1)</f>
        <v>44562</v>
      </c>
      <c r="AH39" s="21">
        <f>DATE($E$5,2,1)</f>
        <v>44593</v>
      </c>
      <c r="AI39" s="21">
        <f>DATE($E$5,3,1)</f>
        <v>44621</v>
      </c>
      <c r="AJ39" s="21">
        <f>DATE($E$5,4,1)</f>
        <v>44652</v>
      </c>
      <c r="AK39" s="21">
        <f>DATE($E$5,5,1)</f>
        <v>44682</v>
      </c>
      <c r="AL39" s="21">
        <f>DATE($E$5,6,1)</f>
        <v>44713</v>
      </c>
      <c r="AM39" s="21">
        <f>DATE($E$5,7,1)</f>
        <v>44743</v>
      </c>
      <c r="AN39" s="21">
        <f>DATE($E$5,8,1)</f>
        <v>44774</v>
      </c>
      <c r="AO39" s="21">
        <f>DATE($E$5,9,1)</f>
        <v>44805</v>
      </c>
      <c r="AP39" s="21">
        <f>DATE($E$5,10,1)</f>
        <v>44835</v>
      </c>
      <c r="AQ39" s="21">
        <f>DATE($E$5,11,1)</f>
        <v>44866</v>
      </c>
      <c r="AR39" s="21">
        <f>DATE($E$5,12,1)</f>
        <v>44896</v>
      </c>
      <c r="AS39" s="22">
        <f>AG$5</f>
        <v>2024</v>
      </c>
      <c r="AU39" s="21">
        <f>DATE($E$5,1,1)</f>
        <v>44562</v>
      </c>
      <c r="AV39" s="21">
        <f>DATE($E$5,2,1)</f>
        <v>44593</v>
      </c>
      <c r="AW39" s="21">
        <f>DATE($E$5,3,1)</f>
        <v>44621</v>
      </c>
      <c r="AX39" s="21">
        <f>DATE($E$5,4,1)</f>
        <v>44652</v>
      </c>
      <c r="AY39" s="21">
        <f>DATE($E$5,5,1)</f>
        <v>44682</v>
      </c>
      <c r="AZ39" s="21">
        <f>DATE($E$5,6,1)</f>
        <v>44713</v>
      </c>
      <c r="BA39" s="21">
        <f>DATE($E$5,7,1)</f>
        <v>44743</v>
      </c>
      <c r="BB39" s="21">
        <f>DATE($E$5,8,1)</f>
        <v>44774</v>
      </c>
      <c r="BC39" s="21">
        <f>DATE($E$5,9,1)</f>
        <v>44805</v>
      </c>
      <c r="BD39" s="21">
        <f>DATE($E$5,10,1)</f>
        <v>44835</v>
      </c>
      <c r="BE39" s="21">
        <f>DATE($E$5,11,1)</f>
        <v>44866</v>
      </c>
      <c r="BF39" s="21">
        <f>DATE($E$5,12,1)</f>
        <v>44896</v>
      </c>
      <c r="BG39" s="22">
        <f>AU$5</f>
        <v>2025</v>
      </c>
      <c r="BI39" s="21">
        <f>DATE($E$5,1,1)</f>
        <v>44562</v>
      </c>
      <c r="BJ39" s="21">
        <f>DATE($E$5,2,1)</f>
        <v>44593</v>
      </c>
      <c r="BK39" s="21">
        <f>DATE($E$5,3,1)</f>
        <v>44621</v>
      </c>
      <c r="BL39" s="21">
        <f>DATE($E$5,4,1)</f>
        <v>44652</v>
      </c>
      <c r="BM39" s="21">
        <f>DATE($E$5,5,1)</f>
        <v>44682</v>
      </c>
      <c r="BN39" s="21">
        <f>DATE($E$5,6,1)</f>
        <v>44713</v>
      </c>
      <c r="BO39" s="21">
        <f>DATE($E$5,7,1)</f>
        <v>44743</v>
      </c>
      <c r="BP39" s="21">
        <f>DATE($E$5,8,1)</f>
        <v>44774</v>
      </c>
      <c r="BQ39" s="21">
        <f>DATE($E$5,9,1)</f>
        <v>44805</v>
      </c>
      <c r="BR39" s="21">
        <f>DATE($E$5,10,1)</f>
        <v>44835</v>
      </c>
      <c r="BS39" s="21">
        <f>DATE($E$5,11,1)</f>
        <v>44866</v>
      </c>
      <c r="BT39" s="21">
        <f>DATE($E$5,12,1)</f>
        <v>44896</v>
      </c>
      <c r="BU39" s="22">
        <f>BI$5</f>
        <v>2026</v>
      </c>
      <c r="BW39" s="21">
        <f>DATE($E$5,1,1)</f>
        <v>44562</v>
      </c>
      <c r="BX39" s="21">
        <f>DATE($E$5,2,1)</f>
        <v>44593</v>
      </c>
      <c r="BY39" s="21">
        <f>DATE($E$5,3,1)</f>
        <v>44621</v>
      </c>
      <c r="BZ39" s="21">
        <f>DATE($E$5,4,1)</f>
        <v>44652</v>
      </c>
      <c r="CA39" s="21">
        <f>DATE($E$5,5,1)</f>
        <v>44682</v>
      </c>
      <c r="CB39" s="21">
        <f>DATE($E$5,6,1)</f>
        <v>44713</v>
      </c>
      <c r="CC39" s="21">
        <f>DATE($E$5,7,1)</f>
        <v>44743</v>
      </c>
      <c r="CD39" s="21">
        <f>DATE($E$5,8,1)</f>
        <v>44774</v>
      </c>
      <c r="CE39" s="21">
        <f>DATE($E$5,9,1)</f>
        <v>44805</v>
      </c>
      <c r="CF39" s="21">
        <f>DATE($E$5,10,1)</f>
        <v>44835</v>
      </c>
      <c r="CG39" s="21">
        <f>DATE($E$5,11,1)</f>
        <v>44866</v>
      </c>
      <c r="CH39" s="21">
        <f>DATE($E$5,12,1)</f>
        <v>44896</v>
      </c>
      <c r="CI39" s="22">
        <f>BW$5</f>
        <v>2027</v>
      </c>
      <c r="CK39" s="21">
        <f>DATE($E$5,1,1)</f>
        <v>44562</v>
      </c>
      <c r="CL39" s="21">
        <f>DATE($E$5,2,1)</f>
        <v>44593</v>
      </c>
      <c r="CM39" s="21">
        <f>DATE($E$5,3,1)</f>
        <v>44621</v>
      </c>
      <c r="CN39" s="21">
        <f>DATE($E$5,4,1)</f>
        <v>44652</v>
      </c>
      <c r="CO39" s="21">
        <f>DATE($E$5,5,1)</f>
        <v>44682</v>
      </c>
      <c r="CP39" s="21">
        <f>DATE($E$5,6,1)</f>
        <v>44713</v>
      </c>
      <c r="CQ39" s="21">
        <f>DATE($E$5,7,1)</f>
        <v>44743</v>
      </c>
      <c r="CR39" s="21">
        <f>DATE($E$5,8,1)</f>
        <v>44774</v>
      </c>
      <c r="CS39" s="21">
        <f>DATE($E$5,9,1)</f>
        <v>44805</v>
      </c>
      <c r="CT39" s="21">
        <f>DATE($E$5,10,1)</f>
        <v>44835</v>
      </c>
      <c r="CU39" s="21">
        <f>DATE($E$5,11,1)</f>
        <v>44866</v>
      </c>
      <c r="CV39" s="21">
        <f>DATE($E$5,12,1)</f>
        <v>44896</v>
      </c>
      <c r="CW39" s="22">
        <f>CK$5</f>
        <v>2028</v>
      </c>
      <c r="CY39" s="21">
        <f>DATE($E$5,1,1)</f>
        <v>44562</v>
      </c>
      <c r="CZ39" s="21">
        <f>DATE($E$5,2,1)</f>
        <v>44593</v>
      </c>
      <c r="DA39" s="21">
        <f>DATE($E$5,3,1)</f>
        <v>44621</v>
      </c>
      <c r="DB39" s="21">
        <f>DATE($E$5,4,1)</f>
        <v>44652</v>
      </c>
      <c r="DC39" s="21">
        <f>DATE($E$5,5,1)</f>
        <v>44682</v>
      </c>
      <c r="DD39" s="21">
        <f>DATE($E$5,6,1)</f>
        <v>44713</v>
      </c>
      <c r="DE39" s="21">
        <f>DATE($E$5,7,1)</f>
        <v>44743</v>
      </c>
      <c r="DF39" s="21">
        <f>DATE($E$5,8,1)</f>
        <v>44774</v>
      </c>
      <c r="DG39" s="21">
        <f>DATE($E$5,9,1)</f>
        <v>44805</v>
      </c>
      <c r="DH39" s="21">
        <f>DATE($E$5,10,1)</f>
        <v>44835</v>
      </c>
      <c r="DI39" s="21">
        <f>DATE($E$5,11,1)</f>
        <v>44866</v>
      </c>
      <c r="DJ39" s="21">
        <f>DATE($E$5,12,1)</f>
        <v>44896</v>
      </c>
      <c r="DK39" s="22">
        <f>CY$5</f>
        <v>2029</v>
      </c>
      <c r="DM39" s="21">
        <f>DATE($E$5,1,1)</f>
        <v>44562</v>
      </c>
      <c r="DN39" s="21">
        <f>DATE($E$5,2,1)</f>
        <v>44593</v>
      </c>
      <c r="DO39" s="21">
        <f>DATE($E$5,3,1)</f>
        <v>44621</v>
      </c>
      <c r="DP39" s="21">
        <f>DATE($E$5,4,1)</f>
        <v>44652</v>
      </c>
      <c r="DQ39" s="21">
        <f>DATE($E$5,5,1)</f>
        <v>44682</v>
      </c>
      <c r="DR39" s="21">
        <f>DATE($E$5,6,1)</f>
        <v>44713</v>
      </c>
      <c r="DS39" s="21">
        <f>DATE($E$5,7,1)</f>
        <v>44743</v>
      </c>
      <c r="DT39" s="21">
        <f>DATE($E$5,8,1)</f>
        <v>44774</v>
      </c>
      <c r="DU39" s="21">
        <f>DATE($E$5,9,1)</f>
        <v>44805</v>
      </c>
      <c r="DV39" s="21">
        <f>DATE($E$5,10,1)</f>
        <v>44835</v>
      </c>
      <c r="DW39" s="21">
        <f>DATE($E$5,11,1)</f>
        <v>44866</v>
      </c>
      <c r="DX39" s="21">
        <f>DATE($E$5,12,1)</f>
        <v>44896</v>
      </c>
      <c r="DY39" s="22">
        <f>DM$5</f>
        <v>2030</v>
      </c>
      <c r="EA39" s="21">
        <f>DATE($E$5,1,1)</f>
        <v>44562</v>
      </c>
      <c r="EB39" s="21">
        <f>DATE($E$5,2,1)</f>
        <v>44593</v>
      </c>
      <c r="EC39" s="21">
        <f>DATE($E$5,3,1)</f>
        <v>44621</v>
      </c>
      <c r="ED39" s="21">
        <f>DATE($E$5,4,1)</f>
        <v>44652</v>
      </c>
      <c r="EE39" s="21">
        <f>DATE($E$5,5,1)</f>
        <v>44682</v>
      </c>
      <c r="EF39" s="21">
        <f>DATE($E$5,6,1)</f>
        <v>44713</v>
      </c>
      <c r="EG39" s="21">
        <f>DATE($E$5,7,1)</f>
        <v>44743</v>
      </c>
      <c r="EH39" s="21">
        <f>DATE($E$5,8,1)</f>
        <v>44774</v>
      </c>
      <c r="EI39" s="21">
        <f>DATE($E$5,9,1)</f>
        <v>44805</v>
      </c>
      <c r="EJ39" s="21">
        <f>DATE($E$5,10,1)</f>
        <v>44835</v>
      </c>
      <c r="EK39" s="21">
        <f>DATE($E$5,11,1)</f>
        <v>44866</v>
      </c>
      <c r="EL39" s="21">
        <f>DATE($E$5,12,1)</f>
        <v>44896</v>
      </c>
      <c r="EM39" s="22">
        <f>EA$5</f>
        <v>2031</v>
      </c>
    </row>
    <row r="40" spans="3:143" x14ac:dyDescent="0.3">
      <c r="C40" s="18" t="s">
        <v>17</v>
      </c>
      <c r="E40" s="16">
        <v>1000</v>
      </c>
      <c r="F40" s="16">
        <v>1000</v>
      </c>
      <c r="G40" s="16">
        <v>1000</v>
      </c>
      <c r="H40" s="16">
        <v>0</v>
      </c>
      <c r="I40" s="16">
        <v>0</v>
      </c>
      <c r="J40" s="16">
        <v>0</v>
      </c>
      <c r="K40" s="16">
        <v>0</v>
      </c>
      <c r="L40" s="16">
        <v>0</v>
      </c>
      <c r="M40" s="16">
        <v>0</v>
      </c>
      <c r="N40" s="16">
        <v>0</v>
      </c>
      <c r="O40" s="16">
        <v>0</v>
      </c>
      <c r="P40" s="16">
        <v>0</v>
      </c>
      <c r="Q40" s="17">
        <f>SUM(E40:P40)</f>
        <v>3000</v>
      </c>
      <c r="S40" s="16"/>
      <c r="T40" s="16"/>
      <c r="U40" s="16"/>
      <c r="V40" s="16"/>
      <c r="W40" s="16"/>
      <c r="X40" s="16"/>
      <c r="Y40" s="16"/>
      <c r="Z40" s="16"/>
      <c r="AA40" s="16"/>
      <c r="AB40" s="16"/>
      <c r="AC40" s="16"/>
      <c r="AD40" s="16"/>
      <c r="AE40" s="17">
        <f>SUM(S40:AD40)</f>
        <v>0</v>
      </c>
      <c r="AG40" s="16"/>
      <c r="AH40" s="16"/>
      <c r="AI40" s="16"/>
      <c r="AJ40" s="16"/>
      <c r="AK40" s="16"/>
      <c r="AL40" s="16"/>
      <c r="AM40" s="16"/>
      <c r="AN40" s="16"/>
      <c r="AO40" s="16"/>
      <c r="AP40" s="16"/>
      <c r="AQ40" s="16"/>
      <c r="AR40" s="16"/>
      <c r="AS40" s="17">
        <f>SUM(AG40:AR40)</f>
        <v>0</v>
      </c>
      <c r="AU40" s="16"/>
      <c r="AV40" s="16"/>
      <c r="AW40" s="16"/>
      <c r="AX40" s="16"/>
      <c r="AY40" s="16"/>
      <c r="AZ40" s="16"/>
      <c r="BA40" s="16"/>
      <c r="BB40" s="16"/>
      <c r="BC40" s="16"/>
      <c r="BD40" s="16"/>
      <c r="BE40" s="16"/>
      <c r="BF40" s="16"/>
      <c r="BG40" s="17">
        <f>SUM(AU40:BF40)</f>
        <v>0</v>
      </c>
      <c r="BI40" s="16"/>
      <c r="BJ40" s="16"/>
      <c r="BK40" s="16"/>
      <c r="BL40" s="16"/>
      <c r="BM40" s="16"/>
      <c r="BN40" s="16"/>
      <c r="BO40" s="16"/>
      <c r="BP40" s="16"/>
      <c r="BQ40" s="16"/>
      <c r="BR40" s="16"/>
      <c r="BS40" s="16"/>
      <c r="BT40" s="16"/>
      <c r="BU40" s="17">
        <f>SUM(BI40:BT40)</f>
        <v>0</v>
      </c>
      <c r="BW40" s="16"/>
      <c r="BX40" s="16"/>
      <c r="BY40" s="16"/>
      <c r="BZ40" s="16"/>
      <c r="CA40" s="16"/>
      <c r="CB40" s="16"/>
      <c r="CC40" s="16"/>
      <c r="CD40" s="16"/>
      <c r="CE40" s="16"/>
      <c r="CF40" s="16"/>
      <c r="CG40" s="16"/>
      <c r="CH40" s="16"/>
      <c r="CI40" s="17">
        <f>SUM(BW40:CH40)</f>
        <v>0</v>
      </c>
      <c r="CK40" s="16"/>
      <c r="CL40" s="16"/>
      <c r="CM40" s="16"/>
      <c r="CN40" s="16"/>
      <c r="CO40" s="16"/>
      <c r="CP40" s="16"/>
      <c r="CQ40" s="16"/>
      <c r="CR40" s="16"/>
      <c r="CS40" s="16"/>
      <c r="CT40" s="16"/>
      <c r="CU40" s="16"/>
      <c r="CV40" s="16"/>
      <c r="CW40" s="17">
        <f>SUM(CK40:CV40)</f>
        <v>0</v>
      </c>
      <c r="CY40" s="16"/>
      <c r="CZ40" s="16"/>
      <c r="DA40" s="16"/>
      <c r="DB40" s="16"/>
      <c r="DC40" s="16"/>
      <c r="DD40" s="16"/>
      <c r="DE40" s="16"/>
      <c r="DF40" s="16"/>
      <c r="DG40" s="16"/>
      <c r="DH40" s="16"/>
      <c r="DI40" s="16"/>
      <c r="DJ40" s="16"/>
      <c r="DK40" s="17">
        <f>SUM(CY40:DJ40)</f>
        <v>0</v>
      </c>
      <c r="DM40" s="16"/>
      <c r="DN40" s="16"/>
      <c r="DO40" s="16"/>
      <c r="DP40" s="16"/>
      <c r="DQ40" s="16"/>
      <c r="DR40" s="16"/>
      <c r="DS40" s="16"/>
      <c r="DT40" s="16"/>
      <c r="DU40" s="16"/>
      <c r="DV40" s="16"/>
      <c r="DW40" s="16"/>
      <c r="DX40" s="16"/>
      <c r="DY40" s="17">
        <f>SUM(DM40:DX40)</f>
        <v>0</v>
      </c>
      <c r="EA40" s="16"/>
      <c r="EB40" s="16"/>
      <c r="EC40" s="16"/>
      <c r="ED40" s="16"/>
      <c r="EE40" s="16"/>
      <c r="EF40" s="16"/>
      <c r="EG40" s="16"/>
      <c r="EH40" s="16"/>
      <c r="EI40" s="16"/>
      <c r="EJ40" s="16"/>
      <c r="EK40" s="16"/>
      <c r="EL40" s="16"/>
      <c r="EM40" s="17">
        <f>SUM(EA40:EL40)</f>
        <v>0</v>
      </c>
    </row>
    <row r="41" spans="3:143" x14ac:dyDescent="0.3">
      <c r="C41" s="18" t="s">
        <v>18</v>
      </c>
      <c r="E41" s="16">
        <v>400</v>
      </c>
      <c r="F41" s="16">
        <v>400</v>
      </c>
      <c r="G41" s="16">
        <v>400</v>
      </c>
      <c r="H41" s="16">
        <v>400</v>
      </c>
      <c r="I41" s="16">
        <v>400</v>
      </c>
      <c r="J41" s="16">
        <v>400</v>
      </c>
      <c r="K41" s="16">
        <v>400</v>
      </c>
      <c r="L41" s="16">
        <v>400</v>
      </c>
      <c r="M41" s="16">
        <v>400</v>
      </c>
      <c r="N41" s="16">
        <v>400</v>
      </c>
      <c r="O41" s="16">
        <v>400</v>
      </c>
      <c r="P41" s="16">
        <v>400</v>
      </c>
      <c r="Q41" s="17">
        <f t="shared" ref="Q41:Q49" si="30">SUM(E41:P41)</f>
        <v>4800</v>
      </c>
      <c r="S41" s="16"/>
      <c r="T41" s="16"/>
      <c r="U41" s="16"/>
      <c r="V41" s="16"/>
      <c r="W41" s="16"/>
      <c r="X41" s="16"/>
      <c r="Y41" s="16"/>
      <c r="Z41" s="16"/>
      <c r="AA41" s="16"/>
      <c r="AB41" s="16"/>
      <c r="AC41" s="16"/>
      <c r="AD41" s="16"/>
      <c r="AE41" s="17">
        <f t="shared" ref="AE41:AE49" si="31">SUM(S41:AD41)</f>
        <v>0</v>
      </c>
      <c r="AG41" s="16"/>
      <c r="AH41" s="16"/>
      <c r="AI41" s="16"/>
      <c r="AJ41" s="16"/>
      <c r="AK41" s="16"/>
      <c r="AL41" s="16"/>
      <c r="AM41" s="16"/>
      <c r="AN41" s="16"/>
      <c r="AO41" s="16"/>
      <c r="AP41" s="16"/>
      <c r="AQ41" s="16"/>
      <c r="AR41" s="16"/>
      <c r="AS41" s="17">
        <f t="shared" ref="AS41:AS49" si="32">SUM(AG41:AR41)</f>
        <v>0</v>
      </c>
      <c r="AU41" s="16"/>
      <c r="AV41" s="16"/>
      <c r="AW41" s="16"/>
      <c r="AX41" s="16"/>
      <c r="AY41" s="16"/>
      <c r="AZ41" s="16"/>
      <c r="BA41" s="16"/>
      <c r="BB41" s="16"/>
      <c r="BC41" s="16"/>
      <c r="BD41" s="16"/>
      <c r="BE41" s="16"/>
      <c r="BF41" s="16"/>
      <c r="BG41" s="17">
        <f t="shared" ref="BG41:BG49" si="33">SUM(AU41:BF41)</f>
        <v>0</v>
      </c>
      <c r="BI41" s="16"/>
      <c r="BJ41" s="16"/>
      <c r="BK41" s="16"/>
      <c r="BL41" s="16"/>
      <c r="BM41" s="16"/>
      <c r="BN41" s="16"/>
      <c r="BO41" s="16"/>
      <c r="BP41" s="16"/>
      <c r="BQ41" s="16"/>
      <c r="BR41" s="16"/>
      <c r="BS41" s="16"/>
      <c r="BT41" s="16"/>
      <c r="BU41" s="17">
        <f t="shared" ref="BU41:BU49" si="34">SUM(BI41:BT41)</f>
        <v>0</v>
      </c>
      <c r="BW41" s="16"/>
      <c r="BX41" s="16"/>
      <c r="BY41" s="16"/>
      <c r="BZ41" s="16"/>
      <c r="CA41" s="16"/>
      <c r="CB41" s="16"/>
      <c r="CC41" s="16"/>
      <c r="CD41" s="16"/>
      <c r="CE41" s="16"/>
      <c r="CF41" s="16"/>
      <c r="CG41" s="16"/>
      <c r="CH41" s="16"/>
      <c r="CI41" s="17">
        <f t="shared" ref="CI41:CI49" si="35">SUM(BW41:CH41)</f>
        <v>0</v>
      </c>
      <c r="CK41" s="16"/>
      <c r="CL41" s="16"/>
      <c r="CM41" s="16"/>
      <c r="CN41" s="16"/>
      <c r="CO41" s="16"/>
      <c r="CP41" s="16"/>
      <c r="CQ41" s="16"/>
      <c r="CR41" s="16"/>
      <c r="CS41" s="16"/>
      <c r="CT41" s="16"/>
      <c r="CU41" s="16"/>
      <c r="CV41" s="16"/>
      <c r="CW41" s="17">
        <f t="shared" ref="CW41:CW49" si="36">SUM(CK41:CV41)</f>
        <v>0</v>
      </c>
      <c r="CY41" s="16"/>
      <c r="CZ41" s="16"/>
      <c r="DA41" s="16"/>
      <c r="DB41" s="16"/>
      <c r="DC41" s="16"/>
      <c r="DD41" s="16"/>
      <c r="DE41" s="16"/>
      <c r="DF41" s="16"/>
      <c r="DG41" s="16"/>
      <c r="DH41" s="16"/>
      <c r="DI41" s="16"/>
      <c r="DJ41" s="16"/>
      <c r="DK41" s="17">
        <f t="shared" ref="DK41:DK49" si="37">SUM(CY41:DJ41)</f>
        <v>0</v>
      </c>
      <c r="DM41" s="16"/>
      <c r="DN41" s="16"/>
      <c r="DO41" s="16"/>
      <c r="DP41" s="16"/>
      <c r="DQ41" s="16"/>
      <c r="DR41" s="16"/>
      <c r="DS41" s="16"/>
      <c r="DT41" s="16"/>
      <c r="DU41" s="16"/>
      <c r="DV41" s="16"/>
      <c r="DW41" s="16"/>
      <c r="DX41" s="16"/>
      <c r="DY41" s="17">
        <f t="shared" ref="DY41:DY49" si="38">SUM(DM41:DX41)</f>
        <v>0</v>
      </c>
      <c r="EA41" s="16"/>
      <c r="EB41" s="16"/>
      <c r="EC41" s="16"/>
      <c r="ED41" s="16"/>
      <c r="EE41" s="16"/>
      <c r="EF41" s="16"/>
      <c r="EG41" s="16"/>
      <c r="EH41" s="16"/>
      <c r="EI41" s="16"/>
      <c r="EJ41" s="16"/>
      <c r="EK41" s="16"/>
      <c r="EL41" s="16"/>
      <c r="EM41" s="17">
        <f t="shared" ref="EM41:EM49" si="39">SUM(EA41:EL41)</f>
        <v>0</v>
      </c>
    </row>
    <row r="42" spans="3:143" x14ac:dyDescent="0.3">
      <c r="C42" s="18" t="s">
        <v>28</v>
      </c>
      <c r="E42" s="16">
        <v>150</v>
      </c>
      <c r="F42" s="16">
        <v>150</v>
      </c>
      <c r="G42" s="16">
        <v>150</v>
      </c>
      <c r="H42" s="16">
        <v>750</v>
      </c>
      <c r="I42" s="16">
        <v>750</v>
      </c>
      <c r="J42" s="16">
        <v>750</v>
      </c>
      <c r="K42" s="16">
        <v>750</v>
      </c>
      <c r="L42" s="16">
        <v>750</v>
      </c>
      <c r="M42" s="16">
        <v>750</v>
      </c>
      <c r="N42" s="16">
        <v>750</v>
      </c>
      <c r="O42" s="16">
        <v>750</v>
      </c>
      <c r="P42" s="16">
        <v>750</v>
      </c>
      <c r="Q42" s="17">
        <f t="shared" si="30"/>
        <v>7200</v>
      </c>
      <c r="S42" s="16"/>
      <c r="T42" s="16"/>
      <c r="U42" s="16"/>
      <c r="V42" s="16"/>
      <c r="W42" s="16"/>
      <c r="X42" s="16"/>
      <c r="Y42" s="16"/>
      <c r="Z42" s="16"/>
      <c r="AA42" s="16"/>
      <c r="AB42" s="16"/>
      <c r="AC42" s="16"/>
      <c r="AD42" s="16"/>
      <c r="AE42" s="17"/>
      <c r="AG42" s="16"/>
      <c r="AH42" s="16"/>
      <c r="AI42" s="16"/>
      <c r="AJ42" s="16"/>
      <c r="AK42" s="16"/>
      <c r="AL42" s="16"/>
      <c r="AM42" s="16"/>
      <c r="AN42" s="16"/>
      <c r="AO42" s="16"/>
      <c r="AP42" s="16"/>
      <c r="AQ42" s="16"/>
      <c r="AR42" s="16"/>
      <c r="AS42" s="17"/>
      <c r="AU42" s="16"/>
      <c r="AV42" s="16"/>
      <c r="AW42" s="16"/>
      <c r="AX42" s="16"/>
      <c r="AY42" s="16"/>
      <c r="AZ42" s="16"/>
      <c r="BA42" s="16"/>
      <c r="BB42" s="16"/>
      <c r="BC42" s="16"/>
      <c r="BD42" s="16"/>
      <c r="BE42" s="16"/>
      <c r="BF42" s="16"/>
      <c r="BG42" s="17"/>
      <c r="BI42" s="16"/>
      <c r="BJ42" s="16"/>
      <c r="BK42" s="16"/>
      <c r="BL42" s="16"/>
      <c r="BM42" s="16"/>
      <c r="BN42" s="16"/>
      <c r="BO42" s="16"/>
      <c r="BP42" s="16"/>
      <c r="BQ42" s="16"/>
      <c r="BR42" s="16"/>
      <c r="BS42" s="16"/>
      <c r="BT42" s="16"/>
      <c r="BU42" s="17"/>
      <c r="BW42" s="16"/>
      <c r="BX42" s="16"/>
      <c r="BY42" s="16"/>
      <c r="BZ42" s="16"/>
      <c r="CA42" s="16"/>
      <c r="CB42" s="16"/>
      <c r="CC42" s="16"/>
      <c r="CD42" s="16"/>
      <c r="CE42" s="16"/>
      <c r="CF42" s="16"/>
      <c r="CG42" s="16"/>
      <c r="CH42" s="16"/>
      <c r="CI42" s="17"/>
      <c r="CK42" s="16"/>
      <c r="CL42" s="16"/>
      <c r="CM42" s="16"/>
      <c r="CN42" s="16"/>
      <c r="CO42" s="16"/>
      <c r="CP42" s="16"/>
      <c r="CQ42" s="16"/>
      <c r="CR42" s="16"/>
      <c r="CS42" s="16"/>
      <c r="CT42" s="16"/>
      <c r="CU42" s="16"/>
      <c r="CV42" s="16"/>
      <c r="CW42" s="17"/>
      <c r="CY42" s="16"/>
      <c r="CZ42" s="16"/>
      <c r="DA42" s="16"/>
      <c r="DB42" s="16"/>
      <c r="DC42" s="16"/>
      <c r="DD42" s="16"/>
      <c r="DE42" s="16"/>
      <c r="DF42" s="16"/>
      <c r="DG42" s="16"/>
      <c r="DH42" s="16"/>
      <c r="DI42" s="16"/>
      <c r="DJ42" s="16"/>
      <c r="DK42" s="17"/>
      <c r="DM42" s="16"/>
      <c r="DN42" s="16"/>
      <c r="DO42" s="16"/>
      <c r="DP42" s="16"/>
      <c r="DQ42" s="16"/>
      <c r="DR42" s="16"/>
      <c r="DS42" s="16"/>
      <c r="DT42" s="16"/>
      <c r="DU42" s="16"/>
      <c r="DV42" s="16"/>
      <c r="DW42" s="16"/>
      <c r="DX42" s="16"/>
      <c r="DY42" s="17"/>
      <c r="EA42" s="16"/>
      <c r="EB42" s="16"/>
      <c r="EC42" s="16"/>
      <c r="ED42" s="16"/>
      <c r="EE42" s="16"/>
      <c r="EF42" s="16"/>
      <c r="EG42" s="16"/>
      <c r="EH42" s="16"/>
      <c r="EI42" s="16"/>
      <c r="EJ42" s="16"/>
      <c r="EK42" s="16"/>
      <c r="EL42" s="16"/>
      <c r="EM42" s="17"/>
    </row>
    <row r="43" spans="3:143" x14ac:dyDescent="0.3">
      <c r="C43" s="18" t="s">
        <v>26</v>
      </c>
      <c r="E43" s="16">
        <v>0</v>
      </c>
      <c r="F43" s="16">
        <v>0</v>
      </c>
      <c r="G43" s="16">
        <v>0</v>
      </c>
      <c r="H43" s="16">
        <v>600</v>
      </c>
      <c r="I43" s="16">
        <v>1400</v>
      </c>
      <c r="J43" s="16">
        <v>1300</v>
      </c>
      <c r="K43" s="16">
        <v>1500</v>
      </c>
      <c r="L43" s="16">
        <v>200</v>
      </c>
      <c r="M43" s="16">
        <v>1300</v>
      </c>
      <c r="N43" s="16">
        <v>1500</v>
      </c>
      <c r="O43" s="16">
        <v>1400</v>
      </c>
      <c r="P43" s="16">
        <v>1000</v>
      </c>
      <c r="Q43" s="17">
        <f t="shared" si="30"/>
        <v>10200</v>
      </c>
      <c r="S43" s="16"/>
      <c r="T43" s="16"/>
      <c r="U43" s="16"/>
      <c r="V43" s="16"/>
      <c r="W43" s="16"/>
      <c r="X43" s="16"/>
      <c r="Y43" s="16"/>
      <c r="Z43" s="16"/>
      <c r="AA43" s="16"/>
      <c r="AB43" s="16"/>
      <c r="AC43" s="16"/>
      <c r="AD43" s="16"/>
      <c r="AE43" s="17"/>
      <c r="AG43" s="16"/>
      <c r="AH43" s="16"/>
      <c r="AI43" s="16"/>
      <c r="AJ43" s="16"/>
      <c r="AK43" s="16"/>
      <c r="AL43" s="16"/>
      <c r="AM43" s="16"/>
      <c r="AN43" s="16"/>
      <c r="AO43" s="16"/>
      <c r="AP43" s="16"/>
      <c r="AQ43" s="16"/>
      <c r="AR43" s="16"/>
      <c r="AS43" s="17"/>
      <c r="AU43" s="16"/>
      <c r="AV43" s="16"/>
      <c r="AW43" s="16"/>
      <c r="AX43" s="16"/>
      <c r="AY43" s="16"/>
      <c r="AZ43" s="16"/>
      <c r="BA43" s="16"/>
      <c r="BB43" s="16"/>
      <c r="BC43" s="16"/>
      <c r="BD43" s="16"/>
      <c r="BE43" s="16"/>
      <c r="BF43" s="16"/>
      <c r="BG43" s="17"/>
      <c r="BI43" s="16"/>
      <c r="BJ43" s="16"/>
      <c r="BK43" s="16"/>
      <c r="BL43" s="16"/>
      <c r="BM43" s="16"/>
      <c r="BN43" s="16"/>
      <c r="BO43" s="16"/>
      <c r="BP43" s="16"/>
      <c r="BQ43" s="16"/>
      <c r="BR43" s="16"/>
      <c r="BS43" s="16"/>
      <c r="BT43" s="16"/>
      <c r="BU43" s="17"/>
      <c r="BW43" s="16"/>
      <c r="BX43" s="16"/>
      <c r="BY43" s="16"/>
      <c r="BZ43" s="16"/>
      <c r="CA43" s="16"/>
      <c r="CB43" s="16"/>
      <c r="CC43" s="16"/>
      <c r="CD43" s="16"/>
      <c r="CE43" s="16"/>
      <c r="CF43" s="16"/>
      <c r="CG43" s="16"/>
      <c r="CH43" s="16"/>
      <c r="CI43" s="17"/>
      <c r="CK43" s="16"/>
      <c r="CL43" s="16"/>
      <c r="CM43" s="16"/>
      <c r="CN43" s="16"/>
      <c r="CO43" s="16"/>
      <c r="CP43" s="16"/>
      <c r="CQ43" s="16"/>
      <c r="CR43" s="16"/>
      <c r="CS43" s="16"/>
      <c r="CT43" s="16"/>
      <c r="CU43" s="16"/>
      <c r="CV43" s="16"/>
      <c r="CW43" s="17"/>
      <c r="CY43" s="16"/>
      <c r="CZ43" s="16"/>
      <c r="DA43" s="16"/>
      <c r="DB43" s="16"/>
      <c r="DC43" s="16"/>
      <c r="DD43" s="16"/>
      <c r="DE43" s="16"/>
      <c r="DF43" s="16"/>
      <c r="DG43" s="16"/>
      <c r="DH43" s="16"/>
      <c r="DI43" s="16"/>
      <c r="DJ43" s="16"/>
      <c r="DK43" s="17"/>
      <c r="DM43" s="16"/>
      <c r="DN43" s="16"/>
      <c r="DO43" s="16"/>
      <c r="DP43" s="16"/>
      <c r="DQ43" s="16"/>
      <c r="DR43" s="16"/>
      <c r="DS43" s="16"/>
      <c r="DT43" s="16"/>
      <c r="DU43" s="16"/>
      <c r="DV43" s="16"/>
      <c r="DW43" s="16"/>
      <c r="DX43" s="16"/>
      <c r="DY43" s="17"/>
      <c r="EA43" s="16"/>
      <c r="EB43" s="16"/>
      <c r="EC43" s="16"/>
      <c r="ED43" s="16"/>
      <c r="EE43" s="16"/>
      <c r="EF43" s="16"/>
      <c r="EG43" s="16"/>
      <c r="EH43" s="16"/>
      <c r="EI43" s="16"/>
      <c r="EJ43" s="16"/>
      <c r="EK43" s="16"/>
      <c r="EL43" s="16"/>
      <c r="EM43" s="17"/>
    </row>
    <row r="44" spans="3:143" x14ac:dyDescent="0.3">
      <c r="C44" s="18" t="s">
        <v>27</v>
      </c>
      <c r="E44" s="16">
        <v>200</v>
      </c>
      <c r="F44" s="16">
        <v>100</v>
      </c>
      <c r="G44" s="16">
        <v>0</v>
      </c>
      <c r="H44" s="16">
        <v>100</v>
      </c>
      <c r="I44" s="16">
        <v>100</v>
      </c>
      <c r="J44" s="16">
        <v>100</v>
      </c>
      <c r="K44" s="16">
        <v>100</v>
      </c>
      <c r="L44" s="16">
        <v>100</v>
      </c>
      <c r="M44" s="16">
        <v>100</v>
      </c>
      <c r="N44" s="16">
        <v>100</v>
      </c>
      <c r="O44" s="16">
        <v>100</v>
      </c>
      <c r="P44" s="16">
        <v>100</v>
      </c>
      <c r="Q44" s="17">
        <f t="shared" si="30"/>
        <v>1200</v>
      </c>
      <c r="S44" s="16"/>
      <c r="T44" s="16"/>
      <c r="U44" s="16"/>
      <c r="V44" s="16"/>
      <c r="W44" s="16"/>
      <c r="X44" s="16"/>
      <c r="Y44" s="16"/>
      <c r="Z44" s="16"/>
      <c r="AA44" s="16"/>
      <c r="AB44" s="16"/>
      <c r="AC44" s="16"/>
      <c r="AD44" s="16"/>
      <c r="AE44" s="17"/>
      <c r="AG44" s="16"/>
      <c r="AH44" s="16"/>
      <c r="AI44" s="16"/>
      <c r="AJ44" s="16"/>
      <c r="AK44" s="16"/>
      <c r="AL44" s="16"/>
      <c r="AM44" s="16"/>
      <c r="AN44" s="16"/>
      <c r="AO44" s="16"/>
      <c r="AP44" s="16"/>
      <c r="AQ44" s="16"/>
      <c r="AR44" s="16"/>
      <c r="AS44" s="17"/>
      <c r="AU44" s="16"/>
      <c r="AV44" s="16"/>
      <c r="AW44" s="16"/>
      <c r="AX44" s="16"/>
      <c r="AY44" s="16"/>
      <c r="AZ44" s="16"/>
      <c r="BA44" s="16"/>
      <c r="BB44" s="16"/>
      <c r="BC44" s="16"/>
      <c r="BD44" s="16"/>
      <c r="BE44" s="16"/>
      <c r="BF44" s="16"/>
      <c r="BG44" s="17"/>
      <c r="BI44" s="16"/>
      <c r="BJ44" s="16"/>
      <c r="BK44" s="16"/>
      <c r="BL44" s="16"/>
      <c r="BM44" s="16"/>
      <c r="BN44" s="16"/>
      <c r="BO44" s="16"/>
      <c r="BP44" s="16"/>
      <c r="BQ44" s="16"/>
      <c r="BR44" s="16"/>
      <c r="BS44" s="16"/>
      <c r="BT44" s="16"/>
      <c r="BU44" s="17"/>
      <c r="BW44" s="16"/>
      <c r="BX44" s="16"/>
      <c r="BY44" s="16"/>
      <c r="BZ44" s="16"/>
      <c r="CA44" s="16"/>
      <c r="CB44" s="16"/>
      <c r="CC44" s="16"/>
      <c r="CD44" s="16"/>
      <c r="CE44" s="16"/>
      <c r="CF44" s="16"/>
      <c r="CG44" s="16"/>
      <c r="CH44" s="16"/>
      <c r="CI44" s="17"/>
      <c r="CK44" s="16"/>
      <c r="CL44" s="16"/>
      <c r="CM44" s="16"/>
      <c r="CN44" s="16"/>
      <c r="CO44" s="16"/>
      <c r="CP44" s="16"/>
      <c r="CQ44" s="16"/>
      <c r="CR44" s="16"/>
      <c r="CS44" s="16"/>
      <c r="CT44" s="16"/>
      <c r="CU44" s="16"/>
      <c r="CV44" s="16"/>
      <c r="CW44" s="17"/>
      <c r="CY44" s="16"/>
      <c r="CZ44" s="16"/>
      <c r="DA44" s="16"/>
      <c r="DB44" s="16"/>
      <c r="DC44" s="16"/>
      <c r="DD44" s="16"/>
      <c r="DE44" s="16"/>
      <c r="DF44" s="16"/>
      <c r="DG44" s="16"/>
      <c r="DH44" s="16"/>
      <c r="DI44" s="16"/>
      <c r="DJ44" s="16"/>
      <c r="DK44" s="17"/>
      <c r="DM44" s="16"/>
      <c r="DN44" s="16"/>
      <c r="DO44" s="16"/>
      <c r="DP44" s="16"/>
      <c r="DQ44" s="16"/>
      <c r="DR44" s="16"/>
      <c r="DS44" s="16"/>
      <c r="DT44" s="16"/>
      <c r="DU44" s="16"/>
      <c r="DV44" s="16"/>
      <c r="DW44" s="16"/>
      <c r="DX44" s="16"/>
      <c r="DY44" s="17"/>
      <c r="EA44" s="16"/>
      <c r="EB44" s="16"/>
      <c r="EC44" s="16"/>
      <c r="ED44" s="16"/>
      <c r="EE44" s="16"/>
      <c r="EF44" s="16"/>
      <c r="EG44" s="16"/>
      <c r="EH44" s="16"/>
      <c r="EI44" s="16"/>
      <c r="EJ44" s="16"/>
      <c r="EK44" s="16"/>
      <c r="EL44" s="16"/>
      <c r="EM44" s="17"/>
    </row>
    <row r="45" spans="3:143" hidden="1" x14ac:dyDescent="0.3">
      <c r="C45" s="18" t="s">
        <v>15</v>
      </c>
      <c r="E45" s="16"/>
      <c r="F45" s="16"/>
      <c r="G45" s="16"/>
      <c r="H45" s="16"/>
      <c r="I45" s="16"/>
      <c r="J45" s="16"/>
      <c r="K45" s="16"/>
      <c r="L45" s="16"/>
      <c r="M45" s="16"/>
      <c r="N45" s="16"/>
      <c r="O45" s="16"/>
      <c r="P45" s="16"/>
      <c r="Q45" s="17">
        <f t="shared" si="30"/>
        <v>0</v>
      </c>
      <c r="S45" s="16"/>
      <c r="T45" s="16"/>
      <c r="U45" s="16"/>
      <c r="V45" s="16"/>
      <c r="W45" s="16"/>
      <c r="X45" s="16"/>
      <c r="Y45" s="16"/>
      <c r="Z45" s="16"/>
      <c r="AA45" s="16"/>
      <c r="AB45" s="16"/>
      <c r="AC45" s="16"/>
      <c r="AD45" s="16"/>
      <c r="AE45" s="17"/>
      <c r="AG45" s="16"/>
      <c r="AH45" s="16"/>
      <c r="AI45" s="16"/>
      <c r="AJ45" s="16"/>
      <c r="AK45" s="16"/>
      <c r="AL45" s="16"/>
      <c r="AM45" s="16"/>
      <c r="AN45" s="16"/>
      <c r="AO45" s="16"/>
      <c r="AP45" s="16"/>
      <c r="AQ45" s="16"/>
      <c r="AR45" s="16"/>
      <c r="AS45" s="17"/>
      <c r="AU45" s="16"/>
      <c r="AV45" s="16"/>
      <c r="AW45" s="16"/>
      <c r="AX45" s="16"/>
      <c r="AY45" s="16"/>
      <c r="AZ45" s="16"/>
      <c r="BA45" s="16"/>
      <c r="BB45" s="16"/>
      <c r="BC45" s="16"/>
      <c r="BD45" s="16"/>
      <c r="BE45" s="16"/>
      <c r="BF45" s="16"/>
      <c r="BG45" s="17"/>
      <c r="BI45" s="16"/>
      <c r="BJ45" s="16"/>
      <c r="BK45" s="16"/>
      <c r="BL45" s="16"/>
      <c r="BM45" s="16"/>
      <c r="BN45" s="16"/>
      <c r="BO45" s="16"/>
      <c r="BP45" s="16"/>
      <c r="BQ45" s="16"/>
      <c r="BR45" s="16"/>
      <c r="BS45" s="16"/>
      <c r="BT45" s="16"/>
      <c r="BU45" s="17"/>
      <c r="BW45" s="16"/>
      <c r="BX45" s="16"/>
      <c r="BY45" s="16"/>
      <c r="BZ45" s="16"/>
      <c r="CA45" s="16"/>
      <c r="CB45" s="16"/>
      <c r="CC45" s="16"/>
      <c r="CD45" s="16"/>
      <c r="CE45" s="16"/>
      <c r="CF45" s="16"/>
      <c r="CG45" s="16"/>
      <c r="CH45" s="16"/>
      <c r="CI45" s="17"/>
      <c r="CK45" s="16"/>
      <c r="CL45" s="16"/>
      <c r="CM45" s="16"/>
      <c r="CN45" s="16"/>
      <c r="CO45" s="16"/>
      <c r="CP45" s="16"/>
      <c r="CQ45" s="16"/>
      <c r="CR45" s="16"/>
      <c r="CS45" s="16"/>
      <c r="CT45" s="16"/>
      <c r="CU45" s="16"/>
      <c r="CV45" s="16"/>
      <c r="CW45" s="17"/>
      <c r="CY45" s="16"/>
      <c r="CZ45" s="16"/>
      <c r="DA45" s="16"/>
      <c r="DB45" s="16"/>
      <c r="DC45" s="16"/>
      <c r="DD45" s="16"/>
      <c r="DE45" s="16"/>
      <c r="DF45" s="16"/>
      <c r="DG45" s="16"/>
      <c r="DH45" s="16"/>
      <c r="DI45" s="16"/>
      <c r="DJ45" s="16"/>
      <c r="DK45" s="17"/>
      <c r="DM45" s="16"/>
      <c r="DN45" s="16"/>
      <c r="DO45" s="16"/>
      <c r="DP45" s="16"/>
      <c r="DQ45" s="16"/>
      <c r="DR45" s="16"/>
      <c r="DS45" s="16"/>
      <c r="DT45" s="16"/>
      <c r="DU45" s="16"/>
      <c r="DV45" s="16"/>
      <c r="DW45" s="16"/>
      <c r="DX45" s="16"/>
      <c r="DY45" s="17"/>
      <c r="EA45" s="16"/>
      <c r="EB45" s="16"/>
      <c r="EC45" s="16"/>
      <c r="ED45" s="16"/>
      <c r="EE45" s="16"/>
      <c r="EF45" s="16"/>
      <c r="EG45" s="16"/>
      <c r="EH45" s="16"/>
      <c r="EI45" s="16"/>
      <c r="EJ45" s="16"/>
      <c r="EK45" s="16"/>
      <c r="EL45" s="16"/>
      <c r="EM45" s="17"/>
    </row>
    <row r="46" spans="3:143" hidden="1" x14ac:dyDescent="0.3">
      <c r="C46" s="18" t="s">
        <v>15</v>
      </c>
      <c r="E46" s="16"/>
      <c r="F46" s="16"/>
      <c r="G46" s="16"/>
      <c r="H46" s="16"/>
      <c r="I46" s="16"/>
      <c r="J46" s="16"/>
      <c r="K46" s="16"/>
      <c r="L46" s="16"/>
      <c r="M46" s="16"/>
      <c r="N46" s="16"/>
      <c r="O46" s="16"/>
      <c r="P46" s="16"/>
      <c r="Q46" s="17">
        <f t="shared" si="30"/>
        <v>0</v>
      </c>
      <c r="S46" s="16"/>
      <c r="T46" s="16"/>
      <c r="U46" s="16"/>
      <c r="V46" s="16"/>
      <c r="W46" s="16"/>
      <c r="X46" s="16"/>
      <c r="Y46" s="16"/>
      <c r="Z46" s="16"/>
      <c r="AA46" s="16"/>
      <c r="AB46" s="16"/>
      <c r="AC46" s="16"/>
      <c r="AD46" s="16"/>
      <c r="AE46" s="17"/>
      <c r="AG46" s="16"/>
      <c r="AH46" s="16"/>
      <c r="AI46" s="16"/>
      <c r="AJ46" s="16"/>
      <c r="AK46" s="16"/>
      <c r="AL46" s="16"/>
      <c r="AM46" s="16"/>
      <c r="AN46" s="16"/>
      <c r="AO46" s="16"/>
      <c r="AP46" s="16"/>
      <c r="AQ46" s="16"/>
      <c r="AR46" s="16"/>
      <c r="AS46" s="17"/>
      <c r="AU46" s="16"/>
      <c r="AV46" s="16"/>
      <c r="AW46" s="16"/>
      <c r="AX46" s="16"/>
      <c r="AY46" s="16"/>
      <c r="AZ46" s="16"/>
      <c r="BA46" s="16"/>
      <c r="BB46" s="16"/>
      <c r="BC46" s="16"/>
      <c r="BD46" s="16"/>
      <c r="BE46" s="16"/>
      <c r="BF46" s="16"/>
      <c r="BG46" s="17"/>
      <c r="BI46" s="16"/>
      <c r="BJ46" s="16"/>
      <c r="BK46" s="16"/>
      <c r="BL46" s="16"/>
      <c r="BM46" s="16"/>
      <c r="BN46" s="16"/>
      <c r="BO46" s="16"/>
      <c r="BP46" s="16"/>
      <c r="BQ46" s="16"/>
      <c r="BR46" s="16"/>
      <c r="BS46" s="16"/>
      <c r="BT46" s="16"/>
      <c r="BU46" s="17"/>
      <c r="BW46" s="16"/>
      <c r="BX46" s="16"/>
      <c r="BY46" s="16"/>
      <c r="BZ46" s="16"/>
      <c r="CA46" s="16"/>
      <c r="CB46" s="16"/>
      <c r="CC46" s="16"/>
      <c r="CD46" s="16"/>
      <c r="CE46" s="16"/>
      <c r="CF46" s="16"/>
      <c r="CG46" s="16"/>
      <c r="CH46" s="16"/>
      <c r="CI46" s="17"/>
      <c r="CK46" s="16"/>
      <c r="CL46" s="16"/>
      <c r="CM46" s="16"/>
      <c r="CN46" s="16"/>
      <c r="CO46" s="16"/>
      <c r="CP46" s="16"/>
      <c r="CQ46" s="16"/>
      <c r="CR46" s="16"/>
      <c r="CS46" s="16"/>
      <c r="CT46" s="16"/>
      <c r="CU46" s="16"/>
      <c r="CV46" s="16"/>
      <c r="CW46" s="17"/>
      <c r="CY46" s="16"/>
      <c r="CZ46" s="16"/>
      <c r="DA46" s="16"/>
      <c r="DB46" s="16"/>
      <c r="DC46" s="16"/>
      <c r="DD46" s="16"/>
      <c r="DE46" s="16"/>
      <c r="DF46" s="16"/>
      <c r="DG46" s="16"/>
      <c r="DH46" s="16"/>
      <c r="DI46" s="16"/>
      <c r="DJ46" s="16"/>
      <c r="DK46" s="17"/>
      <c r="DM46" s="16"/>
      <c r="DN46" s="16"/>
      <c r="DO46" s="16"/>
      <c r="DP46" s="16"/>
      <c r="DQ46" s="16"/>
      <c r="DR46" s="16"/>
      <c r="DS46" s="16"/>
      <c r="DT46" s="16"/>
      <c r="DU46" s="16"/>
      <c r="DV46" s="16"/>
      <c r="DW46" s="16"/>
      <c r="DX46" s="16"/>
      <c r="DY46" s="17"/>
      <c r="EA46" s="16"/>
      <c r="EB46" s="16"/>
      <c r="EC46" s="16"/>
      <c r="ED46" s="16"/>
      <c r="EE46" s="16"/>
      <c r="EF46" s="16"/>
      <c r="EG46" s="16"/>
      <c r="EH46" s="16"/>
      <c r="EI46" s="16"/>
      <c r="EJ46" s="16"/>
      <c r="EK46" s="16"/>
      <c r="EL46" s="16"/>
      <c r="EM46" s="17"/>
    </row>
    <row r="47" spans="3:143" hidden="1" x14ac:dyDescent="0.3">
      <c r="C47" s="18" t="s">
        <v>15</v>
      </c>
      <c r="E47" s="16"/>
      <c r="F47" s="16"/>
      <c r="G47" s="16"/>
      <c r="H47" s="16"/>
      <c r="I47" s="16"/>
      <c r="J47" s="16"/>
      <c r="K47" s="16"/>
      <c r="L47" s="16"/>
      <c r="M47" s="16"/>
      <c r="N47" s="16"/>
      <c r="O47" s="16"/>
      <c r="P47" s="16"/>
      <c r="Q47" s="17">
        <f t="shared" si="30"/>
        <v>0</v>
      </c>
      <c r="S47" s="16"/>
      <c r="T47" s="16"/>
      <c r="U47" s="16"/>
      <c r="V47" s="16"/>
      <c r="W47" s="16"/>
      <c r="X47" s="16"/>
      <c r="Y47" s="16"/>
      <c r="Z47" s="16"/>
      <c r="AA47" s="16"/>
      <c r="AB47" s="16"/>
      <c r="AC47" s="16"/>
      <c r="AD47" s="16"/>
      <c r="AE47" s="17">
        <f t="shared" si="31"/>
        <v>0</v>
      </c>
      <c r="AG47" s="16"/>
      <c r="AH47" s="16"/>
      <c r="AI47" s="16"/>
      <c r="AJ47" s="16"/>
      <c r="AK47" s="16"/>
      <c r="AL47" s="16"/>
      <c r="AM47" s="16"/>
      <c r="AN47" s="16"/>
      <c r="AO47" s="16"/>
      <c r="AP47" s="16"/>
      <c r="AQ47" s="16"/>
      <c r="AR47" s="16"/>
      <c r="AS47" s="17">
        <f t="shared" si="32"/>
        <v>0</v>
      </c>
      <c r="AU47" s="16"/>
      <c r="AV47" s="16"/>
      <c r="AW47" s="16"/>
      <c r="AX47" s="16"/>
      <c r="AY47" s="16"/>
      <c r="AZ47" s="16"/>
      <c r="BA47" s="16"/>
      <c r="BB47" s="16"/>
      <c r="BC47" s="16"/>
      <c r="BD47" s="16"/>
      <c r="BE47" s="16"/>
      <c r="BF47" s="16"/>
      <c r="BG47" s="17">
        <f t="shared" si="33"/>
        <v>0</v>
      </c>
      <c r="BI47" s="16"/>
      <c r="BJ47" s="16"/>
      <c r="BK47" s="16"/>
      <c r="BL47" s="16"/>
      <c r="BM47" s="16"/>
      <c r="BN47" s="16"/>
      <c r="BO47" s="16"/>
      <c r="BP47" s="16"/>
      <c r="BQ47" s="16"/>
      <c r="BR47" s="16"/>
      <c r="BS47" s="16"/>
      <c r="BT47" s="16"/>
      <c r="BU47" s="17">
        <f t="shared" si="34"/>
        <v>0</v>
      </c>
      <c r="BW47" s="16"/>
      <c r="BX47" s="16"/>
      <c r="BY47" s="16"/>
      <c r="BZ47" s="16"/>
      <c r="CA47" s="16"/>
      <c r="CB47" s="16"/>
      <c r="CC47" s="16"/>
      <c r="CD47" s="16"/>
      <c r="CE47" s="16"/>
      <c r="CF47" s="16"/>
      <c r="CG47" s="16"/>
      <c r="CH47" s="16"/>
      <c r="CI47" s="17">
        <f t="shared" si="35"/>
        <v>0</v>
      </c>
      <c r="CK47" s="16"/>
      <c r="CL47" s="16"/>
      <c r="CM47" s="16"/>
      <c r="CN47" s="16"/>
      <c r="CO47" s="16"/>
      <c r="CP47" s="16"/>
      <c r="CQ47" s="16"/>
      <c r="CR47" s="16"/>
      <c r="CS47" s="16"/>
      <c r="CT47" s="16"/>
      <c r="CU47" s="16"/>
      <c r="CV47" s="16"/>
      <c r="CW47" s="17">
        <f t="shared" si="36"/>
        <v>0</v>
      </c>
      <c r="CY47" s="16"/>
      <c r="CZ47" s="16"/>
      <c r="DA47" s="16"/>
      <c r="DB47" s="16"/>
      <c r="DC47" s="16"/>
      <c r="DD47" s="16"/>
      <c r="DE47" s="16"/>
      <c r="DF47" s="16"/>
      <c r="DG47" s="16"/>
      <c r="DH47" s="16"/>
      <c r="DI47" s="16"/>
      <c r="DJ47" s="16"/>
      <c r="DK47" s="17">
        <f t="shared" si="37"/>
        <v>0</v>
      </c>
      <c r="DM47" s="16"/>
      <c r="DN47" s="16"/>
      <c r="DO47" s="16"/>
      <c r="DP47" s="16"/>
      <c r="DQ47" s="16"/>
      <c r="DR47" s="16"/>
      <c r="DS47" s="16"/>
      <c r="DT47" s="16"/>
      <c r="DU47" s="16"/>
      <c r="DV47" s="16"/>
      <c r="DW47" s="16"/>
      <c r="DX47" s="16"/>
      <c r="DY47" s="17">
        <f t="shared" si="38"/>
        <v>0</v>
      </c>
      <c r="EA47" s="16"/>
      <c r="EB47" s="16"/>
      <c r="EC47" s="16"/>
      <c r="ED47" s="16"/>
      <c r="EE47" s="16"/>
      <c r="EF47" s="16"/>
      <c r="EG47" s="16"/>
      <c r="EH47" s="16"/>
      <c r="EI47" s="16"/>
      <c r="EJ47" s="16"/>
      <c r="EK47" s="16"/>
      <c r="EL47" s="16"/>
      <c r="EM47" s="17">
        <f t="shared" si="39"/>
        <v>0</v>
      </c>
    </row>
    <row r="48" spans="3:143" hidden="1" x14ac:dyDescent="0.3">
      <c r="C48" s="18" t="s">
        <v>15</v>
      </c>
      <c r="E48" s="16"/>
      <c r="F48" s="16"/>
      <c r="G48" s="16"/>
      <c r="H48" s="16"/>
      <c r="I48" s="16"/>
      <c r="J48" s="16"/>
      <c r="K48" s="16"/>
      <c r="L48" s="16"/>
      <c r="M48" s="16"/>
      <c r="N48" s="16"/>
      <c r="O48" s="16"/>
      <c r="P48" s="16"/>
      <c r="Q48" s="17">
        <f t="shared" si="30"/>
        <v>0</v>
      </c>
      <c r="S48" s="16"/>
      <c r="T48" s="16"/>
      <c r="U48" s="16"/>
      <c r="V48" s="16"/>
      <c r="W48" s="16"/>
      <c r="X48" s="16"/>
      <c r="Y48" s="16"/>
      <c r="Z48" s="16"/>
      <c r="AA48" s="16"/>
      <c r="AB48" s="16"/>
      <c r="AC48" s="16"/>
      <c r="AD48" s="16"/>
      <c r="AE48" s="17">
        <f t="shared" si="31"/>
        <v>0</v>
      </c>
      <c r="AG48" s="16"/>
      <c r="AH48" s="16"/>
      <c r="AI48" s="16"/>
      <c r="AJ48" s="16"/>
      <c r="AK48" s="16"/>
      <c r="AL48" s="16"/>
      <c r="AM48" s="16"/>
      <c r="AN48" s="16"/>
      <c r="AO48" s="16"/>
      <c r="AP48" s="16"/>
      <c r="AQ48" s="16"/>
      <c r="AR48" s="16"/>
      <c r="AS48" s="17">
        <f t="shared" si="32"/>
        <v>0</v>
      </c>
      <c r="AU48" s="16"/>
      <c r="AV48" s="16"/>
      <c r="AW48" s="16"/>
      <c r="AX48" s="16"/>
      <c r="AY48" s="16"/>
      <c r="AZ48" s="16"/>
      <c r="BA48" s="16"/>
      <c r="BB48" s="16"/>
      <c r="BC48" s="16"/>
      <c r="BD48" s="16"/>
      <c r="BE48" s="16"/>
      <c r="BF48" s="16"/>
      <c r="BG48" s="17">
        <f t="shared" si="33"/>
        <v>0</v>
      </c>
      <c r="BI48" s="16"/>
      <c r="BJ48" s="16"/>
      <c r="BK48" s="16"/>
      <c r="BL48" s="16"/>
      <c r="BM48" s="16"/>
      <c r="BN48" s="16"/>
      <c r="BO48" s="16"/>
      <c r="BP48" s="16"/>
      <c r="BQ48" s="16"/>
      <c r="BR48" s="16"/>
      <c r="BS48" s="16"/>
      <c r="BT48" s="16"/>
      <c r="BU48" s="17">
        <f t="shared" si="34"/>
        <v>0</v>
      </c>
      <c r="BW48" s="16"/>
      <c r="BX48" s="16"/>
      <c r="BY48" s="16"/>
      <c r="BZ48" s="16"/>
      <c r="CA48" s="16"/>
      <c r="CB48" s="16"/>
      <c r="CC48" s="16"/>
      <c r="CD48" s="16"/>
      <c r="CE48" s="16"/>
      <c r="CF48" s="16"/>
      <c r="CG48" s="16"/>
      <c r="CH48" s="16"/>
      <c r="CI48" s="17">
        <f t="shared" si="35"/>
        <v>0</v>
      </c>
      <c r="CK48" s="16"/>
      <c r="CL48" s="16"/>
      <c r="CM48" s="16"/>
      <c r="CN48" s="16"/>
      <c r="CO48" s="16"/>
      <c r="CP48" s="16"/>
      <c r="CQ48" s="16"/>
      <c r="CR48" s="16"/>
      <c r="CS48" s="16"/>
      <c r="CT48" s="16"/>
      <c r="CU48" s="16"/>
      <c r="CV48" s="16"/>
      <c r="CW48" s="17">
        <f t="shared" si="36"/>
        <v>0</v>
      </c>
      <c r="CY48" s="16"/>
      <c r="CZ48" s="16"/>
      <c r="DA48" s="16"/>
      <c r="DB48" s="16"/>
      <c r="DC48" s="16"/>
      <c r="DD48" s="16"/>
      <c r="DE48" s="16"/>
      <c r="DF48" s="16"/>
      <c r="DG48" s="16"/>
      <c r="DH48" s="16"/>
      <c r="DI48" s="16"/>
      <c r="DJ48" s="16"/>
      <c r="DK48" s="17">
        <f t="shared" si="37"/>
        <v>0</v>
      </c>
      <c r="DM48" s="16"/>
      <c r="DN48" s="16"/>
      <c r="DO48" s="16"/>
      <c r="DP48" s="16"/>
      <c r="DQ48" s="16"/>
      <c r="DR48" s="16"/>
      <c r="DS48" s="16"/>
      <c r="DT48" s="16"/>
      <c r="DU48" s="16"/>
      <c r="DV48" s="16"/>
      <c r="DW48" s="16"/>
      <c r="DX48" s="16"/>
      <c r="DY48" s="17">
        <f t="shared" si="38"/>
        <v>0</v>
      </c>
      <c r="EA48" s="16"/>
      <c r="EB48" s="16"/>
      <c r="EC48" s="16"/>
      <c r="ED48" s="16"/>
      <c r="EE48" s="16"/>
      <c r="EF48" s="16"/>
      <c r="EG48" s="16"/>
      <c r="EH48" s="16"/>
      <c r="EI48" s="16"/>
      <c r="EJ48" s="16"/>
      <c r="EK48" s="16"/>
      <c r="EL48" s="16"/>
      <c r="EM48" s="17">
        <f t="shared" si="39"/>
        <v>0</v>
      </c>
    </row>
    <row r="49" spans="3:143" hidden="1" x14ac:dyDescent="0.3">
      <c r="C49" s="18" t="s">
        <v>15</v>
      </c>
      <c r="E49" s="16"/>
      <c r="F49" s="16"/>
      <c r="G49" s="16"/>
      <c r="H49" s="16"/>
      <c r="I49" s="16"/>
      <c r="J49" s="16"/>
      <c r="K49" s="16"/>
      <c r="L49" s="16"/>
      <c r="M49" s="16"/>
      <c r="N49" s="16"/>
      <c r="O49" s="16"/>
      <c r="P49" s="16"/>
      <c r="Q49" s="17">
        <f t="shared" si="30"/>
        <v>0</v>
      </c>
      <c r="S49" s="16"/>
      <c r="T49" s="16"/>
      <c r="U49" s="16"/>
      <c r="V49" s="16"/>
      <c r="W49" s="16"/>
      <c r="X49" s="16"/>
      <c r="Y49" s="16"/>
      <c r="Z49" s="16"/>
      <c r="AA49" s="16"/>
      <c r="AB49" s="16"/>
      <c r="AC49" s="16"/>
      <c r="AD49" s="16"/>
      <c r="AE49" s="17">
        <f t="shared" si="31"/>
        <v>0</v>
      </c>
      <c r="AG49" s="16"/>
      <c r="AH49" s="16"/>
      <c r="AI49" s="16"/>
      <c r="AJ49" s="16"/>
      <c r="AK49" s="16"/>
      <c r="AL49" s="16"/>
      <c r="AM49" s="16"/>
      <c r="AN49" s="16"/>
      <c r="AO49" s="16"/>
      <c r="AP49" s="16"/>
      <c r="AQ49" s="16"/>
      <c r="AR49" s="16"/>
      <c r="AS49" s="17">
        <f t="shared" si="32"/>
        <v>0</v>
      </c>
      <c r="AU49" s="16"/>
      <c r="AV49" s="16"/>
      <c r="AW49" s="16"/>
      <c r="AX49" s="16"/>
      <c r="AY49" s="16"/>
      <c r="AZ49" s="16"/>
      <c r="BA49" s="16"/>
      <c r="BB49" s="16"/>
      <c r="BC49" s="16"/>
      <c r="BD49" s="16"/>
      <c r="BE49" s="16"/>
      <c r="BF49" s="16"/>
      <c r="BG49" s="17">
        <f t="shared" si="33"/>
        <v>0</v>
      </c>
      <c r="BI49" s="16"/>
      <c r="BJ49" s="16"/>
      <c r="BK49" s="16"/>
      <c r="BL49" s="16"/>
      <c r="BM49" s="16"/>
      <c r="BN49" s="16"/>
      <c r="BO49" s="16"/>
      <c r="BP49" s="16"/>
      <c r="BQ49" s="16"/>
      <c r="BR49" s="16"/>
      <c r="BS49" s="16"/>
      <c r="BT49" s="16"/>
      <c r="BU49" s="17">
        <f t="shared" si="34"/>
        <v>0</v>
      </c>
      <c r="BW49" s="16"/>
      <c r="BX49" s="16"/>
      <c r="BY49" s="16"/>
      <c r="BZ49" s="16"/>
      <c r="CA49" s="16"/>
      <c r="CB49" s="16"/>
      <c r="CC49" s="16"/>
      <c r="CD49" s="16"/>
      <c r="CE49" s="16"/>
      <c r="CF49" s="16"/>
      <c r="CG49" s="16"/>
      <c r="CH49" s="16"/>
      <c r="CI49" s="17">
        <f t="shared" si="35"/>
        <v>0</v>
      </c>
      <c r="CK49" s="16"/>
      <c r="CL49" s="16"/>
      <c r="CM49" s="16"/>
      <c r="CN49" s="16"/>
      <c r="CO49" s="16"/>
      <c r="CP49" s="16"/>
      <c r="CQ49" s="16"/>
      <c r="CR49" s="16"/>
      <c r="CS49" s="16"/>
      <c r="CT49" s="16"/>
      <c r="CU49" s="16"/>
      <c r="CV49" s="16"/>
      <c r="CW49" s="17">
        <f t="shared" si="36"/>
        <v>0</v>
      </c>
      <c r="CY49" s="16"/>
      <c r="CZ49" s="16"/>
      <c r="DA49" s="16"/>
      <c r="DB49" s="16"/>
      <c r="DC49" s="16"/>
      <c r="DD49" s="16"/>
      <c r="DE49" s="16"/>
      <c r="DF49" s="16"/>
      <c r="DG49" s="16"/>
      <c r="DH49" s="16"/>
      <c r="DI49" s="16"/>
      <c r="DJ49" s="16"/>
      <c r="DK49" s="17">
        <f t="shared" si="37"/>
        <v>0</v>
      </c>
      <c r="DM49" s="16"/>
      <c r="DN49" s="16"/>
      <c r="DO49" s="16"/>
      <c r="DP49" s="16"/>
      <c r="DQ49" s="16"/>
      <c r="DR49" s="16"/>
      <c r="DS49" s="16"/>
      <c r="DT49" s="16"/>
      <c r="DU49" s="16"/>
      <c r="DV49" s="16"/>
      <c r="DW49" s="16"/>
      <c r="DX49" s="16"/>
      <c r="DY49" s="17">
        <f t="shared" si="38"/>
        <v>0</v>
      </c>
      <c r="EA49" s="16"/>
      <c r="EB49" s="16"/>
      <c r="EC49" s="16"/>
      <c r="ED49" s="16"/>
      <c r="EE49" s="16"/>
      <c r="EF49" s="16"/>
      <c r="EG49" s="16"/>
      <c r="EH49" s="16"/>
      <c r="EI49" s="16"/>
      <c r="EJ49" s="16"/>
      <c r="EK49" s="16"/>
      <c r="EL49" s="16"/>
      <c r="EM49" s="17">
        <f t="shared" si="39"/>
        <v>0</v>
      </c>
    </row>
    <row r="50" spans="3:143" x14ac:dyDescent="0.3">
      <c r="C50" s="9" t="s">
        <v>7</v>
      </c>
      <c r="E50" s="15" cm="1">
        <f t="array" aca="1" ref="E50" ca="1">SUM(INDIRECT(ADDRESS(savings_min_row,COLUMN())&amp;":"&amp;ADDRESS(savings_max_row,COLUMN())))</f>
        <v>1750</v>
      </c>
      <c r="F50" s="15" cm="1">
        <f t="array" aca="1" ref="F50" ca="1">SUM(INDIRECT(ADDRESS(savings_min_row,COLUMN())&amp;":"&amp;ADDRESS(savings_max_row,COLUMN())))</f>
        <v>1650</v>
      </c>
      <c r="G50" s="15" cm="1">
        <f t="array" aca="1" ref="G50" ca="1">SUM(INDIRECT(ADDRESS(savings_min_row,COLUMN())&amp;":"&amp;ADDRESS(savings_max_row,COLUMN())))</f>
        <v>1550</v>
      </c>
      <c r="H50" s="15" cm="1">
        <f t="array" aca="1" ref="H50" ca="1">SUM(INDIRECT(ADDRESS(savings_min_row,COLUMN())&amp;":"&amp;ADDRESS(savings_max_row,COLUMN())))</f>
        <v>1850</v>
      </c>
      <c r="I50" s="15" cm="1">
        <f t="array" aca="1" ref="I50" ca="1">SUM(INDIRECT(ADDRESS(savings_min_row,COLUMN())&amp;":"&amp;ADDRESS(savings_max_row,COLUMN())))</f>
        <v>2650</v>
      </c>
      <c r="J50" s="15" cm="1">
        <f t="array" aca="1" ref="J50" ca="1">SUM(INDIRECT(ADDRESS(savings_min_row,COLUMN())&amp;":"&amp;ADDRESS(savings_max_row,COLUMN())))</f>
        <v>2550</v>
      </c>
      <c r="K50" s="15" cm="1">
        <f t="array" aca="1" ref="K50" ca="1">SUM(INDIRECT(ADDRESS(savings_min_row,COLUMN())&amp;":"&amp;ADDRESS(savings_max_row,COLUMN())))</f>
        <v>2750</v>
      </c>
      <c r="L50" s="15" cm="1">
        <f t="array" aca="1" ref="L50" ca="1">SUM(INDIRECT(ADDRESS(savings_min_row,COLUMN())&amp;":"&amp;ADDRESS(savings_max_row,COLUMN())))</f>
        <v>1450</v>
      </c>
      <c r="M50" s="15" cm="1">
        <f t="array" aca="1" ref="M50" ca="1">SUM(INDIRECT(ADDRESS(savings_min_row,COLUMN())&amp;":"&amp;ADDRESS(savings_max_row,COLUMN())))</f>
        <v>2550</v>
      </c>
      <c r="N50" s="15" cm="1">
        <f t="array" aca="1" ref="N50" ca="1">SUM(INDIRECT(ADDRESS(savings_min_row,COLUMN())&amp;":"&amp;ADDRESS(savings_max_row,COLUMN())))</f>
        <v>2750</v>
      </c>
      <c r="O50" s="15" cm="1">
        <f t="array" aca="1" ref="O50" ca="1">SUM(INDIRECT(ADDRESS(savings_min_row,COLUMN())&amp;":"&amp;ADDRESS(savings_max_row,COLUMN())))</f>
        <v>2650</v>
      </c>
      <c r="P50" s="15" cm="1">
        <f t="array" aca="1" ref="P50" ca="1">SUM(INDIRECT(ADDRESS(savings_min_row,COLUMN())&amp;":"&amp;ADDRESS(savings_max_row,COLUMN())))</f>
        <v>2250</v>
      </c>
      <c r="Q50" s="15" cm="1">
        <f t="array" aca="1" ref="Q50" ca="1">SUM(INDIRECT(ADDRESS(savings_min_row,COLUMN())&amp;":"&amp;ADDRESS(savings_max_row,COLUMN())))</f>
        <v>26400</v>
      </c>
      <c r="S50" s="15" cm="1">
        <f t="array" aca="1" ref="S50" ca="1">SUM(INDIRECT(ADDRESS(savings_min_row,COLUMN())&amp;":"&amp;ADDRESS(savings_max_row,COLUMN())))</f>
        <v>0</v>
      </c>
      <c r="T50" s="15" cm="1">
        <f t="array" aca="1" ref="T50" ca="1">SUM(INDIRECT(ADDRESS(savings_min_row,COLUMN())&amp;":"&amp;ADDRESS(savings_max_row,COLUMN())))</f>
        <v>0</v>
      </c>
      <c r="U50" s="15" cm="1">
        <f t="array" aca="1" ref="U50" ca="1">SUM(INDIRECT(ADDRESS(savings_min_row,COLUMN())&amp;":"&amp;ADDRESS(savings_max_row,COLUMN())))</f>
        <v>0</v>
      </c>
      <c r="V50" s="15" cm="1">
        <f t="array" aca="1" ref="V50" ca="1">SUM(INDIRECT(ADDRESS(savings_min_row,COLUMN())&amp;":"&amp;ADDRESS(savings_max_row,COLUMN())))</f>
        <v>0</v>
      </c>
      <c r="W50" s="15" cm="1">
        <f t="array" aca="1" ref="W50" ca="1">SUM(INDIRECT(ADDRESS(savings_min_row,COLUMN())&amp;":"&amp;ADDRESS(savings_max_row,COLUMN())))</f>
        <v>0</v>
      </c>
      <c r="X50" s="15" cm="1">
        <f t="array" aca="1" ref="X50" ca="1">SUM(INDIRECT(ADDRESS(savings_min_row,COLUMN())&amp;":"&amp;ADDRESS(savings_max_row,COLUMN())))</f>
        <v>0</v>
      </c>
      <c r="Y50" s="15" cm="1">
        <f t="array" aca="1" ref="Y50" ca="1">SUM(INDIRECT(ADDRESS(savings_min_row,COLUMN())&amp;":"&amp;ADDRESS(savings_max_row,COLUMN())))</f>
        <v>0</v>
      </c>
      <c r="Z50" s="15" cm="1">
        <f t="array" aca="1" ref="Z50" ca="1">SUM(INDIRECT(ADDRESS(savings_min_row,COLUMN())&amp;":"&amp;ADDRESS(savings_max_row,COLUMN())))</f>
        <v>0</v>
      </c>
      <c r="AA50" s="15" cm="1">
        <f t="array" aca="1" ref="AA50" ca="1">SUM(INDIRECT(ADDRESS(savings_min_row,COLUMN())&amp;":"&amp;ADDRESS(savings_max_row,COLUMN())))</f>
        <v>0</v>
      </c>
      <c r="AB50" s="15" cm="1">
        <f t="array" aca="1" ref="AB50" ca="1">SUM(INDIRECT(ADDRESS(savings_min_row,COLUMN())&amp;":"&amp;ADDRESS(savings_max_row,COLUMN())))</f>
        <v>0</v>
      </c>
      <c r="AC50" s="15" cm="1">
        <f t="array" aca="1" ref="AC50" ca="1">SUM(INDIRECT(ADDRESS(savings_min_row,COLUMN())&amp;":"&amp;ADDRESS(savings_max_row,COLUMN())))</f>
        <v>0</v>
      </c>
      <c r="AD50" s="15" cm="1">
        <f t="array" aca="1" ref="AD50" ca="1">SUM(INDIRECT(ADDRESS(savings_min_row,COLUMN())&amp;":"&amp;ADDRESS(savings_max_row,COLUMN())))</f>
        <v>0</v>
      </c>
      <c r="AE50" s="15" cm="1">
        <f t="array" aca="1" ref="AE50" ca="1">SUM(INDIRECT(ADDRESS(savings_min_row,COLUMN())&amp;":"&amp;ADDRESS(savings_max_row,COLUMN())))</f>
        <v>0</v>
      </c>
      <c r="AG50" s="15" cm="1">
        <f t="array" aca="1" ref="AG50" ca="1">SUM(INDIRECT(ADDRESS(savings_min_row,COLUMN())&amp;":"&amp;ADDRESS(savings_max_row,COLUMN())))</f>
        <v>0</v>
      </c>
      <c r="AH50" s="15" cm="1">
        <f t="array" aca="1" ref="AH50" ca="1">SUM(INDIRECT(ADDRESS(savings_min_row,COLUMN())&amp;":"&amp;ADDRESS(savings_max_row,COLUMN())))</f>
        <v>0</v>
      </c>
      <c r="AI50" s="15" cm="1">
        <f t="array" aca="1" ref="AI50" ca="1">SUM(INDIRECT(ADDRESS(savings_min_row,COLUMN())&amp;":"&amp;ADDRESS(savings_max_row,COLUMN())))</f>
        <v>0</v>
      </c>
      <c r="AJ50" s="15" cm="1">
        <f t="array" aca="1" ref="AJ50" ca="1">SUM(INDIRECT(ADDRESS(savings_min_row,COLUMN())&amp;":"&amp;ADDRESS(savings_max_row,COLUMN())))</f>
        <v>0</v>
      </c>
      <c r="AK50" s="15" cm="1">
        <f t="array" aca="1" ref="AK50" ca="1">SUM(INDIRECT(ADDRESS(savings_min_row,COLUMN())&amp;":"&amp;ADDRESS(savings_max_row,COLUMN())))</f>
        <v>0</v>
      </c>
      <c r="AL50" s="15" cm="1">
        <f t="array" aca="1" ref="AL50" ca="1">SUM(INDIRECT(ADDRESS(savings_min_row,COLUMN())&amp;":"&amp;ADDRESS(savings_max_row,COLUMN())))</f>
        <v>0</v>
      </c>
      <c r="AM50" s="15" cm="1">
        <f t="array" aca="1" ref="AM50" ca="1">SUM(INDIRECT(ADDRESS(savings_min_row,COLUMN())&amp;":"&amp;ADDRESS(savings_max_row,COLUMN())))</f>
        <v>0</v>
      </c>
      <c r="AN50" s="15" cm="1">
        <f t="array" aca="1" ref="AN50" ca="1">SUM(INDIRECT(ADDRESS(savings_min_row,COLUMN())&amp;":"&amp;ADDRESS(savings_max_row,COLUMN())))</f>
        <v>0</v>
      </c>
      <c r="AO50" s="15" cm="1">
        <f t="array" aca="1" ref="AO50" ca="1">SUM(INDIRECT(ADDRESS(savings_min_row,COLUMN())&amp;":"&amp;ADDRESS(savings_max_row,COLUMN())))</f>
        <v>0</v>
      </c>
      <c r="AP50" s="15" cm="1">
        <f t="array" aca="1" ref="AP50" ca="1">SUM(INDIRECT(ADDRESS(savings_min_row,COLUMN())&amp;":"&amp;ADDRESS(savings_max_row,COLUMN())))</f>
        <v>0</v>
      </c>
      <c r="AQ50" s="15" cm="1">
        <f t="array" aca="1" ref="AQ50" ca="1">SUM(INDIRECT(ADDRESS(savings_min_row,COLUMN())&amp;":"&amp;ADDRESS(savings_max_row,COLUMN())))</f>
        <v>0</v>
      </c>
      <c r="AR50" s="15" cm="1">
        <f t="array" aca="1" ref="AR50" ca="1">SUM(INDIRECT(ADDRESS(savings_min_row,COLUMN())&amp;":"&amp;ADDRESS(savings_max_row,COLUMN())))</f>
        <v>0</v>
      </c>
      <c r="AS50" s="15" cm="1">
        <f t="array" aca="1" ref="AS50" ca="1">SUM(INDIRECT(ADDRESS(savings_min_row,COLUMN())&amp;":"&amp;ADDRESS(savings_max_row,COLUMN())))</f>
        <v>0</v>
      </c>
      <c r="AU50" s="15" cm="1">
        <f t="array" aca="1" ref="AU50" ca="1">SUM(INDIRECT(ADDRESS(savings_min_row,COLUMN())&amp;":"&amp;ADDRESS(savings_max_row,COLUMN())))</f>
        <v>0</v>
      </c>
      <c r="AV50" s="15" cm="1">
        <f t="array" aca="1" ref="AV50" ca="1">SUM(INDIRECT(ADDRESS(savings_min_row,COLUMN())&amp;":"&amp;ADDRESS(savings_max_row,COLUMN())))</f>
        <v>0</v>
      </c>
      <c r="AW50" s="15" cm="1">
        <f t="array" aca="1" ref="AW50" ca="1">SUM(INDIRECT(ADDRESS(savings_min_row,COLUMN())&amp;":"&amp;ADDRESS(savings_max_row,COLUMN())))</f>
        <v>0</v>
      </c>
      <c r="AX50" s="15" cm="1">
        <f t="array" aca="1" ref="AX50" ca="1">SUM(INDIRECT(ADDRESS(savings_min_row,COLUMN())&amp;":"&amp;ADDRESS(savings_max_row,COLUMN())))</f>
        <v>0</v>
      </c>
      <c r="AY50" s="15" cm="1">
        <f t="array" aca="1" ref="AY50" ca="1">SUM(INDIRECT(ADDRESS(savings_min_row,COLUMN())&amp;":"&amp;ADDRESS(savings_max_row,COLUMN())))</f>
        <v>0</v>
      </c>
      <c r="AZ50" s="15" cm="1">
        <f t="array" aca="1" ref="AZ50" ca="1">SUM(INDIRECT(ADDRESS(savings_min_row,COLUMN())&amp;":"&amp;ADDRESS(savings_max_row,COLUMN())))</f>
        <v>0</v>
      </c>
      <c r="BA50" s="15" cm="1">
        <f t="array" aca="1" ref="BA50" ca="1">SUM(INDIRECT(ADDRESS(savings_min_row,COLUMN())&amp;":"&amp;ADDRESS(savings_max_row,COLUMN())))</f>
        <v>0</v>
      </c>
      <c r="BB50" s="15" cm="1">
        <f t="array" aca="1" ref="BB50" ca="1">SUM(INDIRECT(ADDRESS(savings_min_row,COLUMN())&amp;":"&amp;ADDRESS(savings_max_row,COLUMN())))</f>
        <v>0</v>
      </c>
      <c r="BC50" s="15" cm="1">
        <f t="array" aca="1" ref="BC50" ca="1">SUM(INDIRECT(ADDRESS(savings_min_row,COLUMN())&amp;":"&amp;ADDRESS(savings_max_row,COLUMN())))</f>
        <v>0</v>
      </c>
      <c r="BD50" s="15" cm="1">
        <f t="array" aca="1" ref="BD50" ca="1">SUM(INDIRECT(ADDRESS(savings_min_row,COLUMN())&amp;":"&amp;ADDRESS(savings_max_row,COLUMN())))</f>
        <v>0</v>
      </c>
      <c r="BE50" s="15" cm="1">
        <f t="array" aca="1" ref="BE50" ca="1">SUM(INDIRECT(ADDRESS(savings_min_row,COLUMN())&amp;":"&amp;ADDRESS(savings_max_row,COLUMN())))</f>
        <v>0</v>
      </c>
      <c r="BF50" s="15" cm="1">
        <f t="array" aca="1" ref="BF50" ca="1">SUM(INDIRECT(ADDRESS(savings_min_row,COLUMN())&amp;":"&amp;ADDRESS(savings_max_row,COLUMN())))</f>
        <v>0</v>
      </c>
      <c r="BG50" s="15" cm="1">
        <f t="array" aca="1" ref="BG50" ca="1">SUM(INDIRECT(ADDRESS(savings_min_row,COLUMN())&amp;":"&amp;ADDRESS(savings_max_row,COLUMN())))</f>
        <v>0</v>
      </c>
      <c r="BI50" s="15" cm="1">
        <f t="array" aca="1" ref="BI50" ca="1">SUM(INDIRECT(ADDRESS(savings_min_row,COLUMN())&amp;":"&amp;ADDRESS(savings_max_row,COLUMN())))</f>
        <v>0</v>
      </c>
      <c r="BJ50" s="15" cm="1">
        <f t="array" aca="1" ref="BJ50" ca="1">SUM(INDIRECT(ADDRESS(savings_min_row,COLUMN())&amp;":"&amp;ADDRESS(savings_max_row,COLUMN())))</f>
        <v>0</v>
      </c>
      <c r="BK50" s="15" cm="1">
        <f t="array" aca="1" ref="BK50" ca="1">SUM(INDIRECT(ADDRESS(savings_min_row,COLUMN())&amp;":"&amp;ADDRESS(savings_max_row,COLUMN())))</f>
        <v>0</v>
      </c>
      <c r="BL50" s="15" cm="1">
        <f t="array" aca="1" ref="BL50" ca="1">SUM(INDIRECT(ADDRESS(savings_min_row,COLUMN())&amp;":"&amp;ADDRESS(savings_max_row,COLUMN())))</f>
        <v>0</v>
      </c>
      <c r="BM50" s="15" cm="1">
        <f t="array" aca="1" ref="BM50" ca="1">SUM(INDIRECT(ADDRESS(savings_min_row,COLUMN())&amp;":"&amp;ADDRESS(savings_max_row,COLUMN())))</f>
        <v>0</v>
      </c>
      <c r="BN50" s="15" cm="1">
        <f t="array" aca="1" ref="BN50" ca="1">SUM(INDIRECT(ADDRESS(savings_min_row,COLUMN())&amp;":"&amp;ADDRESS(savings_max_row,COLUMN())))</f>
        <v>0</v>
      </c>
      <c r="BO50" s="15" cm="1">
        <f t="array" aca="1" ref="BO50" ca="1">SUM(INDIRECT(ADDRESS(savings_min_row,COLUMN())&amp;":"&amp;ADDRESS(savings_max_row,COLUMN())))</f>
        <v>0</v>
      </c>
      <c r="BP50" s="15" cm="1">
        <f t="array" aca="1" ref="BP50" ca="1">SUM(INDIRECT(ADDRESS(savings_min_row,COLUMN())&amp;":"&amp;ADDRESS(savings_max_row,COLUMN())))</f>
        <v>0</v>
      </c>
      <c r="BQ50" s="15" cm="1">
        <f t="array" aca="1" ref="BQ50" ca="1">SUM(INDIRECT(ADDRESS(savings_min_row,COLUMN())&amp;":"&amp;ADDRESS(savings_max_row,COLUMN())))</f>
        <v>0</v>
      </c>
      <c r="BR50" s="15" cm="1">
        <f t="array" aca="1" ref="BR50" ca="1">SUM(INDIRECT(ADDRESS(savings_min_row,COLUMN())&amp;":"&amp;ADDRESS(savings_max_row,COLUMN())))</f>
        <v>0</v>
      </c>
      <c r="BS50" s="15" cm="1">
        <f t="array" aca="1" ref="BS50" ca="1">SUM(INDIRECT(ADDRESS(savings_min_row,COLUMN())&amp;":"&amp;ADDRESS(savings_max_row,COLUMN())))</f>
        <v>0</v>
      </c>
      <c r="BT50" s="15" cm="1">
        <f t="array" aca="1" ref="BT50" ca="1">SUM(INDIRECT(ADDRESS(savings_min_row,COLUMN())&amp;":"&amp;ADDRESS(savings_max_row,COLUMN())))</f>
        <v>0</v>
      </c>
      <c r="BU50" s="15" cm="1">
        <f t="array" aca="1" ref="BU50" ca="1">SUM(INDIRECT(ADDRESS(savings_min_row,COLUMN())&amp;":"&amp;ADDRESS(savings_max_row,COLUMN())))</f>
        <v>0</v>
      </c>
      <c r="BW50" s="15" cm="1">
        <f t="array" aca="1" ref="BW50" ca="1">SUM(INDIRECT(ADDRESS(savings_min_row,COLUMN())&amp;":"&amp;ADDRESS(savings_max_row,COLUMN())))</f>
        <v>0</v>
      </c>
      <c r="BX50" s="15" cm="1">
        <f t="array" aca="1" ref="BX50" ca="1">SUM(INDIRECT(ADDRESS(savings_min_row,COLUMN())&amp;":"&amp;ADDRESS(savings_max_row,COLUMN())))</f>
        <v>0</v>
      </c>
      <c r="BY50" s="15" cm="1">
        <f t="array" aca="1" ref="BY50" ca="1">SUM(INDIRECT(ADDRESS(savings_min_row,COLUMN())&amp;":"&amp;ADDRESS(savings_max_row,COLUMN())))</f>
        <v>0</v>
      </c>
      <c r="BZ50" s="15" cm="1">
        <f t="array" aca="1" ref="BZ50" ca="1">SUM(INDIRECT(ADDRESS(savings_min_row,COLUMN())&amp;":"&amp;ADDRESS(savings_max_row,COLUMN())))</f>
        <v>0</v>
      </c>
      <c r="CA50" s="15" cm="1">
        <f t="array" aca="1" ref="CA50" ca="1">SUM(INDIRECT(ADDRESS(savings_min_row,COLUMN())&amp;":"&amp;ADDRESS(savings_max_row,COLUMN())))</f>
        <v>0</v>
      </c>
      <c r="CB50" s="15" cm="1">
        <f t="array" aca="1" ref="CB50" ca="1">SUM(INDIRECT(ADDRESS(savings_min_row,COLUMN())&amp;":"&amp;ADDRESS(savings_max_row,COLUMN())))</f>
        <v>0</v>
      </c>
      <c r="CC50" s="15" cm="1">
        <f t="array" aca="1" ref="CC50" ca="1">SUM(INDIRECT(ADDRESS(savings_min_row,COLUMN())&amp;":"&amp;ADDRESS(savings_max_row,COLUMN())))</f>
        <v>0</v>
      </c>
      <c r="CD50" s="15" cm="1">
        <f t="array" aca="1" ref="CD50" ca="1">SUM(INDIRECT(ADDRESS(savings_min_row,COLUMN())&amp;":"&amp;ADDRESS(savings_max_row,COLUMN())))</f>
        <v>0</v>
      </c>
      <c r="CE50" s="15" cm="1">
        <f t="array" aca="1" ref="CE50" ca="1">SUM(INDIRECT(ADDRESS(savings_min_row,COLUMN())&amp;":"&amp;ADDRESS(savings_max_row,COLUMN())))</f>
        <v>0</v>
      </c>
      <c r="CF50" s="15" cm="1">
        <f t="array" aca="1" ref="CF50" ca="1">SUM(INDIRECT(ADDRESS(savings_min_row,COLUMN())&amp;":"&amp;ADDRESS(savings_max_row,COLUMN())))</f>
        <v>0</v>
      </c>
      <c r="CG50" s="15" cm="1">
        <f t="array" aca="1" ref="CG50" ca="1">SUM(INDIRECT(ADDRESS(savings_min_row,COLUMN())&amp;":"&amp;ADDRESS(savings_max_row,COLUMN())))</f>
        <v>0</v>
      </c>
      <c r="CH50" s="15" cm="1">
        <f t="array" aca="1" ref="CH50" ca="1">SUM(INDIRECT(ADDRESS(savings_min_row,COLUMN())&amp;":"&amp;ADDRESS(savings_max_row,COLUMN())))</f>
        <v>0</v>
      </c>
      <c r="CI50" s="15" cm="1">
        <f t="array" aca="1" ref="CI50" ca="1">SUM(INDIRECT(ADDRESS(savings_min_row,COLUMN())&amp;":"&amp;ADDRESS(savings_max_row,COLUMN())))</f>
        <v>0</v>
      </c>
      <c r="CK50" s="15" cm="1">
        <f t="array" aca="1" ref="CK50" ca="1">SUM(INDIRECT(ADDRESS(savings_min_row,COLUMN())&amp;":"&amp;ADDRESS(savings_max_row,COLUMN())))</f>
        <v>0</v>
      </c>
      <c r="CL50" s="15" cm="1">
        <f t="array" aca="1" ref="CL50" ca="1">SUM(INDIRECT(ADDRESS(savings_min_row,COLUMN())&amp;":"&amp;ADDRESS(savings_max_row,COLUMN())))</f>
        <v>0</v>
      </c>
      <c r="CM50" s="15" cm="1">
        <f t="array" aca="1" ref="CM50" ca="1">SUM(INDIRECT(ADDRESS(savings_min_row,COLUMN())&amp;":"&amp;ADDRESS(savings_max_row,COLUMN())))</f>
        <v>0</v>
      </c>
      <c r="CN50" s="15" cm="1">
        <f t="array" aca="1" ref="CN50" ca="1">SUM(INDIRECT(ADDRESS(savings_min_row,COLUMN())&amp;":"&amp;ADDRESS(savings_max_row,COLUMN())))</f>
        <v>0</v>
      </c>
      <c r="CO50" s="15" cm="1">
        <f t="array" aca="1" ref="CO50" ca="1">SUM(INDIRECT(ADDRESS(savings_min_row,COLUMN())&amp;":"&amp;ADDRESS(savings_max_row,COLUMN())))</f>
        <v>0</v>
      </c>
      <c r="CP50" s="15" cm="1">
        <f t="array" aca="1" ref="CP50" ca="1">SUM(INDIRECT(ADDRESS(savings_min_row,COLUMN())&amp;":"&amp;ADDRESS(savings_max_row,COLUMN())))</f>
        <v>0</v>
      </c>
      <c r="CQ50" s="15" cm="1">
        <f t="array" aca="1" ref="CQ50" ca="1">SUM(INDIRECT(ADDRESS(savings_min_row,COLUMN())&amp;":"&amp;ADDRESS(savings_max_row,COLUMN())))</f>
        <v>0</v>
      </c>
      <c r="CR50" s="15" cm="1">
        <f t="array" aca="1" ref="CR50" ca="1">SUM(INDIRECT(ADDRESS(savings_min_row,COLUMN())&amp;":"&amp;ADDRESS(savings_max_row,COLUMN())))</f>
        <v>0</v>
      </c>
      <c r="CS50" s="15" cm="1">
        <f t="array" aca="1" ref="CS50" ca="1">SUM(INDIRECT(ADDRESS(savings_min_row,COLUMN())&amp;":"&amp;ADDRESS(savings_max_row,COLUMN())))</f>
        <v>0</v>
      </c>
      <c r="CT50" s="15" cm="1">
        <f t="array" aca="1" ref="CT50" ca="1">SUM(INDIRECT(ADDRESS(savings_min_row,COLUMN())&amp;":"&amp;ADDRESS(savings_max_row,COLUMN())))</f>
        <v>0</v>
      </c>
      <c r="CU50" s="15" cm="1">
        <f t="array" aca="1" ref="CU50" ca="1">SUM(INDIRECT(ADDRESS(savings_min_row,COLUMN())&amp;":"&amp;ADDRESS(savings_max_row,COLUMN())))</f>
        <v>0</v>
      </c>
      <c r="CV50" s="15" cm="1">
        <f t="array" aca="1" ref="CV50" ca="1">SUM(INDIRECT(ADDRESS(savings_min_row,COLUMN())&amp;":"&amp;ADDRESS(savings_max_row,COLUMN())))</f>
        <v>0</v>
      </c>
      <c r="CW50" s="15" cm="1">
        <f t="array" aca="1" ref="CW50" ca="1">SUM(INDIRECT(ADDRESS(savings_min_row,COLUMN())&amp;":"&amp;ADDRESS(savings_max_row,COLUMN())))</f>
        <v>0</v>
      </c>
      <c r="CY50" s="15" cm="1">
        <f t="array" aca="1" ref="CY50" ca="1">SUM(INDIRECT(ADDRESS(savings_min_row,COLUMN())&amp;":"&amp;ADDRESS(savings_max_row,COLUMN())))</f>
        <v>0</v>
      </c>
      <c r="CZ50" s="15" cm="1">
        <f t="array" aca="1" ref="CZ50" ca="1">SUM(INDIRECT(ADDRESS(savings_min_row,COLUMN())&amp;":"&amp;ADDRESS(savings_max_row,COLUMN())))</f>
        <v>0</v>
      </c>
      <c r="DA50" s="15" cm="1">
        <f t="array" aca="1" ref="DA50" ca="1">SUM(INDIRECT(ADDRESS(savings_min_row,COLUMN())&amp;":"&amp;ADDRESS(savings_max_row,COLUMN())))</f>
        <v>0</v>
      </c>
      <c r="DB50" s="15" cm="1">
        <f t="array" aca="1" ref="DB50" ca="1">SUM(INDIRECT(ADDRESS(savings_min_row,COLUMN())&amp;":"&amp;ADDRESS(savings_max_row,COLUMN())))</f>
        <v>0</v>
      </c>
      <c r="DC50" s="15" cm="1">
        <f t="array" aca="1" ref="DC50" ca="1">SUM(INDIRECT(ADDRESS(savings_min_row,COLUMN())&amp;":"&amp;ADDRESS(savings_max_row,COLUMN())))</f>
        <v>0</v>
      </c>
      <c r="DD50" s="15" cm="1">
        <f t="array" aca="1" ref="DD50" ca="1">SUM(INDIRECT(ADDRESS(savings_min_row,COLUMN())&amp;":"&amp;ADDRESS(savings_max_row,COLUMN())))</f>
        <v>0</v>
      </c>
      <c r="DE50" s="15" cm="1">
        <f t="array" aca="1" ref="DE50" ca="1">SUM(INDIRECT(ADDRESS(savings_min_row,COLUMN())&amp;":"&amp;ADDRESS(savings_max_row,COLUMN())))</f>
        <v>0</v>
      </c>
      <c r="DF50" s="15" cm="1">
        <f t="array" aca="1" ref="DF50" ca="1">SUM(INDIRECT(ADDRESS(savings_min_row,COLUMN())&amp;":"&amp;ADDRESS(savings_max_row,COLUMN())))</f>
        <v>0</v>
      </c>
      <c r="DG50" s="15" cm="1">
        <f t="array" aca="1" ref="DG50" ca="1">SUM(INDIRECT(ADDRESS(savings_min_row,COLUMN())&amp;":"&amp;ADDRESS(savings_max_row,COLUMN())))</f>
        <v>0</v>
      </c>
      <c r="DH50" s="15" cm="1">
        <f t="array" aca="1" ref="DH50" ca="1">SUM(INDIRECT(ADDRESS(savings_min_row,COLUMN())&amp;":"&amp;ADDRESS(savings_max_row,COLUMN())))</f>
        <v>0</v>
      </c>
      <c r="DI50" s="15" cm="1">
        <f t="array" aca="1" ref="DI50" ca="1">SUM(INDIRECT(ADDRESS(savings_min_row,COLUMN())&amp;":"&amp;ADDRESS(savings_max_row,COLUMN())))</f>
        <v>0</v>
      </c>
      <c r="DJ50" s="15" cm="1">
        <f t="array" aca="1" ref="DJ50" ca="1">SUM(INDIRECT(ADDRESS(savings_min_row,COLUMN())&amp;":"&amp;ADDRESS(savings_max_row,COLUMN())))</f>
        <v>0</v>
      </c>
      <c r="DK50" s="15" cm="1">
        <f t="array" aca="1" ref="DK50" ca="1">SUM(INDIRECT(ADDRESS(savings_min_row,COLUMN())&amp;":"&amp;ADDRESS(savings_max_row,COLUMN())))</f>
        <v>0</v>
      </c>
      <c r="DM50" s="15" cm="1">
        <f t="array" aca="1" ref="DM50" ca="1">SUM(INDIRECT(ADDRESS(savings_min_row,COLUMN())&amp;":"&amp;ADDRESS(savings_max_row,COLUMN())))</f>
        <v>0</v>
      </c>
      <c r="DN50" s="15" cm="1">
        <f t="array" aca="1" ref="DN50" ca="1">SUM(INDIRECT(ADDRESS(savings_min_row,COLUMN())&amp;":"&amp;ADDRESS(savings_max_row,COLUMN())))</f>
        <v>0</v>
      </c>
      <c r="DO50" s="15" cm="1">
        <f t="array" aca="1" ref="DO50" ca="1">SUM(INDIRECT(ADDRESS(savings_min_row,COLUMN())&amp;":"&amp;ADDRESS(savings_max_row,COLUMN())))</f>
        <v>0</v>
      </c>
      <c r="DP50" s="15" cm="1">
        <f t="array" aca="1" ref="DP50" ca="1">SUM(INDIRECT(ADDRESS(savings_min_row,COLUMN())&amp;":"&amp;ADDRESS(savings_max_row,COLUMN())))</f>
        <v>0</v>
      </c>
      <c r="DQ50" s="15" cm="1">
        <f t="array" aca="1" ref="DQ50" ca="1">SUM(INDIRECT(ADDRESS(savings_min_row,COLUMN())&amp;":"&amp;ADDRESS(savings_max_row,COLUMN())))</f>
        <v>0</v>
      </c>
      <c r="DR50" s="15" cm="1">
        <f t="array" aca="1" ref="DR50" ca="1">SUM(INDIRECT(ADDRESS(savings_min_row,COLUMN())&amp;":"&amp;ADDRESS(savings_max_row,COLUMN())))</f>
        <v>0</v>
      </c>
      <c r="DS50" s="15" cm="1">
        <f t="array" aca="1" ref="DS50" ca="1">SUM(INDIRECT(ADDRESS(savings_min_row,COLUMN())&amp;":"&amp;ADDRESS(savings_max_row,COLUMN())))</f>
        <v>0</v>
      </c>
      <c r="DT50" s="15" cm="1">
        <f t="array" aca="1" ref="DT50" ca="1">SUM(INDIRECT(ADDRESS(savings_min_row,COLUMN())&amp;":"&amp;ADDRESS(savings_max_row,COLUMN())))</f>
        <v>0</v>
      </c>
      <c r="DU50" s="15" cm="1">
        <f t="array" aca="1" ref="DU50" ca="1">SUM(INDIRECT(ADDRESS(savings_min_row,COLUMN())&amp;":"&amp;ADDRESS(savings_max_row,COLUMN())))</f>
        <v>0</v>
      </c>
      <c r="DV50" s="15" cm="1">
        <f t="array" aca="1" ref="DV50" ca="1">SUM(INDIRECT(ADDRESS(savings_min_row,COLUMN())&amp;":"&amp;ADDRESS(savings_max_row,COLUMN())))</f>
        <v>0</v>
      </c>
      <c r="DW50" s="15" cm="1">
        <f t="array" aca="1" ref="DW50" ca="1">SUM(INDIRECT(ADDRESS(savings_min_row,COLUMN())&amp;":"&amp;ADDRESS(savings_max_row,COLUMN())))</f>
        <v>0</v>
      </c>
      <c r="DX50" s="15" cm="1">
        <f t="array" aca="1" ref="DX50" ca="1">SUM(INDIRECT(ADDRESS(savings_min_row,COLUMN())&amp;":"&amp;ADDRESS(savings_max_row,COLUMN())))</f>
        <v>0</v>
      </c>
      <c r="DY50" s="15" cm="1">
        <f t="array" aca="1" ref="DY50" ca="1">SUM(INDIRECT(ADDRESS(savings_min_row,COLUMN())&amp;":"&amp;ADDRESS(savings_max_row,COLUMN())))</f>
        <v>0</v>
      </c>
      <c r="EA50" s="15" cm="1">
        <f t="array" aca="1" ref="EA50" ca="1">SUM(INDIRECT(ADDRESS(savings_min_row,COLUMN())&amp;":"&amp;ADDRESS(savings_max_row,COLUMN())))</f>
        <v>0</v>
      </c>
      <c r="EB50" s="15" cm="1">
        <f t="array" aca="1" ref="EB50" ca="1">SUM(INDIRECT(ADDRESS(savings_min_row,COLUMN())&amp;":"&amp;ADDRESS(savings_max_row,COLUMN())))</f>
        <v>0</v>
      </c>
      <c r="EC50" s="15" cm="1">
        <f t="array" aca="1" ref="EC50" ca="1">SUM(INDIRECT(ADDRESS(savings_min_row,COLUMN())&amp;":"&amp;ADDRESS(savings_max_row,COLUMN())))</f>
        <v>0</v>
      </c>
      <c r="ED50" s="15" cm="1">
        <f t="array" aca="1" ref="ED50" ca="1">SUM(INDIRECT(ADDRESS(savings_min_row,COLUMN())&amp;":"&amp;ADDRESS(savings_max_row,COLUMN())))</f>
        <v>0</v>
      </c>
      <c r="EE50" s="15" cm="1">
        <f t="array" aca="1" ref="EE50" ca="1">SUM(INDIRECT(ADDRESS(savings_min_row,COLUMN())&amp;":"&amp;ADDRESS(savings_max_row,COLUMN())))</f>
        <v>0</v>
      </c>
      <c r="EF50" s="15" cm="1">
        <f t="array" aca="1" ref="EF50" ca="1">SUM(INDIRECT(ADDRESS(savings_min_row,COLUMN())&amp;":"&amp;ADDRESS(savings_max_row,COLUMN())))</f>
        <v>0</v>
      </c>
      <c r="EG50" s="15" cm="1">
        <f t="array" aca="1" ref="EG50" ca="1">SUM(INDIRECT(ADDRESS(savings_min_row,COLUMN())&amp;":"&amp;ADDRESS(savings_max_row,COLUMN())))</f>
        <v>0</v>
      </c>
      <c r="EH50" s="15" cm="1">
        <f t="array" aca="1" ref="EH50" ca="1">SUM(INDIRECT(ADDRESS(savings_min_row,COLUMN())&amp;":"&amp;ADDRESS(savings_max_row,COLUMN())))</f>
        <v>0</v>
      </c>
      <c r="EI50" s="15" cm="1">
        <f t="array" aca="1" ref="EI50" ca="1">SUM(INDIRECT(ADDRESS(savings_min_row,COLUMN())&amp;":"&amp;ADDRESS(savings_max_row,COLUMN())))</f>
        <v>0</v>
      </c>
      <c r="EJ50" s="15" cm="1">
        <f t="array" aca="1" ref="EJ50" ca="1">SUM(INDIRECT(ADDRESS(savings_min_row,COLUMN())&amp;":"&amp;ADDRESS(savings_max_row,COLUMN())))</f>
        <v>0</v>
      </c>
      <c r="EK50" s="15" cm="1">
        <f t="array" aca="1" ref="EK50" ca="1">SUM(INDIRECT(ADDRESS(savings_min_row,COLUMN())&amp;":"&amp;ADDRESS(savings_max_row,COLUMN())))</f>
        <v>0</v>
      </c>
      <c r="EL50" s="15" cm="1">
        <f t="array" aca="1" ref="EL50" ca="1">SUM(INDIRECT(ADDRESS(savings_min_row,COLUMN())&amp;":"&amp;ADDRESS(savings_max_row,COLUMN())))</f>
        <v>0</v>
      </c>
      <c r="EM50" s="15" cm="1">
        <f t="array" aca="1" ref="EM50" ca="1">SUM(INDIRECT(ADDRESS(savings_min_row,COLUMN())&amp;":"&amp;ADDRESS(savings_max_row,COLUMN())))</f>
        <v>0</v>
      </c>
    </row>
  </sheetData>
  <mergeCells count="11">
    <mergeCell ref="A1:XFD2"/>
    <mergeCell ref="E5:Q5"/>
    <mergeCell ref="S5:AE5"/>
    <mergeCell ref="DM5:DY5"/>
    <mergeCell ref="EA5:EM5"/>
    <mergeCell ref="AG5:AS5"/>
    <mergeCell ref="AU5:BG5"/>
    <mergeCell ref="BI5:BU5"/>
    <mergeCell ref="BW5:CI5"/>
    <mergeCell ref="CK5:CW5"/>
    <mergeCell ref="CY5:DK5"/>
  </mergeCells>
  <conditionalFormatting sqref="C10:C15 E10:Q15">
    <cfRule type="expression" dxfId="60" priority="60">
      <formula>ROW(A10)&lt;=income_max_row</formula>
    </cfRule>
  </conditionalFormatting>
  <conditionalFormatting sqref="C23:C32 E23:Q32">
    <cfRule type="expression" dxfId="59" priority="59">
      <formula>ROW(A23)&lt;=expenses_max_row</formula>
    </cfRule>
  </conditionalFormatting>
  <conditionalFormatting sqref="C40:C49 E40:Q49 S40:AE49 AG40:AS49 AU40:BG49 BI40:BU49 BW40:CI49 CK40:CW49 CY40:DK49 DM40:DY49 EA40:EM49">
    <cfRule type="expression" dxfId="58" priority="58">
      <formula>ROW(A40)&lt;=savings_max_row</formula>
    </cfRule>
  </conditionalFormatting>
  <conditionalFormatting sqref="E6:Q7 S6:AE7 AG6:AS7 AU6:BG7 BI6:BU7 BW6:CI7 CK6:CW7 CY6:DK7 DM6:DY7 EA6:EM7">
    <cfRule type="expression" dxfId="57" priority="65" stopIfTrue="1">
      <formula>AND(E$16=0, E$33=0, E$50=0)</formula>
    </cfRule>
    <cfRule type="expression" dxfId="56" priority="66" stopIfTrue="1">
      <formula>E$7=0</formula>
    </cfRule>
    <cfRule type="expression" dxfId="55" priority="67">
      <formula>E$7&lt;0</formula>
    </cfRule>
  </conditionalFormatting>
  <conditionalFormatting sqref="S10:AE15">
    <cfRule type="expression" dxfId="54" priority="54">
      <formula>ROW(Q10)&lt;=income_max_row</formula>
    </cfRule>
  </conditionalFormatting>
  <conditionalFormatting sqref="S23:AE32">
    <cfRule type="expression" dxfId="53" priority="53">
      <formula>ROW(Q23)&lt;=expenses_max_row</formula>
    </cfRule>
  </conditionalFormatting>
  <conditionalFormatting sqref="AG10:AS15">
    <cfRule type="expression" dxfId="52" priority="48">
      <formula>ROW(AE10)&lt;=income_max_row</formula>
    </cfRule>
  </conditionalFormatting>
  <conditionalFormatting sqref="AG23:AS32">
    <cfRule type="expression" dxfId="51" priority="47">
      <formula>ROW(AE23)&lt;=expenses_max_row</formula>
    </cfRule>
  </conditionalFormatting>
  <conditionalFormatting sqref="AU10:BG15">
    <cfRule type="expression" dxfId="50" priority="42">
      <formula>ROW(AS10)&lt;=income_max_row</formula>
    </cfRule>
  </conditionalFormatting>
  <conditionalFormatting sqref="AU23:BG32">
    <cfRule type="expression" dxfId="49" priority="41">
      <formula>ROW(AS23)&lt;=expenses_max_row</formula>
    </cfRule>
  </conditionalFormatting>
  <conditionalFormatting sqref="BI10:BU15">
    <cfRule type="expression" dxfId="48" priority="36">
      <formula>ROW(BG10)&lt;=income_max_row</formula>
    </cfRule>
  </conditionalFormatting>
  <conditionalFormatting sqref="BI23:BU32">
    <cfRule type="expression" dxfId="47" priority="35">
      <formula>ROW(BG23)&lt;=expenses_max_row</formula>
    </cfRule>
  </conditionalFormatting>
  <conditionalFormatting sqref="BW10:CI15">
    <cfRule type="expression" dxfId="46" priority="30">
      <formula>ROW(BU10)&lt;=income_max_row</formula>
    </cfRule>
  </conditionalFormatting>
  <conditionalFormatting sqref="BW23:CI32">
    <cfRule type="expression" dxfId="45" priority="29">
      <formula>ROW(BU23)&lt;=expenses_max_row</formula>
    </cfRule>
  </conditionalFormatting>
  <conditionalFormatting sqref="CK10:CW15">
    <cfRule type="expression" dxfId="44" priority="24">
      <formula>ROW(CI10)&lt;=income_max_row</formula>
    </cfRule>
  </conditionalFormatting>
  <conditionalFormatting sqref="CK23:CW32">
    <cfRule type="expression" dxfId="43" priority="23">
      <formula>ROW(CI23)&lt;=expenses_max_row</formula>
    </cfRule>
  </conditionalFormatting>
  <conditionalFormatting sqref="CY10:DK15">
    <cfRule type="expression" dxfId="42" priority="18">
      <formula>ROW(CW10)&lt;=income_max_row</formula>
    </cfRule>
  </conditionalFormatting>
  <conditionalFormatting sqref="CY23:DK32">
    <cfRule type="expression" dxfId="41" priority="17">
      <formula>ROW(CW23)&lt;=expenses_max_row</formula>
    </cfRule>
  </conditionalFormatting>
  <conditionalFormatting sqref="DM10:DY15">
    <cfRule type="expression" dxfId="40" priority="12">
      <formula>ROW(DK10)&lt;=income_max_row</formula>
    </cfRule>
  </conditionalFormatting>
  <conditionalFormatting sqref="DM23:DY32">
    <cfRule type="expression" dxfId="39" priority="11">
      <formula>ROW(DK23)&lt;=expenses_max_row</formula>
    </cfRule>
  </conditionalFormatting>
  <conditionalFormatting sqref="EA10:EM15">
    <cfRule type="expression" dxfId="38" priority="6">
      <formula>ROW(DY10)&lt;=income_max_row</formula>
    </cfRule>
  </conditionalFormatting>
  <conditionalFormatting sqref="EA23:EM32">
    <cfRule type="expression" dxfId="37" priority="5">
      <formula>ROW(DY23)&lt;=expenses_max_row</formula>
    </cfRule>
  </conditionalFormatting>
  <pageMargins left="0.7" right="0.7" top="0.75" bottom="0.75" header="0.3" footer="0.3"/>
  <tableParts count="3">
    <tablePart r:id="rId1"/>
    <tablePart r:id="rId2"/>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5B792D-E4C0-45DE-958A-870B1E3AFE11}">
  <sheetPr codeName="Sheet3"/>
  <dimension ref="A1:X70"/>
  <sheetViews>
    <sheetView showGridLines="0" workbookViewId="0">
      <selection sqref="A1:X3"/>
    </sheetView>
  </sheetViews>
  <sheetFormatPr defaultRowHeight="14.4" x14ac:dyDescent="0.3"/>
  <cols>
    <col min="1" max="1" width="4.88671875" customWidth="1"/>
    <col min="2" max="2" width="2.44140625" customWidth="1"/>
    <col min="3" max="4" width="11.5546875" customWidth="1"/>
    <col min="5" max="5" width="13.5546875" bestFit="1" customWidth="1"/>
    <col min="6" max="6" width="11.5546875" customWidth="1"/>
    <col min="7" max="7" width="19.77734375" customWidth="1"/>
    <col min="8" max="8" width="16.5546875" customWidth="1"/>
    <col min="9" max="9" width="16.6640625" customWidth="1"/>
  </cols>
  <sheetData>
    <row r="1" spans="1:24" x14ac:dyDescent="0.3">
      <c r="A1" s="71" t="s">
        <v>29</v>
      </c>
      <c r="B1" s="71"/>
      <c r="C1" s="71"/>
      <c r="D1" s="71"/>
      <c r="E1" s="71"/>
      <c r="F1" s="71"/>
      <c r="G1" s="71"/>
      <c r="H1" s="71"/>
      <c r="I1" s="71"/>
      <c r="J1" s="71"/>
      <c r="K1" s="71"/>
      <c r="L1" s="71"/>
      <c r="M1" s="71"/>
      <c r="N1" s="71"/>
      <c r="O1" s="71"/>
      <c r="P1" s="71"/>
      <c r="Q1" s="71"/>
      <c r="R1" s="71"/>
      <c r="S1" s="71"/>
      <c r="T1" s="71"/>
      <c r="U1" s="71"/>
      <c r="V1" s="71"/>
      <c r="W1" s="71"/>
      <c r="X1" s="71"/>
    </row>
    <row r="2" spans="1:24" x14ac:dyDescent="0.3">
      <c r="A2" s="71"/>
      <c r="B2" s="71"/>
      <c r="C2" s="71"/>
      <c r="D2" s="71"/>
      <c r="E2" s="71"/>
      <c r="F2" s="71"/>
      <c r="G2" s="71"/>
      <c r="H2" s="71"/>
      <c r="I2" s="71"/>
      <c r="J2" s="71"/>
      <c r="K2" s="71"/>
      <c r="L2" s="71"/>
      <c r="M2" s="71"/>
      <c r="N2" s="71"/>
      <c r="O2" s="71"/>
      <c r="P2" s="71"/>
      <c r="Q2" s="71"/>
      <c r="R2" s="71"/>
      <c r="S2" s="71"/>
      <c r="T2" s="71"/>
      <c r="U2" s="71"/>
      <c r="V2" s="71"/>
      <c r="W2" s="71"/>
      <c r="X2" s="71"/>
    </row>
    <row r="3" spans="1:24" x14ac:dyDescent="0.3">
      <c r="A3" s="71"/>
      <c r="B3" s="71"/>
      <c r="C3" s="71"/>
      <c r="D3" s="71"/>
      <c r="E3" s="71"/>
      <c r="F3" s="71"/>
      <c r="G3" s="71"/>
      <c r="H3" s="71"/>
      <c r="I3" s="71"/>
      <c r="J3" s="71"/>
      <c r="K3" s="71"/>
      <c r="L3" s="71"/>
      <c r="M3" s="71"/>
      <c r="N3" s="71"/>
      <c r="O3" s="71"/>
      <c r="P3" s="71"/>
      <c r="Q3" s="71"/>
      <c r="R3" s="71"/>
      <c r="S3" s="71"/>
      <c r="T3" s="71"/>
      <c r="U3" s="71"/>
      <c r="V3" s="71"/>
      <c r="W3" s="71"/>
      <c r="X3" s="71"/>
    </row>
    <row r="11" spans="1:24" x14ac:dyDescent="0.3">
      <c r="C11" t="s">
        <v>30</v>
      </c>
      <c r="D11" t="s">
        <v>31</v>
      </c>
      <c r="E11" t="s">
        <v>32</v>
      </c>
      <c r="F11" t="s">
        <v>33</v>
      </c>
      <c r="G11" t="s">
        <v>34</v>
      </c>
      <c r="H11" s="30" t="s">
        <v>35</v>
      </c>
      <c r="I11" s="30" t="s">
        <v>36</v>
      </c>
    </row>
    <row r="12" spans="1:24" x14ac:dyDescent="0.3">
      <c r="C12" s="29">
        <v>44555</v>
      </c>
      <c r="D12" s="28" t="s">
        <v>5</v>
      </c>
      <c r="E12" s="28" t="s">
        <v>8</v>
      </c>
      <c r="F12" s="68">
        <v>3500</v>
      </c>
      <c r="G12" s="28"/>
      <c r="H12" s="60" cm="1">
        <f t="array" ref="H12">SUMPRODUCT(Tracking[Amount], --(Tracking[Date]&lt;=Tracking[[#This Row],[Date]]),(Tracking[Type]&lt;&gt;"Income") * (-1) + (Tracking[Type]="Income"))</f>
        <v>3500</v>
      </c>
      <c r="I12" s="39" cm="1">
        <f t="array" ref="I12">IF(AND(Tracking[[#This Row],[Type]]="Income", shift_late_income_status="Active", DAY(Tracking[[#This Row],[Date]])&gt;=shift_late_income_starting_day), DATE(YEAR(Tracking[[#This Row],[Date]]), MONTH(Tracking[[#This Row],[Date]])+1, 1), Tracking[[#This Row],[Date]])</f>
        <v>44562</v>
      </c>
    </row>
    <row r="13" spans="1:24" x14ac:dyDescent="0.3">
      <c r="C13" s="29">
        <v>44563</v>
      </c>
      <c r="D13" s="28" t="s">
        <v>11</v>
      </c>
      <c r="E13" s="28" t="s">
        <v>21</v>
      </c>
      <c r="F13" s="68">
        <v>1200</v>
      </c>
      <c r="G13" s="28"/>
      <c r="H13" s="38" cm="1">
        <f t="array" ref="H13">SUMPRODUCT(Tracking[Amount], --(Tracking[Date]&lt;=Tracking[[#This Row],[Date]]),(Tracking[Type]&lt;&gt;"Income") * (-1) + (Tracking[Type]="Income"))</f>
        <v>2300</v>
      </c>
      <c r="I13" s="39" cm="1">
        <f t="array" ref="I13">IF(AND(Tracking[[#This Row],[Type]]="Income", shift_late_income_status="Active", DAY(Tracking[[#This Row],[Date]])&gt;=shift_late_income_starting_day), DATE(YEAR(Tracking[[#This Row],[Date]]), MONTH(Tracking[[#This Row],[Date]])+1, 1), Tracking[[#This Row],[Date]])</f>
        <v>44563</v>
      </c>
    </row>
    <row r="14" spans="1:24" x14ac:dyDescent="0.3">
      <c r="C14" s="29">
        <v>44564</v>
      </c>
      <c r="D14" s="28" t="s">
        <v>11</v>
      </c>
      <c r="E14" s="28" t="s">
        <v>25</v>
      </c>
      <c r="F14" s="68">
        <v>150</v>
      </c>
      <c r="G14" s="28"/>
      <c r="H14" s="38" cm="1">
        <f t="array" ref="H14">SUMPRODUCT(Tracking[Amount], --(Tracking[Date]&lt;=Tracking[[#This Row],[Date]]),(Tracking[Type]&lt;&gt;"Income") * (-1) + (Tracking[Type]="Income"))</f>
        <v>2150</v>
      </c>
      <c r="I14" s="39" cm="1">
        <f t="array" ref="I14">IF(AND(Tracking[[#This Row],[Type]]="Income", shift_late_income_status="Active", DAY(Tracking[[#This Row],[Date]])&gt;=shift_late_income_starting_day), DATE(YEAR(Tracking[[#This Row],[Date]]), MONTH(Tracking[[#This Row],[Date]])+1, 1), Tracking[[#This Row],[Date]])</f>
        <v>44564</v>
      </c>
    </row>
    <row r="15" spans="1:24" x14ac:dyDescent="0.3">
      <c r="C15" s="29">
        <v>44565</v>
      </c>
      <c r="D15" s="28" t="s">
        <v>16</v>
      </c>
      <c r="E15" s="28" t="s">
        <v>17</v>
      </c>
      <c r="F15" s="68">
        <v>1000</v>
      </c>
      <c r="G15" s="28"/>
      <c r="H15" s="38" cm="1">
        <f t="array" ref="H15">SUMPRODUCT(Tracking[Amount], --(Tracking[Date]&lt;=Tracking[[#This Row],[Date]]),(Tracking[Type]&lt;&gt;"Income") * (-1) + (Tracking[Type]="Income"))</f>
        <v>1150</v>
      </c>
      <c r="I15" s="39" cm="1">
        <f t="array" ref="I15">IF(AND(Tracking[[#This Row],[Type]]="Income", shift_late_income_status="Active", DAY(Tracking[[#This Row],[Date]])&gt;=shift_late_income_starting_day), DATE(YEAR(Tracking[[#This Row],[Date]]), MONTH(Tracking[[#This Row],[Date]])+1, 1), Tracking[[#This Row],[Date]])</f>
        <v>44565</v>
      </c>
    </row>
    <row r="16" spans="1:24" x14ac:dyDescent="0.3">
      <c r="C16" s="29">
        <v>44566</v>
      </c>
      <c r="D16" s="28" t="s">
        <v>11</v>
      </c>
      <c r="E16" s="28" t="s">
        <v>13</v>
      </c>
      <c r="F16" s="68">
        <v>300</v>
      </c>
      <c r="G16" s="28"/>
      <c r="H16" s="60" cm="1">
        <f t="array" ref="H16">SUMPRODUCT(Tracking[Amount], --(Tracking[Date]&lt;=Tracking[[#This Row],[Date]]),(Tracking[Type]&lt;&gt;"Income") * (-1) + (Tracking[Type]="Income"))</f>
        <v>850</v>
      </c>
      <c r="I16" s="39" cm="1">
        <f t="array" ref="I16">IF(AND(Tracking[[#This Row],[Type]]="Income", shift_late_income_status="Active", DAY(Tracking[[#This Row],[Date]])&gt;=shift_late_income_starting_day), DATE(YEAR(Tracking[[#This Row],[Date]]), MONTH(Tracking[[#This Row],[Date]])+1, 1), Tracking[[#This Row],[Date]])</f>
        <v>44566</v>
      </c>
    </row>
    <row r="17" spans="3:9" x14ac:dyDescent="0.3">
      <c r="C17" s="29">
        <v>44568</v>
      </c>
      <c r="D17" s="28" t="s">
        <v>11</v>
      </c>
      <c r="E17" s="28" t="s">
        <v>14</v>
      </c>
      <c r="F17" s="68">
        <v>120</v>
      </c>
      <c r="G17" s="28"/>
      <c r="H17" s="60" cm="1">
        <f t="array" ref="H17">SUMPRODUCT(Tracking[Amount], --(Tracking[Date]&lt;=Tracking[[#This Row],[Date]]),(Tracking[Type]&lt;&gt;"Income") * (-1) + (Tracking[Type]="Income"))</f>
        <v>730</v>
      </c>
      <c r="I17" s="39" cm="1">
        <f t="array" ref="I17">IF(AND(Tracking[[#This Row],[Type]]="Income", shift_late_income_status="Active", DAY(Tracking[[#This Row],[Date]])&gt;=shift_late_income_starting_day), DATE(YEAR(Tracking[[#This Row],[Date]]), MONTH(Tracking[[#This Row],[Date]])+1, 1), Tracking[[#This Row],[Date]])</f>
        <v>44568</v>
      </c>
    </row>
    <row r="18" spans="3:9" x14ac:dyDescent="0.3">
      <c r="C18" s="29">
        <v>44570</v>
      </c>
      <c r="D18" s="28" t="s">
        <v>11</v>
      </c>
      <c r="E18" s="28" t="s">
        <v>20</v>
      </c>
      <c r="F18" s="68">
        <v>80</v>
      </c>
      <c r="G18" s="28"/>
      <c r="H18" s="60" cm="1">
        <f t="array" ref="H18">SUMPRODUCT(Tracking[Amount], --(Tracking[Date]&lt;=Tracking[[#This Row],[Date]]),(Tracking[Type]&lt;&gt;"Income") * (-1) + (Tracking[Type]="Income"))</f>
        <v>650</v>
      </c>
      <c r="I18" s="39" cm="1">
        <f t="array" ref="I18">IF(AND(Tracking[[#This Row],[Type]]="Income", shift_late_income_status="Active", DAY(Tracking[[#This Row],[Date]])&gt;=shift_late_income_starting_day), DATE(YEAR(Tracking[[#This Row],[Date]]), MONTH(Tracking[[#This Row],[Date]])+1, 1), Tracking[[#This Row],[Date]])</f>
        <v>44570</v>
      </c>
    </row>
    <row r="19" spans="3:9" x14ac:dyDescent="0.3">
      <c r="C19" s="29">
        <v>44571</v>
      </c>
      <c r="D19" s="28" t="s">
        <v>11</v>
      </c>
      <c r="E19" s="28" t="s">
        <v>24</v>
      </c>
      <c r="F19" s="68">
        <v>120</v>
      </c>
      <c r="G19" s="28"/>
      <c r="H19" s="60" cm="1">
        <f t="array" ref="H19">SUMPRODUCT(Tracking[Amount], --(Tracking[Date]&lt;=Tracking[[#This Row],[Date]]),(Tracking[Type]&lt;&gt;"Income") * (-1) + (Tracking[Type]="Income"))</f>
        <v>680</v>
      </c>
      <c r="I19" s="39" cm="1">
        <f t="array" ref="I19">IF(AND(Tracking[[#This Row],[Type]]="Income", shift_late_income_status="Active", DAY(Tracking[[#This Row],[Date]])&gt;=shift_late_income_starting_day), DATE(YEAR(Tracking[[#This Row],[Date]]), MONTH(Tracking[[#This Row],[Date]])+1, 1), Tracking[[#This Row],[Date]])</f>
        <v>44571</v>
      </c>
    </row>
    <row r="20" spans="3:9" x14ac:dyDescent="0.3">
      <c r="C20" s="29">
        <v>44571</v>
      </c>
      <c r="D20" s="28" t="s">
        <v>5</v>
      </c>
      <c r="E20" s="28" t="s">
        <v>9</v>
      </c>
      <c r="F20" s="68">
        <v>150</v>
      </c>
      <c r="G20" s="28"/>
      <c r="H20" s="60" cm="1">
        <f t="array" ref="H20">SUMPRODUCT(Tracking[Amount], --(Tracking[Date]&lt;=Tracking[[#This Row],[Date]]),(Tracking[Type]&lt;&gt;"Income") * (-1) + (Tracking[Type]="Income"))</f>
        <v>680</v>
      </c>
      <c r="I20" s="39" cm="1">
        <f t="array" ref="I20">IF(AND(Tracking[[#This Row],[Type]]="Income", shift_late_income_status="Active", DAY(Tracking[[#This Row],[Date]])&gt;=shift_late_income_starting_day), DATE(YEAR(Tracking[[#This Row],[Date]]), MONTH(Tracking[[#This Row],[Date]])+1, 1), Tracking[[#This Row],[Date]])</f>
        <v>44571</v>
      </c>
    </row>
    <row r="21" spans="3:9" x14ac:dyDescent="0.3">
      <c r="C21" s="29">
        <v>44573</v>
      </c>
      <c r="D21" s="28" t="s">
        <v>11</v>
      </c>
      <c r="E21" s="28" t="s">
        <v>23</v>
      </c>
      <c r="F21" s="68">
        <v>50</v>
      </c>
      <c r="G21" s="28"/>
      <c r="H21" s="60" cm="1">
        <f t="array" ref="H21">SUMPRODUCT(Tracking[Amount], --(Tracking[Date]&lt;=Tracking[[#This Row],[Date]]),(Tracking[Type]&lt;&gt;"Income") * (-1) + (Tracking[Type]="Income"))</f>
        <v>630</v>
      </c>
      <c r="I21" s="39" cm="1">
        <f t="array" ref="I21">IF(AND(Tracking[[#This Row],[Type]]="Income", shift_late_income_status="Active", DAY(Tracking[[#This Row],[Date]])&gt;=shift_late_income_starting_day), DATE(YEAR(Tracking[[#This Row],[Date]]), MONTH(Tracking[[#This Row],[Date]])+1, 1), Tracking[[#This Row],[Date]])</f>
        <v>44573</v>
      </c>
    </row>
    <row r="22" spans="3:9" x14ac:dyDescent="0.3">
      <c r="C22" s="29">
        <v>44574</v>
      </c>
      <c r="D22" s="28" t="s">
        <v>11</v>
      </c>
      <c r="E22" s="28" t="s">
        <v>22</v>
      </c>
      <c r="F22" s="68">
        <v>70</v>
      </c>
      <c r="G22" s="28"/>
      <c r="H22" s="60" cm="1">
        <f t="array" ref="H22">SUMPRODUCT(Tracking[Amount], --(Tracking[Date]&lt;=Tracking[[#This Row],[Date]]),(Tracking[Type]&lt;&gt;"Income") * (-1) + (Tracking[Type]="Income"))</f>
        <v>560</v>
      </c>
      <c r="I22" s="39" cm="1">
        <f t="array" ref="I22">IF(AND(Tracking[[#This Row],[Type]]="Income", shift_late_income_status="Active", DAY(Tracking[[#This Row],[Date]])&gt;=shift_late_income_starting_day), DATE(YEAR(Tracking[[#This Row],[Date]]), MONTH(Tracking[[#This Row],[Date]])+1, 1), Tracking[[#This Row],[Date]])</f>
        <v>44574</v>
      </c>
    </row>
    <row r="23" spans="3:9" x14ac:dyDescent="0.3">
      <c r="C23" s="29">
        <v>44575</v>
      </c>
      <c r="D23" s="28" t="s">
        <v>11</v>
      </c>
      <c r="E23" s="28" t="s">
        <v>14</v>
      </c>
      <c r="F23" s="68">
        <v>80</v>
      </c>
      <c r="G23" s="28"/>
      <c r="H23" s="60" cm="1">
        <f t="array" ref="H23">SUMPRODUCT(Tracking[Amount], --(Tracking[Date]&lt;=Tracking[[#This Row],[Date]]),(Tracking[Type]&lt;&gt;"Income") * (-1) + (Tracking[Type]="Income"))</f>
        <v>480</v>
      </c>
      <c r="I23" s="39" cm="1">
        <f t="array" ref="I23">IF(AND(Tracking[[#This Row],[Type]]="Income", shift_late_income_status="Active", DAY(Tracking[[#This Row],[Date]])&gt;=shift_late_income_starting_day), DATE(YEAR(Tracking[[#This Row],[Date]]), MONTH(Tracking[[#This Row],[Date]])+1, 1), Tracking[[#This Row],[Date]])</f>
        <v>44575</v>
      </c>
    </row>
    <row r="24" spans="3:9" x14ac:dyDescent="0.3">
      <c r="C24" s="29">
        <v>44576</v>
      </c>
      <c r="D24" s="28" t="s">
        <v>5</v>
      </c>
      <c r="E24" s="28" t="s">
        <v>10</v>
      </c>
      <c r="F24" s="68">
        <v>1200</v>
      </c>
      <c r="G24" s="28"/>
      <c r="H24" s="60" cm="1">
        <f t="array" ref="H24">SUMPRODUCT(Tracking[Amount], --(Tracking[Date]&lt;=Tracking[[#This Row],[Date]]),(Tracking[Type]&lt;&gt;"Income") * (-1) + (Tracking[Type]="Income"))</f>
        <v>1680</v>
      </c>
      <c r="I24" s="39" cm="1">
        <f t="array" ref="I24">IF(AND(Tracking[[#This Row],[Type]]="Income", shift_late_income_status="Active", DAY(Tracking[[#This Row],[Date]])&gt;=shift_late_income_starting_day), DATE(YEAR(Tracking[[#This Row],[Date]]), MONTH(Tracking[[#This Row],[Date]])+1, 1), Tracking[[#This Row],[Date]])</f>
        <v>44576</v>
      </c>
    </row>
    <row r="25" spans="3:9" x14ac:dyDescent="0.3">
      <c r="C25" s="29">
        <v>44578</v>
      </c>
      <c r="D25" s="28" t="s">
        <v>11</v>
      </c>
      <c r="E25" s="28" t="s">
        <v>24</v>
      </c>
      <c r="F25" s="68">
        <v>100</v>
      </c>
      <c r="G25" s="28"/>
      <c r="H25" s="60" cm="1">
        <f t="array" ref="H25">SUMPRODUCT(Tracking[Amount], --(Tracking[Date]&lt;=Tracking[[#This Row],[Date]]),(Tracking[Type]&lt;&gt;"Income") * (-1) + (Tracking[Type]="Income"))</f>
        <v>1580</v>
      </c>
      <c r="I25" s="39" cm="1">
        <f t="array" ref="I25">IF(AND(Tracking[[#This Row],[Type]]="Income", shift_late_income_status="Active", DAY(Tracking[[#This Row],[Date]])&gt;=shift_late_income_starting_day), DATE(YEAR(Tracking[[#This Row],[Date]]), MONTH(Tracking[[#This Row],[Date]])+1, 1), Tracking[[#This Row],[Date]])</f>
        <v>44578</v>
      </c>
    </row>
    <row r="26" spans="3:9" x14ac:dyDescent="0.3">
      <c r="C26" s="29">
        <v>44579</v>
      </c>
      <c r="D26" s="28" t="s">
        <v>11</v>
      </c>
      <c r="E26" s="28" t="s">
        <v>25</v>
      </c>
      <c r="F26" s="68">
        <v>70</v>
      </c>
      <c r="G26" s="28"/>
      <c r="H26" s="60" cm="1">
        <f t="array" ref="H26">SUMPRODUCT(Tracking[Amount], --(Tracking[Date]&lt;=Tracking[[#This Row],[Date]]),(Tracking[Type]&lt;&gt;"Income") * (-1) + (Tracking[Type]="Income"))</f>
        <v>1510</v>
      </c>
      <c r="I26" s="39" cm="1">
        <f t="array" ref="I26">IF(AND(Tracking[[#This Row],[Type]]="Income", shift_late_income_status="Active", DAY(Tracking[[#This Row],[Date]])&gt;=shift_late_income_starting_day), DATE(YEAR(Tracking[[#This Row],[Date]]), MONTH(Tracking[[#This Row],[Date]])+1, 1), Tracking[[#This Row],[Date]])</f>
        <v>44579</v>
      </c>
    </row>
    <row r="27" spans="3:9" x14ac:dyDescent="0.3">
      <c r="C27" s="29">
        <v>44580</v>
      </c>
      <c r="D27" s="28" t="s">
        <v>11</v>
      </c>
      <c r="E27" s="28" t="s">
        <v>22</v>
      </c>
      <c r="F27" s="68">
        <v>60</v>
      </c>
      <c r="G27" s="28"/>
      <c r="H27" s="60" cm="1">
        <f t="array" ref="H27">SUMPRODUCT(Tracking[Amount], --(Tracking[Date]&lt;=Tracking[[#This Row],[Date]]),(Tracking[Type]&lt;&gt;"Income") * (-1) + (Tracking[Type]="Income"))</f>
        <v>1450</v>
      </c>
      <c r="I27" s="39" cm="1">
        <f t="array" ref="I27">IF(AND(Tracking[[#This Row],[Type]]="Income", shift_late_income_status="Active", DAY(Tracking[[#This Row],[Date]])&gt;=shift_late_income_starting_day), DATE(YEAR(Tracking[[#This Row],[Date]]), MONTH(Tracking[[#This Row],[Date]])+1, 1), Tracking[[#This Row],[Date]])</f>
        <v>44580</v>
      </c>
    </row>
    <row r="28" spans="3:9" x14ac:dyDescent="0.3">
      <c r="C28" s="29">
        <v>44582</v>
      </c>
      <c r="D28" s="28" t="s">
        <v>11</v>
      </c>
      <c r="E28" s="28" t="s">
        <v>24</v>
      </c>
      <c r="F28" s="68">
        <v>30</v>
      </c>
      <c r="G28" s="28"/>
      <c r="H28" s="60" cm="1">
        <f t="array" ref="H28">SUMPRODUCT(Tracking[Amount], --(Tracking[Date]&lt;=Tracking[[#This Row],[Date]]),(Tracking[Type]&lt;&gt;"Income") * (-1) + (Tracking[Type]="Income"))</f>
        <v>1420</v>
      </c>
      <c r="I28" s="39" cm="1">
        <f t="array" ref="I28">IF(AND(Tracking[[#This Row],[Type]]="Income", shift_late_income_status="Active", DAY(Tracking[[#This Row],[Date]])&gt;=shift_late_income_starting_day), DATE(YEAR(Tracking[[#This Row],[Date]]), MONTH(Tracking[[#This Row],[Date]])+1, 1), Tracking[[#This Row],[Date]])</f>
        <v>44582</v>
      </c>
    </row>
    <row r="29" spans="3:9" x14ac:dyDescent="0.3">
      <c r="C29" s="29">
        <v>44583</v>
      </c>
      <c r="D29" s="28" t="s">
        <v>11</v>
      </c>
      <c r="E29" s="28" t="s">
        <v>20</v>
      </c>
      <c r="F29" s="68">
        <v>100</v>
      </c>
      <c r="G29" s="28"/>
      <c r="H29" s="60" cm="1">
        <f t="array" ref="H29">SUMPRODUCT(Tracking[Amount], --(Tracking[Date]&lt;=Tracking[[#This Row],[Date]]),(Tracking[Type]&lt;&gt;"Income") * (-1) + (Tracking[Type]="Income"))</f>
        <v>1320</v>
      </c>
      <c r="I29" s="39" cm="1">
        <f t="array" ref="I29">IF(AND(Tracking[[#This Row],[Type]]="Income", shift_late_income_status="Active", DAY(Tracking[[#This Row],[Date]])&gt;=shift_late_income_starting_day), DATE(YEAR(Tracking[[#This Row],[Date]]), MONTH(Tracking[[#This Row],[Date]])+1, 1), Tracking[[#This Row],[Date]])</f>
        <v>44583</v>
      </c>
    </row>
    <row r="30" spans="3:9" x14ac:dyDescent="0.3">
      <c r="C30" s="29">
        <v>44585</v>
      </c>
      <c r="D30" s="28" t="s">
        <v>11</v>
      </c>
      <c r="E30" s="28" t="s">
        <v>22</v>
      </c>
      <c r="F30" s="68">
        <v>40</v>
      </c>
      <c r="G30" s="28"/>
      <c r="H30" s="60" cm="1">
        <f t="array" ref="H30">SUMPRODUCT(Tracking[Amount], --(Tracking[Date]&lt;=Tracking[[#This Row],[Date]]),(Tracking[Type]&lt;&gt;"Income") * (-1) + (Tracking[Type]="Income"))</f>
        <v>1280</v>
      </c>
      <c r="I30" s="39" cm="1">
        <f t="array" ref="I30">IF(AND(Tracking[[#This Row],[Type]]="Income", shift_late_income_status="Active", DAY(Tracking[[#This Row],[Date]])&gt;=shift_late_income_starting_day), DATE(YEAR(Tracking[[#This Row],[Date]]), MONTH(Tracking[[#This Row],[Date]])+1, 1), Tracking[[#This Row],[Date]])</f>
        <v>44585</v>
      </c>
    </row>
    <row r="31" spans="3:9" x14ac:dyDescent="0.3">
      <c r="C31" s="29">
        <v>44586</v>
      </c>
      <c r="D31" s="28" t="s">
        <v>5</v>
      </c>
      <c r="E31" s="28" t="s">
        <v>8</v>
      </c>
      <c r="F31" s="68">
        <v>3500</v>
      </c>
      <c r="G31" s="28"/>
      <c r="H31" s="38" cm="1">
        <f t="array" ref="H31">SUMPRODUCT(Tracking[Amount], --(Tracking[Date]&lt;=Tracking[[#This Row],[Date]]),(Tracking[Type]&lt;&gt;"Income") * (-1) + (Tracking[Type]="Income"))</f>
        <v>4780</v>
      </c>
      <c r="I31" s="39" cm="1">
        <f t="array" ref="I31">IF(AND(Tracking[[#This Row],[Type]]="Income", shift_late_income_status="Active", DAY(Tracking[[#This Row],[Date]])&gt;=shift_late_income_starting_day), DATE(YEAR(Tracking[[#This Row],[Date]]), MONTH(Tracking[[#This Row],[Date]])+1, 1), Tracking[[#This Row],[Date]])</f>
        <v>44593</v>
      </c>
    </row>
    <row r="32" spans="3:9" x14ac:dyDescent="0.3">
      <c r="C32" s="29">
        <v>44587</v>
      </c>
      <c r="D32" s="28" t="s">
        <v>11</v>
      </c>
      <c r="E32" s="28" t="s">
        <v>14</v>
      </c>
      <c r="F32" s="68">
        <v>120</v>
      </c>
      <c r="G32" s="28"/>
      <c r="H32" s="60" cm="1">
        <f t="array" ref="H32">SUMPRODUCT(Tracking[Amount], --(Tracking[Date]&lt;=Tracking[[#This Row],[Date]]),(Tracking[Type]&lt;&gt;"Income") * (-1) + (Tracking[Type]="Income"))</f>
        <v>4660</v>
      </c>
      <c r="I32" s="39" cm="1">
        <f t="array" ref="I32">IF(AND(Tracking[[#This Row],[Type]]="Income", shift_late_income_status="Active", DAY(Tracking[[#This Row],[Date]])&gt;=shift_late_income_starting_day), DATE(YEAR(Tracking[[#This Row],[Date]]), MONTH(Tracking[[#This Row],[Date]])+1, 1), Tracking[[#This Row],[Date]])</f>
        <v>44587</v>
      </c>
    </row>
    <row r="33" spans="3:9" x14ac:dyDescent="0.3">
      <c r="C33" s="29">
        <v>44589</v>
      </c>
      <c r="D33" s="28" t="s">
        <v>11</v>
      </c>
      <c r="E33" s="28" t="s">
        <v>24</v>
      </c>
      <c r="F33" s="68">
        <v>110</v>
      </c>
      <c r="G33" s="28"/>
      <c r="H33" s="60" cm="1">
        <f t="array" ref="H33">SUMPRODUCT(Tracking[Amount], --(Tracking[Date]&lt;=Tracking[[#This Row],[Date]]),(Tracking[Type]&lt;&gt;"Income") * (-1) + (Tracking[Type]="Income"))</f>
        <v>4550</v>
      </c>
      <c r="I33" s="39" cm="1">
        <f t="array" ref="I33">IF(AND(Tracking[[#This Row],[Type]]="Income", shift_late_income_status="Active", DAY(Tracking[[#This Row],[Date]])&gt;=shift_late_income_starting_day), DATE(YEAR(Tracking[[#This Row],[Date]]), MONTH(Tracking[[#This Row],[Date]])+1, 1), Tracking[[#This Row],[Date]])</f>
        <v>44589</v>
      </c>
    </row>
    <row r="34" spans="3:9" x14ac:dyDescent="0.3">
      <c r="C34" s="29">
        <v>44592</v>
      </c>
      <c r="D34" s="28" t="s">
        <v>16</v>
      </c>
      <c r="E34" s="28" t="s">
        <v>18</v>
      </c>
      <c r="F34" s="68">
        <v>400</v>
      </c>
      <c r="G34" s="28"/>
      <c r="H34" s="60" cm="1">
        <f t="array" ref="H34">SUMPRODUCT(Tracking[Amount], --(Tracking[Date]&lt;=Tracking[[#This Row],[Date]]),(Tracking[Type]&lt;&gt;"Income") * (-1) + (Tracking[Type]="Income"))</f>
        <v>3500</v>
      </c>
      <c r="I34" s="39" cm="1">
        <f t="array" ref="I34">IF(AND(Tracking[[#This Row],[Type]]="Income", shift_late_income_status="Active", DAY(Tracking[[#This Row],[Date]])&gt;=shift_late_income_starting_day), DATE(YEAR(Tracking[[#This Row],[Date]]), MONTH(Tracking[[#This Row],[Date]])+1, 1), Tracking[[#This Row],[Date]])</f>
        <v>44592</v>
      </c>
    </row>
    <row r="35" spans="3:9" x14ac:dyDescent="0.3">
      <c r="C35" s="29">
        <v>44592</v>
      </c>
      <c r="D35" s="28" t="s">
        <v>16</v>
      </c>
      <c r="E35" s="28" t="s">
        <v>28</v>
      </c>
      <c r="F35" s="68">
        <v>250</v>
      </c>
      <c r="G35" s="28"/>
      <c r="H35" s="60" cm="1">
        <f t="array" ref="H35">SUMPRODUCT(Tracking[Amount], --(Tracking[Date]&lt;=Tracking[[#This Row],[Date]]),(Tracking[Type]&lt;&gt;"Income") * (-1) + (Tracking[Type]="Income"))</f>
        <v>3500</v>
      </c>
      <c r="I35" s="39" cm="1">
        <f t="array" ref="I35">IF(AND(Tracking[[#This Row],[Type]]="Income", shift_late_income_status="Active", DAY(Tracking[[#This Row],[Date]])&gt;=shift_late_income_starting_day), DATE(YEAR(Tracking[[#This Row],[Date]]), MONTH(Tracking[[#This Row],[Date]])+1, 1), Tracking[[#This Row],[Date]])</f>
        <v>44592</v>
      </c>
    </row>
    <row r="36" spans="3:9" x14ac:dyDescent="0.3">
      <c r="C36" s="29">
        <v>44592</v>
      </c>
      <c r="D36" s="28" t="s">
        <v>16</v>
      </c>
      <c r="E36" s="28" t="s">
        <v>27</v>
      </c>
      <c r="F36" s="68">
        <v>400</v>
      </c>
      <c r="G36" s="28"/>
      <c r="H36" s="60" cm="1">
        <f t="array" ref="H36">SUMPRODUCT(Tracking[Amount], --(Tracking[Date]&lt;=Tracking[[#This Row],[Date]]),(Tracking[Type]&lt;&gt;"Income") * (-1) + (Tracking[Type]="Income"))</f>
        <v>3500</v>
      </c>
      <c r="I36" s="39" cm="1">
        <f t="array" ref="I36">IF(AND(Tracking[[#This Row],[Type]]="Income", shift_late_income_status="Active", DAY(Tracking[[#This Row],[Date]])&gt;=shift_late_income_starting_day), DATE(YEAR(Tracking[[#This Row],[Date]]), MONTH(Tracking[[#This Row],[Date]])+1, 1), Tracking[[#This Row],[Date]])</f>
        <v>44592</v>
      </c>
    </row>
    <row r="37" spans="3:9" x14ac:dyDescent="0.3">
      <c r="C37" s="29">
        <v>44593</v>
      </c>
      <c r="D37" s="28" t="s">
        <v>11</v>
      </c>
      <c r="E37" s="28" t="s">
        <v>12</v>
      </c>
      <c r="F37" s="68">
        <v>1200</v>
      </c>
      <c r="G37" s="28"/>
      <c r="H37" s="60" cm="1">
        <f t="array" ref="H37">SUMPRODUCT(Tracking[Amount], --(Tracking[Date]&lt;=Tracking[[#This Row],[Date]]),(Tracking[Type]&lt;&gt;"Income") * (-1) + (Tracking[Type]="Income"))</f>
        <v>2300</v>
      </c>
      <c r="I37" s="39" cm="1">
        <f t="array" ref="I37">IF(AND(Tracking[[#This Row],[Type]]="Income", shift_late_income_status="Active", DAY(Tracking[[#This Row],[Date]])&gt;=shift_late_income_starting_day), DATE(YEAR(Tracking[[#This Row],[Date]]), MONTH(Tracking[[#This Row],[Date]])+1, 1), Tracking[[#This Row],[Date]])</f>
        <v>44593</v>
      </c>
    </row>
    <row r="38" spans="3:9" x14ac:dyDescent="0.3">
      <c r="C38" s="29">
        <v>44594</v>
      </c>
      <c r="D38" s="28" t="s">
        <v>11</v>
      </c>
      <c r="E38" s="28" t="s">
        <v>13</v>
      </c>
      <c r="F38" s="68">
        <v>300</v>
      </c>
      <c r="G38" s="28"/>
      <c r="H38" s="60" cm="1">
        <f t="array" ref="H38">SUMPRODUCT(Tracking[Amount], --(Tracking[Date]&lt;=Tracking[[#This Row],[Date]]),(Tracking[Type]&lt;&gt;"Income") * (-1) + (Tracking[Type]="Income"))</f>
        <v>2000</v>
      </c>
      <c r="I38" s="39" cm="1">
        <f t="array" ref="I38">IF(AND(Tracking[[#This Row],[Type]]="Income", shift_late_income_status="Active", DAY(Tracking[[#This Row],[Date]])&gt;=shift_late_income_starting_day), DATE(YEAR(Tracking[[#This Row],[Date]]), MONTH(Tracking[[#This Row],[Date]])+1, 1), Tracking[[#This Row],[Date]])</f>
        <v>44594</v>
      </c>
    </row>
    <row r="39" spans="3:9" x14ac:dyDescent="0.3">
      <c r="C39" s="29">
        <v>44597</v>
      </c>
      <c r="D39" s="28" t="s">
        <v>5</v>
      </c>
      <c r="E39" s="28" t="s">
        <v>10</v>
      </c>
      <c r="F39" s="68">
        <v>500</v>
      </c>
      <c r="G39" s="28"/>
      <c r="H39" s="60" cm="1">
        <f t="array" ref="H39">SUMPRODUCT(Tracking[Amount], --(Tracking[Date]&lt;=Tracking[[#This Row],[Date]]),(Tracking[Type]&lt;&gt;"Income") * (-1) + (Tracking[Type]="Income"))</f>
        <v>2500</v>
      </c>
      <c r="I39" s="39" cm="1">
        <f t="array" ref="I39">IF(AND(Tracking[[#This Row],[Type]]="Income", shift_late_income_status="Active", DAY(Tracking[[#This Row],[Date]])&gt;=shift_late_income_starting_day), DATE(YEAR(Tracking[[#This Row],[Date]]), MONTH(Tracking[[#This Row],[Date]])+1, 1), Tracking[[#This Row],[Date]])</f>
        <v>44597</v>
      </c>
    </row>
    <row r="40" spans="3:9" x14ac:dyDescent="0.3">
      <c r="C40" s="29">
        <v>44599</v>
      </c>
      <c r="D40" s="28" t="s">
        <v>11</v>
      </c>
      <c r="E40" s="28" t="s">
        <v>14</v>
      </c>
      <c r="F40" s="68">
        <v>200</v>
      </c>
      <c r="G40" s="28"/>
      <c r="H40" s="60" cm="1">
        <f t="array" ref="H40">SUMPRODUCT(Tracking[Amount], --(Tracking[Date]&lt;=Tracking[[#This Row],[Date]]),(Tracking[Type]&lt;&gt;"Income") * (-1) + (Tracking[Type]="Income"))</f>
        <v>2300</v>
      </c>
      <c r="I40" s="39" cm="1">
        <f t="array" ref="I40">IF(AND(Tracking[[#This Row],[Type]]="Income", shift_late_income_status="Active", DAY(Tracking[[#This Row],[Date]])&gt;=shift_late_income_starting_day), DATE(YEAR(Tracking[[#This Row],[Date]]), MONTH(Tracking[[#This Row],[Date]])+1, 1), Tracking[[#This Row],[Date]])</f>
        <v>44599</v>
      </c>
    </row>
    <row r="41" spans="3:9" x14ac:dyDescent="0.3">
      <c r="C41" s="29">
        <v>44600</v>
      </c>
      <c r="D41" s="28" t="s">
        <v>11</v>
      </c>
      <c r="E41" s="28" t="s">
        <v>20</v>
      </c>
      <c r="F41" s="68">
        <v>100</v>
      </c>
      <c r="G41" s="28"/>
      <c r="H41" s="60" cm="1">
        <f t="array" ref="H41">SUMPRODUCT(Tracking[Amount], --(Tracking[Date]&lt;=Tracking[[#This Row],[Date]]),(Tracking[Type]&lt;&gt;"Income") * (-1) + (Tracking[Type]="Income"))</f>
        <v>2200</v>
      </c>
      <c r="I41" s="39" cm="1">
        <f t="array" ref="I41">IF(AND(Tracking[[#This Row],[Type]]="Income", shift_late_income_status="Active", DAY(Tracking[[#This Row],[Date]])&gt;=shift_late_income_starting_day), DATE(YEAR(Tracking[[#This Row],[Date]]), MONTH(Tracking[[#This Row],[Date]])+1, 1), Tracking[[#This Row],[Date]])</f>
        <v>44600</v>
      </c>
    </row>
    <row r="42" spans="3:9" x14ac:dyDescent="0.3">
      <c r="C42" s="29">
        <v>44601</v>
      </c>
      <c r="D42" s="28" t="s">
        <v>16</v>
      </c>
      <c r="E42" s="28" t="s">
        <v>28</v>
      </c>
      <c r="F42" s="68">
        <v>500</v>
      </c>
      <c r="G42" s="28"/>
      <c r="H42" s="60" cm="1">
        <f t="array" ref="H42">SUMPRODUCT(Tracking[Amount], --(Tracking[Date]&lt;=Tracking[[#This Row],[Date]]),(Tracking[Type]&lt;&gt;"Income") * (-1) + (Tracking[Type]="Income"))</f>
        <v>1700</v>
      </c>
      <c r="I42" s="39" cm="1">
        <f t="array" ref="I42">IF(AND(Tracking[[#This Row],[Type]]="Income", shift_late_income_status="Active", DAY(Tracking[[#This Row],[Date]])&gt;=shift_late_income_starting_day), DATE(YEAR(Tracking[[#This Row],[Date]]), MONTH(Tracking[[#This Row],[Date]])+1, 1), Tracking[[#This Row],[Date]])</f>
        <v>44601</v>
      </c>
    </row>
    <row r="43" spans="3:9" x14ac:dyDescent="0.3">
      <c r="C43" s="29">
        <v>44602</v>
      </c>
      <c r="D43" s="28" t="s">
        <v>11</v>
      </c>
      <c r="E43" s="28" t="s">
        <v>14</v>
      </c>
      <c r="F43" s="68">
        <v>200</v>
      </c>
      <c r="G43" s="28"/>
      <c r="H43" s="60" cm="1">
        <f t="array" ref="H43">SUMPRODUCT(Tracking[Amount], --(Tracking[Date]&lt;=Tracking[[#This Row],[Date]]),(Tracking[Type]&lt;&gt;"Income") * (-1) + (Tracking[Type]="Income"))</f>
        <v>1500</v>
      </c>
      <c r="I43" s="39" cm="1">
        <f t="array" ref="I43">IF(AND(Tracking[[#This Row],[Type]]="Income", shift_late_income_status="Active", DAY(Tracking[[#This Row],[Date]])&gt;=shift_late_income_starting_day), DATE(YEAR(Tracking[[#This Row],[Date]]), MONTH(Tracking[[#This Row],[Date]])+1, 1), Tracking[[#This Row],[Date]])</f>
        <v>44602</v>
      </c>
    </row>
    <row r="44" spans="3:9" x14ac:dyDescent="0.3">
      <c r="C44" s="29">
        <v>44603</v>
      </c>
      <c r="D44" s="28" t="s">
        <v>11</v>
      </c>
      <c r="E44" s="28" t="s">
        <v>22</v>
      </c>
      <c r="F44" s="68">
        <v>70</v>
      </c>
      <c r="G44" s="28"/>
      <c r="H44" s="60" cm="1">
        <f t="array" ref="H44">SUMPRODUCT(Tracking[Amount], --(Tracking[Date]&lt;=Tracking[[#This Row],[Date]]),(Tracking[Type]&lt;&gt;"Income") * (-1) + (Tracking[Type]="Income"))</f>
        <v>1430</v>
      </c>
      <c r="I44" s="39" cm="1">
        <f t="array" ref="I44">IF(AND(Tracking[[#This Row],[Type]]="Income", shift_late_income_status="Active", DAY(Tracking[[#This Row],[Date]])&gt;=shift_late_income_starting_day), DATE(YEAR(Tracking[[#This Row],[Date]]), MONTH(Tracking[[#This Row],[Date]])+1, 1), Tracking[[#This Row],[Date]])</f>
        <v>44603</v>
      </c>
    </row>
    <row r="45" spans="3:9" x14ac:dyDescent="0.3">
      <c r="C45" s="29">
        <v>44605</v>
      </c>
      <c r="D45" s="28" t="s">
        <v>11</v>
      </c>
      <c r="E45" s="28" t="s">
        <v>24</v>
      </c>
      <c r="F45" s="68">
        <v>140</v>
      </c>
      <c r="G45" s="28"/>
      <c r="H45" s="60" cm="1">
        <f t="array" ref="H45">SUMPRODUCT(Tracking[Amount], --(Tracking[Date]&lt;=Tracking[[#This Row],[Date]]),(Tracking[Type]&lt;&gt;"Income") * (-1) + (Tracking[Type]="Income"))</f>
        <v>1290</v>
      </c>
      <c r="I45" s="39" cm="1">
        <f t="array" ref="I45">IF(AND(Tracking[[#This Row],[Type]]="Income", shift_late_income_status="Active", DAY(Tracking[[#This Row],[Date]])&gt;=shift_late_income_starting_day), DATE(YEAR(Tracking[[#This Row],[Date]]), MONTH(Tracking[[#This Row],[Date]])+1, 1), Tracking[[#This Row],[Date]])</f>
        <v>44605</v>
      </c>
    </row>
    <row r="46" spans="3:9" x14ac:dyDescent="0.3">
      <c r="C46" s="29">
        <v>44606</v>
      </c>
      <c r="D46" s="28" t="s">
        <v>11</v>
      </c>
      <c r="E46" s="28" t="s">
        <v>14</v>
      </c>
      <c r="F46" s="68">
        <v>80</v>
      </c>
      <c r="G46" s="28"/>
      <c r="H46" s="60" cm="1">
        <f t="array" ref="H46">SUMPRODUCT(Tracking[Amount], --(Tracking[Date]&lt;=Tracking[[#This Row],[Date]]),(Tracking[Type]&lt;&gt;"Income") * (-1) + (Tracking[Type]="Income"))</f>
        <v>1210</v>
      </c>
      <c r="I46" s="39" cm="1">
        <f t="array" ref="I46">IF(AND(Tracking[[#This Row],[Type]]="Income", shift_late_income_status="Active", DAY(Tracking[[#This Row],[Date]])&gt;=shift_late_income_starting_day), DATE(YEAR(Tracking[[#This Row],[Date]]), MONTH(Tracking[[#This Row],[Date]])+1, 1), Tracking[[#This Row],[Date]])</f>
        <v>44606</v>
      </c>
    </row>
    <row r="47" spans="3:9" x14ac:dyDescent="0.3">
      <c r="C47" s="29">
        <v>44607</v>
      </c>
      <c r="D47" s="28" t="s">
        <v>5</v>
      </c>
      <c r="E47" s="28" t="s">
        <v>9</v>
      </c>
      <c r="F47" s="68">
        <v>50</v>
      </c>
      <c r="G47" s="28"/>
      <c r="H47" s="60" cm="1">
        <f t="array" ref="H47">SUMPRODUCT(Tracking[Amount], --(Tracking[Date]&lt;=Tracking[[#This Row],[Date]]),(Tracking[Type]&lt;&gt;"Income") * (-1) + (Tracking[Type]="Income"))</f>
        <v>1260</v>
      </c>
      <c r="I47" s="39" cm="1">
        <f t="array" ref="I47">IF(AND(Tracking[[#This Row],[Type]]="Income", shift_late_income_status="Active", DAY(Tracking[[#This Row],[Date]])&gt;=shift_late_income_starting_day), DATE(YEAR(Tracking[[#This Row],[Date]]), MONTH(Tracking[[#This Row],[Date]])+1, 1), Tracking[[#This Row],[Date]])</f>
        <v>44607</v>
      </c>
    </row>
    <row r="48" spans="3:9" x14ac:dyDescent="0.3">
      <c r="C48" s="29">
        <v>44608</v>
      </c>
      <c r="D48" s="28" t="s">
        <v>11</v>
      </c>
      <c r="E48" s="28" t="s">
        <v>23</v>
      </c>
      <c r="F48" s="68">
        <v>70</v>
      </c>
      <c r="G48" s="28"/>
      <c r="H48" s="60" cm="1">
        <f t="array" ref="H48">SUMPRODUCT(Tracking[Amount], --(Tracking[Date]&lt;=Tracking[[#This Row],[Date]]),(Tracking[Type]&lt;&gt;"Income") * (-1) + (Tracking[Type]="Income"))</f>
        <v>1190</v>
      </c>
      <c r="I48" s="39" cm="1">
        <f t="array" ref="I48">IF(AND(Tracking[[#This Row],[Type]]="Income", shift_late_income_status="Active", DAY(Tracking[[#This Row],[Date]])&gt;=shift_late_income_starting_day), DATE(YEAR(Tracking[[#This Row],[Date]]), MONTH(Tracking[[#This Row],[Date]])+1, 1), Tracking[[#This Row],[Date]])</f>
        <v>44608</v>
      </c>
    </row>
    <row r="49" spans="3:9" x14ac:dyDescent="0.3">
      <c r="C49" s="29">
        <v>44609</v>
      </c>
      <c r="D49" s="28" t="s">
        <v>11</v>
      </c>
      <c r="E49" s="28" t="s">
        <v>20</v>
      </c>
      <c r="F49" s="68">
        <v>150</v>
      </c>
      <c r="G49" s="28"/>
      <c r="H49" s="60" cm="1">
        <f t="array" ref="H49">SUMPRODUCT(Tracking[Amount], --(Tracking[Date]&lt;=Tracking[[#This Row],[Date]]),(Tracking[Type]&lt;&gt;"Income") * (-1) + (Tracking[Type]="Income"))</f>
        <v>1040</v>
      </c>
      <c r="I49" s="39" cm="1">
        <f t="array" ref="I49">IF(AND(Tracking[[#This Row],[Type]]="Income", shift_late_income_status="Active", DAY(Tracking[[#This Row],[Date]])&gt;=shift_late_income_starting_day), DATE(YEAR(Tracking[[#This Row],[Date]]), MONTH(Tracking[[#This Row],[Date]])+1, 1), Tracking[[#This Row],[Date]])</f>
        <v>44609</v>
      </c>
    </row>
    <row r="50" spans="3:9" x14ac:dyDescent="0.3">
      <c r="C50" s="29">
        <v>44610</v>
      </c>
      <c r="D50" s="28" t="s">
        <v>11</v>
      </c>
      <c r="E50" s="28" t="s">
        <v>24</v>
      </c>
      <c r="F50" s="68">
        <v>60</v>
      </c>
      <c r="G50" s="28"/>
      <c r="H50" s="60" cm="1">
        <f t="array" ref="H50">SUMPRODUCT(Tracking[Amount], --(Tracking[Date]&lt;=Tracking[[#This Row],[Date]]),(Tracking[Type]&lt;&gt;"Income") * (-1) + (Tracking[Type]="Income"))</f>
        <v>980</v>
      </c>
      <c r="I50" s="39" cm="1">
        <f t="array" ref="I50">IF(AND(Tracking[[#This Row],[Type]]="Income", shift_late_income_status="Active", DAY(Tracking[[#This Row],[Date]])&gt;=shift_late_income_starting_day), DATE(YEAR(Tracking[[#This Row],[Date]]), MONTH(Tracking[[#This Row],[Date]])+1, 1), Tracking[[#This Row],[Date]])</f>
        <v>44610</v>
      </c>
    </row>
    <row r="51" spans="3:9" x14ac:dyDescent="0.3">
      <c r="C51" s="29">
        <v>44612</v>
      </c>
      <c r="D51" s="28" t="s">
        <v>11</v>
      </c>
      <c r="E51" s="28" t="s">
        <v>22</v>
      </c>
      <c r="F51" s="68">
        <v>140</v>
      </c>
      <c r="G51" s="28"/>
      <c r="H51" s="60" cm="1">
        <f t="array" ref="H51">SUMPRODUCT(Tracking[Amount], --(Tracking[Date]&lt;=Tracking[[#This Row],[Date]]),(Tracking[Type]&lt;&gt;"Income") * (-1) + (Tracking[Type]="Income"))</f>
        <v>840</v>
      </c>
      <c r="I51" s="39" cm="1">
        <f t="array" ref="I51">IF(AND(Tracking[[#This Row],[Type]]="Income", shift_late_income_status="Active", DAY(Tracking[[#This Row],[Date]])&gt;=shift_late_income_starting_day), DATE(YEAR(Tracking[[#This Row],[Date]]), MONTH(Tracking[[#This Row],[Date]])+1, 1), Tracking[[#This Row],[Date]])</f>
        <v>44612</v>
      </c>
    </row>
    <row r="52" spans="3:9" x14ac:dyDescent="0.3">
      <c r="C52" s="29">
        <v>44614</v>
      </c>
      <c r="D52" s="28" t="s">
        <v>11</v>
      </c>
      <c r="E52" s="28" t="s">
        <v>25</v>
      </c>
      <c r="F52" s="68">
        <v>80</v>
      </c>
      <c r="G52" s="28"/>
      <c r="H52" s="60" cm="1">
        <f t="array" ref="H52">SUMPRODUCT(Tracking[Amount], --(Tracking[Date]&lt;=Tracking[[#This Row],[Date]]),(Tracking[Type]&lt;&gt;"Income") * (-1) + (Tracking[Type]="Income"))</f>
        <v>760</v>
      </c>
      <c r="I52" s="39" cm="1">
        <f t="array" ref="I52">IF(AND(Tracking[[#This Row],[Type]]="Income", shift_late_income_status="Active", DAY(Tracking[[#This Row],[Date]])&gt;=shift_late_income_starting_day), DATE(YEAR(Tracking[[#This Row],[Date]]), MONTH(Tracking[[#This Row],[Date]])+1, 1), Tracking[[#This Row],[Date]])</f>
        <v>44614</v>
      </c>
    </row>
    <row r="53" spans="3:9" x14ac:dyDescent="0.3">
      <c r="C53" s="29">
        <v>44616</v>
      </c>
      <c r="D53" s="28" t="s">
        <v>11</v>
      </c>
      <c r="E53" s="28" t="s">
        <v>14</v>
      </c>
      <c r="F53" s="68">
        <v>120</v>
      </c>
      <c r="G53" s="28"/>
      <c r="H53" s="60" cm="1">
        <f t="array" ref="H53">SUMPRODUCT(Tracking[Amount], --(Tracking[Date]&lt;=Tracking[[#This Row],[Date]]),(Tracking[Type]&lt;&gt;"Income") * (-1) + (Tracking[Type]="Income"))</f>
        <v>640</v>
      </c>
      <c r="I53" s="39" cm="1">
        <f t="array" ref="I53">IF(AND(Tracking[[#This Row],[Type]]="Income", shift_late_income_status="Active", DAY(Tracking[[#This Row],[Date]])&gt;=shift_late_income_starting_day), DATE(YEAR(Tracking[[#This Row],[Date]]), MONTH(Tracking[[#This Row],[Date]])+1, 1), Tracking[[#This Row],[Date]])</f>
        <v>44616</v>
      </c>
    </row>
    <row r="54" spans="3:9" x14ac:dyDescent="0.3">
      <c r="C54" s="29">
        <v>44617</v>
      </c>
      <c r="D54" s="28" t="s">
        <v>11</v>
      </c>
      <c r="E54" s="28" t="s">
        <v>20</v>
      </c>
      <c r="F54" s="68">
        <v>130</v>
      </c>
      <c r="G54" s="28"/>
      <c r="H54" s="60" cm="1">
        <f t="array" ref="H54">SUMPRODUCT(Tracking[Amount], --(Tracking[Date]&lt;=Tracking[[#This Row],[Date]]),(Tracking[Type]&lt;&gt;"Income") * (-1) + (Tracking[Type]="Income"))</f>
        <v>4010</v>
      </c>
      <c r="I54" s="39" cm="1">
        <f t="array" ref="I54">IF(AND(Tracking[[#This Row],[Type]]="Income", shift_late_income_status="Active", DAY(Tracking[[#This Row],[Date]])&gt;=shift_late_income_starting_day), DATE(YEAR(Tracking[[#This Row],[Date]]), MONTH(Tracking[[#This Row],[Date]])+1, 1), Tracking[[#This Row],[Date]])</f>
        <v>44617</v>
      </c>
    </row>
    <row r="55" spans="3:9" x14ac:dyDescent="0.3">
      <c r="C55" s="29">
        <v>44617</v>
      </c>
      <c r="D55" s="28" t="s">
        <v>5</v>
      </c>
      <c r="E55" s="28" t="s">
        <v>8</v>
      </c>
      <c r="F55" s="68">
        <v>3500</v>
      </c>
      <c r="G55" s="28"/>
      <c r="H55" s="60" cm="1">
        <f t="array" ref="H55">SUMPRODUCT(Tracking[Amount], --(Tracking[Date]&lt;=Tracking[[#This Row],[Date]]),(Tracking[Type]&lt;&gt;"Income") * (-1) + (Tracking[Type]="Income"))</f>
        <v>4010</v>
      </c>
      <c r="I55" s="39" cm="1">
        <f t="array" ref="I55">IF(AND(Tracking[[#This Row],[Type]]="Income", shift_late_income_status="Active", DAY(Tracking[[#This Row],[Date]])&gt;=shift_late_income_starting_day), DATE(YEAR(Tracking[[#This Row],[Date]]), MONTH(Tracking[[#This Row],[Date]])+1, 1), Tracking[[#This Row],[Date]])</f>
        <v>44621</v>
      </c>
    </row>
    <row r="56" spans="3:9" x14ac:dyDescent="0.3">
      <c r="C56" s="29">
        <v>44618</v>
      </c>
      <c r="D56" s="28" t="s">
        <v>11</v>
      </c>
      <c r="E56" s="28" t="s">
        <v>24</v>
      </c>
      <c r="F56" s="68">
        <v>50</v>
      </c>
      <c r="G56" s="28"/>
      <c r="H56" s="60" cm="1">
        <f t="array" ref="H56">SUMPRODUCT(Tracking[Amount], --(Tracking[Date]&lt;=Tracking[[#This Row],[Date]]),(Tracking[Type]&lt;&gt;"Income") * (-1) + (Tracking[Type]="Income"))</f>
        <v>3960</v>
      </c>
      <c r="I56" s="39" cm="1">
        <f t="array" ref="I56">IF(AND(Tracking[[#This Row],[Type]]="Income", shift_late_income_status="Active", DAY(Tracking[[#This Row],[Date]])&gt;=shift_late_income_starting_day), DATE(YEAR(Tracking[[#This Row],[Date]]), MONTH(Tracking[[#This Row],[Date]])+1, 1), Tracking[[#This Row],[Date]])</f>
        <v>44618</v>
      </c>
    </row>
    <row r="57" spans="3:9" x14ac:dyDescent="0.3">
      <c r="C57" s="29">
        <v>44619</v>
      </c>
      <c r="D57" s="28" t="s">
        <v>11</v>
      </c>
      <c r="E57" s="28" t="s">
        <v>22</v>
      </c>
      <c r="F57" s="68">
        <v>60</v>
      </c>
      <c r="G57" s="28"/>
      <c r="H57" s="60" cm="1">
        <f t="array" ref="H57">SUMPRODUCT(Tracking[Amount], --(Tracking[Date]&lt;=Tracking[[#This Row],[Date]]),(Tracking[Type]&lt;&gt;"Income") * (-1) + (Tracking[Type]="Income"))</f>
        <v>3900</v>
      </c>
      <c r="I57" s="39" cm="1">
        <f t="array" ref="I57">IF(AND(Tracking[[#This Row],[Type]]="Income", shift_late_income_status="Active", DAY(Tracking[[#This Row],[Date]])&gt;=shift_late_income_starting_day), DATE(YEAR(Tracking[[#This Row],[Date]]), MONTH(Tracking[[#This Row],[Date]])+1, 1), Tracking[[#This Row],[Date]])</f>
        <v>44619</v>
      </c>
    </row>
    <row r="58" spans="3:9" x14ac:dyDescent="0.3">
      <c r="C58" s="29">
        <v>44620</v>
      </c>
      <c r="D58" s="28" t="s">
        <v>16</v>
      </c>
      <c r="E58" s="28" t="s">
        <v>18</v>
      </c>
      <c r="F58" s="68">
        <v>400</v>
      </c>
      <c r="G58" s="28"/>
      <c r="H58" s="60" cm="1">
        <f t="array" ref="H58">SUMPRODUCT(Tracking[Amount], --(Tracking[Date]&lt;=Tracking[[#This Row],[Date]]),(Tracking[Type]&lt;&gt;"Income") * (-1) + (Tracking[Type]="Income"))</f>
        <v>3360</v>
      </c>
      <c r="I58" s="39" cm="1">
        <f t="array" ref="I58">IF(AND(Tracking[[#This Row],[Type]]="Income", shift_late_income_status="Active", DAY(Tracking[[#This Row],[Date]])&gt;=shift_late_income_starting_day), DATE(YEAR(Tracking[[#This Row],[Date]]), MONTH(Tracking[[#This Row],[Date]])+1, 1), Tracking[[#This Row],[Date]])</f>
        <v>44620</v>
      </c>
    </row>
    <row r="59" spans="3:9" x14ac:dyDescent="0.3">
      <c r="C59" s="29">
        <v>44620</v>
      </c>
      <c r="D59" s="28" t="s">
        <v>16</v>
      </c>
      <c r="E59" s="28" t="s">
        <v>17</v>
      </c>
      <c r="F59" s="68">
        <v>140</v>
      </c>
      <c r="G59" s="28"/>
      <c r="H59" s="60" cm="1">
        <f t="array" ref="H59">SUMPRODUCT(Tracking[Amount], --(Tracking[Date]&lt;=Tracking[[#This Row],[Date]]),(Tracking[Type]&lt;&gt;"Income") * (-1) + (Tracking[Type]="Income"))</f>
        <v>3360</v>
      </c>
      <c r="I59" s="39" cm="1">
        <f t="array" ref="I59">IF(AND(Tracking[[#This Row],[Type]]="Income", shift_late_income_status="Active", DAY(Tracking[[#This Row],[Date]])&gt;=shift_late_income_starting_day), DATE(YEAR(Tracking[[#This Row],[Date]]), MONTH(Tracking[[#This Row],[Date]])+1, 1), Tracking[[#This Row],[Date]])</f>
        <v>44620</v>
      </c>
    </row>
    <row r="60" spans="3:9" x14ac:dyDescent="0.3">
      <c r="C60" s="29">
        <v>44621</v>
      </c>
      <c r="D60" s="28" t="s">
        <v>11</v>
      </c>
      <c r="E60" s="28" t="s">
        <v>12</v>
      </c>
      <c r="F60" s="68">
        <v>1200</v>
      </c>
      <c r="G60" s="28"/>
      <c r="H60" s="60" cm="1">
        <f t="array" ref="H60">SUMPRODUCT(Tracking[Amount], --(Tracking[Date]&lt;=Tracking[[#This Row],[Date]]),(Tracking[Type]&lt;&gt;"Income") * (-1) + (Tracking[Type]="Income"))</f>
        <v>2160</v>
      </c>
      <c r="I60" s="39" cm="1">
        <f t="array" ref="I60">IF(AND(Tracking[[#This Row],[Type]]="Income", shift_late_income_status="Active", DAY(Tracking[[#This Row],[Date]])&gt;=shift_late_income_starting_day), DATE(YEAR(Tracking[[#This Row],[Date]]), MONTH(Tracking[[#This Row],[Date]])+1, 1), Tracking[[#This Row],[Date]])</f>
        <v>44621</v>
      </c>
    </row>
    <row r="61" spans="3:9" x14ac:dyDescent="0.3">
      <c r="C61" s="29">
        <v>44622</v>
      </c>
      <c r="D61" s="28" t="s">
        <v>11</v>
      </c>
      <c r="E61" s="28" t="s">
        <v>13</v>
      </c>
      <c r="F61" s="68">
        <v>300</v>
      </c>
      <c r="G61" s="28"/>
      <c r="H61" s="60" cm="1">
        <f t="array" ref="H61">SUMPRODUCT(Tracking[Amount], --(Tracking[Date]&lt;=Tracking[[#This Row],[Date]]),(Tracking[Type]&lt;&gt;"Income") * (-1) + (Tracking[Type]="Income"))</f>
        <v>1860</v>
      </c>
      <c r="I61" s="39" cm="1">
        <f t="array" ref="I61">IF(AND(Tracking[[#This Row],[Type]]="Income", shift_late_income_status="Active", DAY(Tracking[[#This Row],[Date]])&gt;=shift_late_income_starting_day), DATE(YEAR(Tracking[[#This Row],[Date]]), MONTH(Tracking[[#This Row],[Date]])+1, 1), Tracking[[#This Row],[Date]])</f>
        <v>44622</v>
      </c>
    </row>
    <row r="62" spans="3:9" x14ac:dyDescent="0.3">
      <c r="C62" s="29">
        <v>44623</v>
      </c>
      <c r="D62" s="28" t="s">
        <v>11</v>
      </c>
      <c r="E62" s="28" t="s">
        <v>14</v>
      </c>
      <c r="F62" s="68">
        <v>60</v>
      </c>
      <c r="G62" s="28"/>
      <c r="H62" s="60" cm="1">
        <f t="array" ref="H62">SUMPRODUCT(Tracking[Amount], --(Tracking[Date]&lt;=Tracking[[#This Row],[Date]]),(Tracking[Type]&lt;&gt;"Income") * (-1) + (Tracking[Type]="Income"))</f>
        <v>1800</v>
      </c>
      <c r="I62" s="39" cm="1">
        <f t="array" ref="I62">IF(AND(Tracking[[#This Row],[Type]]="Income", shift_late_income_status="Active", DAY(Tracking[[#This Row],[Date]])&gt;=shift_late_income_starting_day), DATE(YEAR(Tracking[[#This Row],[Date]]), MONTH(Tracking[[#This Row],[Date]])+1, 1), Tracking[[#This Row],[Date]])</f>
        <v>44623</v>
      </c>
    </row>
    <row r="63" spans="3:9" x14ac:dyDescent="0.3">
      <c r="C63" s="29">
        <v>44624</v>
      </c>
      <c r="D63" s="28" t="s">
        <v>11</v>
      </c>
      <c r="E63" s="28" t="s">
        <v>22</v>
      </c>
      <c r="F63" s="68">
        <v>30</v>
      </c>
      <c r="G63" s="28"/>
      <c r="H63" s="60" cm="1">
        <f t="array" ref="H63">SUMPRODUCT(Tracking[Amount], --(Tracking[Date]&lt;=Tracking[[#This Row],[Date]]),(Tracking[Type]&lt;&gt;"Income") * (-1) + (Tracking[Type]="Income"))</f>
        <v>1770</v>
      </c>
      <c r="I63" s="39" cm="1">
        <f t="array" ref="I63">IF(AND(Tracking[[#This Row],[Type]]="Income", shift_late_income_status="Active", DAY(Tracking[[#This Row],[Date]])&gt;=shift_late_income_starting_day), DATE(YEAR(Tracking[[#This Row],[Date]]), MONTH(Tracking[[#This Row],[Date]])+1, 1), Tracking[[#This Row],[Date]])</f>
        <v>44624</v>
      </c>
    </row>
    <row r="64" spans="3:9" x14ac:dyDescent="0.3">
      <c r="C64" s="29">
        <v>44626</v>
      </c>
      <c r="D64" s="28" t="s">
        <v>11</v>
      </c>
      <c r="E64" s="28" t="s">
        <v>21</v>
      </c>
      <c r="F64" s="68">
        <v>150</v>
      </c>
      <c r="G64" s="28"/>
      <c r="H64" s="60" cm="1">
        <f t="array" ref="H64">SUMPRODUCT(Tracking[Amount], --(Tracking[Date]&lt;=Tracking[[#This Row],[Date]]),(Tracking[Type]&lt;&gt;"Income") * (-1) + (Tracking[Type]="Income"))</f>
        <v>1620</v>
      </c>
      <c r="I64" s="39" cm="1">
        <f t="array" ref="I64">IF(AND(Tracking[[#This Row],[Type]]="Income", shift_late_income_status="Active", DAY(Tracking[[#This Row],[Date]])&gt;=shift_late_income_starting_day), DATE(YEAR(Tracking[[#This Row],[Date]]), MONTH(Tracking[[#This Row],[Date]])+1, 1), Tracking[[#This Row],[Date]])</f>
        <v>44626</v>
      </c>
    </row>
    <row r="65" spans="3:9" x14ac:dyDescent="0.3">
      <c r="C65" s="29">
        <v>44627</v>
      </c>
      <c r="D65" s="28" t="s">
        <v>11</v>
      </c>
      <c r="E65" s="28" t="s">
        <v>20</v>
      </c>
      <c r="F65" s="68">
        <v>50</v>
      </c>
      <c r="G65" s="28"/>
      <c r="H65" s="60" cm="1">
        <f t="array" ref="H65">SUMPRODUCT(Tracking[Amount], --(Tracking[Date]&lt;=Tracking[[#This Row],[Date]]),(Tracking[Type]&lt;&gt;"Income") * (-1) + (Tracking[Type]="Income"))</f>
        <v>1570</v>
      </c>
      <c r="I65" s="39" cm="1">
        <f t="array" ref="I65">IF(AND(Tracking[[#This Row],[Type]]="Income", shift_late_income_status="Active", DAY(Tracking[[#This Row],[Date]])&gt;=shift_late_income_starting_day), DATE(YEAR(Tracking[[#This Row],[Date]]), MONTH(Tracking[[#This Row],[Date]])+1, 1), Tracking[[#This Row],[Date]])</f>
        <v>44627</v>
      </c>
    </row>
    <row r="66" spans="3:9" x14ac:dyDescent="0.3">
      <c r="C66" s="29">
        <v>44629</v>
      </c>
      <c r="D66" s="28" t="s">
        <v>11</v>
      </c>
      <c r="E66" s="28" t="s">
        <v>24</v>
      </c>
      <c r="F66" s="68">
        <v>120</v>
      </c>
      <c r="G66" s="28"/>
      <c r="H66" s="60" cm="1">
        <f t="array" ref="H66">SUMPRODUCT(Tracking[Amount], --(Tracking[Date]&lt;=Tracking[[#This Row],[Date]]),(Tracking[Type]&lt;&gt;"Income") * (-1) + (Tracking[Type]="Income"))</f>
        <v>1450</v>
      </c>
      <c r="I66" s="39" cm="1">
        <f t="array" ref="I66">IF(AND(Tracking[[#This Row],[Type]]="Income", shift_late_income_status="Active", DAY(Tracking[[#This Row],[Date]])&gt;=shift_late_income_starting_day), DATE(YEAR(Tracking[[#This Row],[Date]]), MONTH(Tracking[[#This Row],[Date]])+1, 1), Tracking[[#This Row],[Date]])</f>
        <v>44629</v>
      </c>
    </row>
    <row r="67" spans="3:9" x14ac:dyDescent="0.3">
      <c r="C67" s="29">
        <v>44630</v>
      </c>
      <c r="D67" s="28" t="s">
        <v>5</v>
      </c>
      <c r="E67" s="28" t="s">
        <v>9</v>
      </c>
      <c r="F67" s="68">
        <v>100</v>
      </c>
      <c r="G67" s="28"/>
      <c r="H67" s="60" cm="1">
        <f t="array" ref="H67">SUMPRODUCT(Tracking[Amount], --(Tracking[Date]&lt;=Tracking[[#This Row],[Date]]),(Tracking[Type]&lt;&gt;"Income") * (-1) + (Tracking[Type]="Income"))</f>
        <v>1550</v>
      </c>
      <c r="I67" s="39" cm="1">
        <f t="array" ref="I67">IF(AND(Tracking[[#This Row],[Type]]="Income", shift_late_income_status="Active", DAY(Tracking[[#This Row],[Date]])&gt;=shift_late_income_starting_day), DATE(YEAR(Tracking[[#This Row],[Date]]), MONTH(Tracking[[#This Row],[Date]])+1, 1), Tracking[[#This Row],[Date]])</f>
        <v>44630</v>
      </c>
    </row>
    <row r="68" spans="3:9" x14ac:dyDescent="0.3">
      <c r="C68" s="29">
        <v>44632</v>
      </c>
      <c r="D68" s="28" t="s">
        <v>11</v>
      </c>
      <c r="E68" s="28" t="s">
        <v>23</v>
      </c>
      <c r="F68" s="68">
        <v>50</v>
      </c>
      <c r="G68" s="28"/>
      <c r="H68" s="60" cm="1">
        <f t="array" ref="H68">SUMPRODUCT(Tracking[Amount], --(Tracking[Date]&lt;=Tracking[[#This Row],[Date]]),(Tracking[Type]&lt;&gt;"Income") * (-1) + (Tracking[Type]="Income"))</f>
        <v>1500</v>
      </c>
      <c r="I68" s="39" cm="1">
        <f t="array" ref="I68">IF(AND(Tracking[[#This Row],[Type]]="Income", shift_late_income_status="Active", DAY(Tracking[[#This Row],[Date]])&gt;=shift_late_income_starting_day), DATE(YEAR(Tracking[[#This Row],[Date]]), MONTH(Tracking[[#This Row],[Date]])+1, 1), Tracking[[#This Row],[Date]])</f>
        <v>44632</v>
      </c>
    </row>
    <row r="69" spans="3:9" x14ac:dyDescent="0.3">
      <c r="C69" s="29">
        <v>44633</v>
      </c>
      <c r="D69" s="28" t="s">
        <v>11</v>
      </c>
      <c r="E69" s="28" t="s">
        <v>14</v>
      </c>
      <c r="F69" s="68">
        <v>120</v>
      </c>
      <c r="G69" s="28"/>
      <c r="H69" s="60" cm="1">
        <f t="array" ref="H69">SUMPRODUCT(Tracking[Amount], --(Tracking[Date]&lt;=Tracking[[#This Row],[Date]]),(Tracking[Type]&lt;&gt;"Income") * (-1) + (Tracking[Type]="Income"))</f>
        <v>1380</v>
      </c>
      <c r="I69" s="39" cm="1">
        <f t="array" ref="I69">IF(AND(Tracking[[#This Row],[Type]]="Income", shift_late_income_status="Active", DAY(Tracking[[#This Row],[Date]])&gt;=shift_late_income_starting_day), DATE(YEAR(Tracking[[#This Row],[Date]]), MONTH(Tracking[[#This Row],[Date]])+1, 1), Tracking[[#This Row],[Date]])</f>
        <v>44633</v>
      </c>
    </row>
    <row r="70" spans="3:9" x14ac:dyDescent="0.3">
      <c r="C70" s="29">
        <v>44635</v>
      </c>
      <c r="D70" s="28" t="s">
        <v>5</v>
      </c>
      <c r="E70" s="28" t="s">
        <v>10</v>
      </c>
      <c r="F70" s="68">
        <v>1100</v>
      </c>
      <c r="G70" s="28"/>
      <c r="H70" s="60" cm="1">
        <f t="array" ref="H70">SUMPRODUCT(Tracking[Amount], --(Tracking[Date]&lt;=Tracking[[#This Row],[Date]]),(Tracking[Type]&lt;&gt;"Income") * (-1) + (Tracking[Type]="Income"))</f>
        <v>2480</v>
      </c>
      <c r="I70" s="39" cm="1">
        <f t="array" ref="I70">IF(AND(Tracking[[#This Row],[Type]]="Income", shift_late_income_status="Active", DAY(Tracking[[#This Row],[Date]])&gt;=shift_late_income_starting_day), DATE(YEAR(Tracking[[#This Row],[Date]]), MONTH(Tracking[[#This Row],[Date]])+1, 1), Tracking[[#This Row],[Date]])</f>
        <v>44635</v>
      </c>
    </row>
  </sheetData>
  <mergeCells count="1">
    <mergeCell ref="A1:X3"/>
  </mergeCells>
  <conditionalFormatting sqref="E12:E70">
    <cfRule type="expression" dxfId="36" priority="5">
      <formula>ISNA(MATCH(E12, INDIRECT(D12), 0))</formula>
    </cfRule>
  </conditionalFormatting>
  <conditionalFormatting sqref="F12:F70">
    <cfRule type="expression" dxfId="35" priority="2">
      <formula>D12="Income"</formula>
    </cfRule>
  </conditionalFormatting>
  <conditionalFormatting sqref="I12:I70">
    <cfRule type="expression" dxfId="34" priority="1">
      <formula>AND(D9="Income", shift_late_income_status="Active", DAY(C9)&gt;=shift_late_income_starting_day)</formula>
    </cfRule>
  </conditionalFormatting>
  <dataValidations count="5">
    <dataValidation type="date" operator="greaterThan" allowBlank="1" showInputMessage="1" showErrorMessage="1" errorTitle="Invalid Date" error="Please enter a valid date." sqref="G12" xr:uid="{361109FD-215A-46E3-85E9-9136BF5B2817}">
      <formula1>1</formula1>
    </dataValidation>
    <dataValidation type="date" operator="greaterThan" allowBlank="1" showInputMessage="1" showErrorMessage="1" sqref="C12:C70" xr:uid="{A83B827A-FCCE-4FA0-A4E9-AFC8FD09D6B0}">
      <formula1>1</formula1>
    </dataValidation>
    <dataValidation type="list" operator="greaterThan" allowBlank="1" showInputMessage="1" showErrorMessage="1" errorTitle="Invalid Type" error="Please enter a valid type from the dropdown list." sqref="D12:D70" xr:uid="{E7BBFF34-D5EB-491A-B9FC-635754495E7E}">
      <formula1>"Income, Expenses, Savings"</formula1>
    </dataValidation>
    <dataValidation type="list" operator="greaterThan" allowBlank="1" showInputMessage="1" showErrorMessage="1" errorTitle="Invalid Category" error="Please enter a valid category from the dropdown list." sqref="E12:E70" xr:uid="{0FE7A840-C1BB-44EE-AEB2-487D7017190D}">
      <formula1>INDIRECT(D12)</formula1>
    </dataValidation>
    <dataValidation type="custom" allowBlank="1" showInputMessage="1" showErrorMessage="1" errorTitle="Invalid Amount" error="Please enter a valid a number." sqref="F12:F70" xr:uid="{C6755094-7A4D-48D5-9C55-E8C4864ABDA6}">
      <formula1>ISNUMBER(F12)</formula1>
    </dataValidation>
  </dataValidations>
  <pageMargins left="0.7" right="0.7" top="0.75" bottom="0.75" header="0.3" footer="0.3"/>
  <drawing r:id="rId1"/>
  <tableParts count="1">
    <tablePart r:id="rId2"/>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51BFF1-8B0D-46C1-AFD1-2A66E194EEE7}">
  <sheetPr codeName="Sheet4"/>
  <dimension ref="A1:AS50"/>
  <sheetViews>
    <sheetView showGridLines="0" workbookViewId="0">
      <selection sqref="A1:XFD3"/>
    </sheetView>
  </sheetViews>
  <sheetFormatPr defaultRowHeight="14.4" x14ac:dyDescent="0.3"/>
  <cols>
    <col min="1" max="1" width="3.44140625" customWidth="1"/>
    <col min="2" max="2" width="3.33203125" customWidth="1"/>
    <col min="3" max="3" width="5.44140625" hidden="1" customWidth="1"/>
    <col min="4" max="4" width="10.77734375" hidden="1" customWidth="1"/>
    <col min="5" max="5" width="7.44140625" hidden="1" customWidth="1"/>
    <col min="6" max="6" width="4.88671875" hidden="1" customWidth="1"/>
    <col min="7" max="7" width="6" hidden="1" customWidth="1"/>
    <col min="8" max="8" width="6.88671875" hidden="1" customWidth="1"/>
    <col min="9" max="9" width="9" hidden="1" customWidth="1"/>
    <col min="10" max="10" width="25.5546875" hidden="1" customWidth="1"/>
    <col min="11" max="11" width="7.77734375" hidden="1" customWidth="1"/>
    <col min="12" max="12" width="6.77734375" hidden="1" customWidth="1"/>
    <col min="13" max="13" width="10" hidden="1" customWidth="1"/>
    <col min="14" max="14" width="10.21875" hidden="1" customWidth="1"/>
    <col min="15" max="15" width="13" hidden="1" customWidth="1"/>
    <col min="16" max="16" width="9.6640625" hidden="1" customWidth="1"/>
    <col min="17" max="17" width="12.6640625" hidden="1" customWidth="1"/>
    <col min="18" max="18" width="9.109375" hidden="1" customWidth="1"/>
    <col min="19" max="19" width="8.21875" hidden="1" customWidth="1"/>
    <col min="20" max="20" width="12.77734375" hidden="1" customWidth="1"/>
    <col min="21" max="21" width="12.33203125" hidden="1" customWidth="1"/>
    <col min="22" max="22" width="20" hidden="1" customWidth="1"/>
    <col min="23" max="23" width="13.5546875" hidden="1" customWidth="1"/>
    <col min="24" max="24" width="16.33203125" hidden="1" customWidth="1"/>
    <col min="25" max="25" width="24.109375" bestFit="1" customWidth="1"/>
    <col min="26" max="28" width="8.88671875" customWidth="1"/>
    <col min="29" max="29" width="10.77734375" bestFit="1" customWidth="1"/>
    <col min="30" max="30" width="8.88671875" customWidth="1"/>
    <col min="31" max="31" width="3.21875" customWidth="1"/>
    <col min="32" max="32" width="19.109375" customWidth="1"/>
    <col min="33" max="33" width="18" customWidth="1"/>
    <col min="34" max="34" width="2.6640625" customWidth="1"/>
    <col min="35" max="35" width="14" customWidth="1"/>
    <col min="36" max="36" width="7.44140625" customWidth="1"/>
    <col min="37" max="37" width="4.6640625" customWidth="1"/>
    <col min="38" max="38" width="3.88671875" customWidth="1"/>
    <col min="39" max="40" width="19.109375" customWidth="1"/>
    <col min="41" max="41" width="3" customWidth="1"/>
    <col min="42" max="42" width="14" customWidth="1"/>
    <col min="43" max="43" width="7.44140625" customWidth="1"/>
    <col min="44" max="44" width="4.6640625" customWidth="1"/>
  </cols>
  <sheetData>
    <row r="1" spans="1:45" s="116" customFormat="1" ht="14.4" customHeight="1" x14ac:dyDescent="0.3">
      <c r="A1" s="116" t="s">
        <v>53</v>
      </c>
    </row>
    <row r="2" spans="1:45" s="116" customFormat="1" ht="14.4" customHeight="1" x14ac:dyDescent="0.3"/>
    <row r="3" spans="1:45" s="116" customFormat="1" ht="14.4" customHeight="1" x14ac:dyDescent="0.3"/>
    <row r="5" spans="1:45" x14ac:dyDescent="0.3">
      <c r="AQ5" s="73" t="s">
        <v>54</v>
      </c>
      <c r="AR5" s="74"/>
    </row>
    <row r="6" spans="1:45" x14ac:dyDescent="0.3">
      <c r="AN6" s="76" t="s">
        <v>55</v>
      </c>
      <c r="AO6" s="76"/>
      <c r="AP6" s="76"/>
      <c r="AQ6" s="75">
        <v>2022</v>
      </c>
      <c r="AR6" s="75"/>
    </row>
    <row r="8" spans="1:45" x14ac:dyDescent="0.3">
      <c r="AQ8" s="73" t="s">
        <v>56</v>
      </c>
      <c r="AR8" s="74"/>
    </row>
    <row r="9" spans="1:45" x14ac:dyDescent="0.3">
      <c r="AN9" s="76" t="s">
        <v>57</v>
      </c>
      <c r="AO9" s="76"/>
      <c r="AP9" s="76"/>
      <c r="AQ9" s="77" t="s">
        <v>62</v>
      </c>
      <c r="AR9" s="77"/>
    </row>
    <row r="11" spans="1:45" x14ac:dyDescent="0.3">
      <c r="C11" s="43"/>
      <c r="D11" s="43"/>
      <c r="E11" s="43"/>
      <c r="F11" s="43"/>
      <c r="G11" s="43"/>
      <c r="H11" s="43"/>
      <c r="I11" s="43"/>
      <c r="J11" s="43"/>
      <c r="K11" s="43"/>
      <c r="L11" s="43"/>
      <c r="M11" s="43"/>
      <c r="N11" s="43"/>
      <c r="O11" s="43"/>
      <c r="P11" s="43"/>
      <c r="Q11" s="43"/>
      <c r="R11" s="43"/>
      <c r="S11" s="43"/>
      <c r="T11" s="43"/>
      <c r="U11" s="43"/>
      <c r="V11" s="43"/>
      <c r="W11" s="43"/>
      <c r="X11" s="43"/>
      <c r="Y11" s="72" t="str">
        <f ca="1">"Breakdown - " &amp; IF(selected_period="Total Year", selected_year &amp; " (Total Year)", selected_period_display &amp; " " &amp; selected_year)</f>
        <v>Breakdown - 2022 (Total Year)</v>
      </c>
      <c r="Z11" s="72"/>
      <c r="AA11" s="72"/>
      <c r="AB11" s="72"/>
      <c r="AC11" s="72"/>
      <c r="AD11" s="72"/>
      <c r="AF11" s="70" t="str">
        <f ca="1">"Summary - " &amp; IF(selected_period="Total Year", selected_year &amp; " (Total Year)", selected_period_display &amp; " " &amp; selected_year)</f>
        <v>Summary - 2022 (Total Year)</v>
      </c>
      <c r="AG11" s="70"/>
      <c r="AH11" s="70"/>
      <c r="AI11" s="70"/>
      <c r="AJ11" s="70"/>
      <c r="AK11" s="70"/>
      <c r="AL11" s="70"/>
      <c r="AM11" s="70"/>
      <c r="AN11" s="70"/>
      <c r="AO11" s="70"/>
      <c r="AP11" s="70"/>
      <c r="AQ11" s="70"/>
      <c r="AR11" s="70"/>
      <c r="AS11" s="70"/>
    </row>
    <row r="12" spans="1:45" x14ac:dyDescent="0.3">
      <c r="C12" s="55" t="s">
        <v>68</v>
      </c>
      <c r="D12" s="57" t="s">
        <v>69</v>
      </c>
      <c r="E12" s="55" t="s">
        <v>70</v>
      </c>
      <c r="F12" s="56" t="s">
        <v>71</v>
      </c>
      <c r="G12" s="56" t="s">
        <v>72</v>
      </c>
      <c r="H12" s="57" t="s">
        <v>73</v>
      </c>
      <c r="I12" s="55" t="s">
        <v>74</v>
      </c>
      <c r="J12" s="56" t="s">
        <v>75</v>
      </c>
      <c r="K12" s="56" t="s">
        <v>76</v>
      </c>
      <c r="L12" s="57" t="s">
        <v>77</v>
      </c>
      <c r="M12" s="55" t="s">
        <v>79</v>
      </c>
      <c r="N12" s="57" t="s">
        <v>78</v>
      </c>
      <c r="O12" s="55" t="s">
        <v>80</v>
      </c>
      <c r="P12" s="56" t="s">
        <v>81</v>
      </c>
      <c r="Q12" s="56" t="s">
        <v>82</v>
      </c>
      <c r="R12" s="57" t="s">
        <v>83</v>
      </c>
      <c r="S12" s="55" t="s">
        <v>87</v>
      </c>
      <c r="T12" s="56" t="s">
        <v>84</v>
      </c>
      <c r="U12" s="56" t="s">
        <v>85</v>
      </c>
      <c r="V12" s="56" t="s">
        <v>88</v>
      </c>
      <c r="W12" s="57" t="s">
        <v>86</v>
      </c>
      <c r="X12" s="54" t="s">
        <v>89</v>
      </c>
    </row>
    <row r="13" spans="1:45" x14ac:dyDescent="0.3">
      <c r="C13" s="58" cm="1">
        <f t="array" ref="C13">income_header_row</f>
        <v>9</v>
      </c>
      <c r="D13" s="59">
        <f t="shared" ref="D13:D50" si="0">IF(is_header,row_id, IF(NOT(is_empty),D12,-1))</f>
        <v>9</v>
      </c>
      <c r="E13" s="58" cm="1">
        <f t="array" ref="E13">1*OR(row_id=income_header_row,row_id=expenses_header_row, row_id=savings_header_row)</f>
        <v>1</v>
      </c>
      <c r="F13">
        <f t="shared" ref="F13:F50" si="1">1*NOT(OR(is_header,is_total,is_empty))</f>
        <v>0</v>
      </c>
      <c r="G13" s="2" cm="1">
        <f t="array" ref="G13">1*OR(row_id=income_total_row,row_id=expenses_row_total,row_id=savings_total_row)</f>
        <v>0</v>
      </c>
      <c r="H13" s="59">
        <f t="shared" ref="H13:H50" si="2">1*OR(row_id="/1",row_id="/2",row_id=-1)</f>
        <v>0</v>
      </c>
      <c r="I13" s="58" t="str" cm="1">
        <f t="array" ref="I13">IFERROR(INDEX('Budget Planning'!$C:$C, header_row_id), "")</f>
        <v>Income</v>
      </c>
      <c r="J13" s="2" t="str" cm="1">
        <f t="array" ref="J13">IFERROR(INDEX('Budget Planning'!$C:$C, row_id), "")</f>
        <v>Income</v>
      </c>
      <c r="K13" s="61" t="str" cm="1">
        <f t="array" ref="K13">IF(OR(is_header, is_empty), "",
    IF(is_total,
        IF(selected_period="Total Year", SUM(Tracking[Amount] * (Tracking[Type]=type) * (YEAR(Tracking[Effective Date])=selected_year)), SUM(Tracking[Amount] * (Tracking[Type]=type) * (YEAR(Tracking[Effective Date])=selected_year) *(MONTH(Tracking[Effective Date])=selected_period) )),
        IF(selected_period="Total Year", SUM(Tracking[Amount] * (Tracking[Type]=type) * (Tracking[Category]=item) * (YEAR(Tracking[Effective Date])=selected_year)), SUM(Tracking[Amount] * (Tracking[Type]=type) * (Tracking[Category]=item) * (YEAR(Tracking[Effective Date])=selected_year)))
    )
)</f>
        <v/>
      </c>
      <c r="L13" s="62" t="str" cm="1">
        <f t="array" ref="L13">IF(OR(is_header,is_empty),"",INDEX('Budget Planning'!$E:$EM,row_id,MATCH(IF(selected_period="Total Year",selected_year,DATE(selected_year,selected_period,1)),'Budget Planning'!$E$9:$EM$9,0)))</f>
        <v/>
      </c>
      <c r="M13" s="61" t="str" cm="1">
        <f t="array" ref="M13">IF(is_cat,
    IF(header_row_id = income_header_row, MATCH(income_min_row, $C:$C, 0),
    IF(header_row_id = expenses_header_row, MATCH(expenses_min_row, $C:$C, 0),
    IF(header_row_id = savings_header_row, MATCH(savings_min_row, $C:$C, 0), ""))),
    "")</f>
        <v/>
      </c>
      <c r="N13" s="62" t="str" cm="1">
        <f t="array" ref="N13">IF(is_cat,
    IF(header_row_id = income_header_row, MATCH(income_max_row, $C:$C, 0),
    IF(header_row_id = expenses_header_row, MATCH(expenses_max_row, $C:$C, 0),
    IF(header_row_id = savings_header_row, MATCH(savings_max_row, $C:$C, 0), ""))),
    "")</f>
        <v/>
      </c>
      <c r="O13" s="64" t="str">
        <f t="shared" ref="O13:O50" si="3">IF(is_cat, ADDRESS(sort_min_row, COLUMN(tracked)) &amp;":" &amp; ADDRESS(sort_max_row, COLUMN(tracked)), "")</f>
        <v/>
      </c>
      <c r="P13" s="61" t="str">
        <f t="shared" ref="P13:P50" ca="1" si="4">IF(is_cat,RANK(tracked, INDIRECT(tracked_range), 0), "")</f>
        <v/>
      </c>
      <c r="Q13" s="61" t="str">
        <f t="shared" ref="Q13:Q50" si="5">IF(is_cat, ADDRESS(sort_min_row, COLUMN(budget)) &amp;":" &amp; ADDRESS(sort_max_row, COLUMN(budget)), "")</f>
        <v/>
      </c>
      <c r="R13" s="62" t="str">
        <f t="shared" ref="R13:R50" ca="1" si="6">IF(is_cat,RANK(budget, INDIRECT(budget_range), 0), "")</f>
        <v/>
      </c>
      <c r="S13" s="64" t="str">
        <f t="shared" ref="S13:S50" si="7">IF(is_cat, _xlfn.NUMBERVALUE(tracked_rank &amp; budget_rank), "")</f>
        <v/>
      </c>
      <c r="T13" s="61" t="str">
        <f t="shared" ref="T13:T50" si="8">IF(is_cat, ADDRESS(sort_min_row, COLUMN(comb_rank)) &amp;":" &amp; ADDRESS(sort_max_row, COLUMN(comb_rank)), "")</f>
        <v/>
      </c>
      <c r="U13" s="61" t="str">
        <f t="shared" ref="U13:U50" ca="1" si="9">IF(is_cat, RANK(comb_rank, INDIRECT(comb_rank_range), 1), "")</f>
        <v/>
      </c>
      <c r="V13" s="61" t="str">
        <f t="shared" ref="V13:V50" si="10">IF(is_cat, ADDRESS(sort_min_row, COLUMN(comb_rank_norm)) &amp;":" &amp; ADDRESS(ROW(), COLUMN(comb_rank_norm)), "")</f>
        <v/>
      </c>
      <c r="W13" s="62" t="str">
        <f t="shared" ref="W13:W50" ca="1" si="11">+IF(is_cat, comb_rank_norm + COUNTIF(INDIRECT(comb_rank_norm_run_range), comb_rank_norm)-1, "")</f>
        <v/>
      </c>
      <c r="X13" s="63">
        <f t="shared" ref="X13:X50" si="12">IF(is_cat, header_row_id + comb_rank_unqiue, row_id)</f>
        <v>9</v>
      </c>
      <c r="Y13" s="65" t="str">
        <f t="shared" ref="Y13:Y50" si="13">IF(is_empty, "",INDEX($J:$J,MATCH(row_id, $X:$X,0)))</f>
        <v>Income</v>
      </c>
      <c r="Z13" s="66" t="str">
        <f t="shared" ref="Z13:Z50" si="14">IF(is_empty, "",IF(is_header, "Tracked", INDEX($K:$K, MATCH(row_id, $X:$X, 0))))</f>
        <v>Tracked</v>
      </c>
      <c r="AA13" s="66" t="str">
        <f t="shared" ref="AA13:AA50" si="15">IF(is_empty, "", IF(is_header, "Budget", INDEX($L:$L, MATCH(row_id, $X:$X, 0))))</f>
        <v>Budget</v>
      </c>
      <c r="AB13" s="67" t="str">
        <f t="shared" ref="AB13:AB50" si="16">+IF(is_empty, "", IF(is_header, "%Compl.", IFERROR(out_tracked / out_budget, "-")))</f>
        <v>%Compl.</v>
      </c>
      <c r="AC13" s="66" t="str">
        <f t="shared" ref="AC13:AC50" si="17">IF(is_empty, "", IF(is_header, "Remaining", IF(out_budget - out_tracked &gt; 0, out_budget - out_tracked, 0)))</f>
        <v>Remaining</v>
      </c>
      <c r="AD13" s="66" t="str">
        <f t="shared" ref="AD13:AD50" si="18">IF(is_empty, "", IF(is_header, "Excess", IF(out_budget - out_tracked &lt; 0, out_tracked - out_budget, 0)))</f>
        <v>Excess</v>
      </c>
      <c r="AF13" s="32"/>
      <c r="AG13" s="33"/>
      <c r="AH13" s="33"/>
      <c r="AI13" s="33"/>
      <c r="AJ13" s="33"/>
      <c r="AK13" s="34"/>
      <c r="AM13" s="32"/>
      <c r="AN13" s="33"/>
      <c r="AO13" s="33"/>
      <c r="AP13" s="33"/>
      <c r="AQ13" s="33"/>
      <c r="AR13" s="34"/>
    </row>
    <row r="14" spans="1:45" x14ac:dyDescent="0.3">
      <c r="C14" s="58" cm="1">
        <f t="array" ref="C14">IF(C13=-1, -1,
    IF(C13 &lt; income_max_row, C13 + 1,
        IF(C13 = income_max_row, income_total_row,
            IF(C13 = income_total_row, "/1",
                IF(C13 = "/1", expenses_header_row,
                    IF(C13 &lt; expenses_max_row, C13 + 1,
                        IF(C13 = expenses_max_row, expenses_row_total,
                            IF(C13 = expenses_row_total, "/2",
                                IF(C13 = "/2", savings_header_row,
                                    IF(C13 &lt; savings_max_row, C13 + 1,
                                        IF(C13 = savings_max_row, savings_total_row, -1)))))))))))</f>
        <v>10</v>
      </c>
      <c r="D14" s="59">
        <f t="shared" si="0"/>
        <v>9</v>
      </c>
      <c r="E14" s="58" cm="1">
        <f t="array" ref="E14">1*OR(row_id=income_header_row,row_id=expenses_header_row, row_id=savings_header_row)</f>
        <v>0</v>
      </c>
      <c r="F14">
        <f t="shared" si="1"/>
        <v>1</v>
      </c>
      <c r="G14" s="2" cm="1">
        <f t="array" ref="G14">1*OR(row_id=income_total_row,row_id=expenses_row_total,row_id=savings_total_row)</f>
        <v>0</v>
      </c>
      <c r="H14" s="59">
        <f t="shared" si="2"/>
        <v>0</v>
      </c>
      <c r="I14" s="58" t="str" cm="1">
        <f t="array" ref="I14">IFERROR(INDEX('Budget Planning'!$C:$C, header_row_id), "")</f>
        <v>Income</v>
      </c>
      <c r="J14" s="2" t="str" cm="1">
        <f t="array" ref="J14">IFERROR(INDEX('Budget Planning'!$C:$C, row_id), "")</f>
        <v>Salary</v>
      </c>
      <c r="K14" s="61" cm="1">
        <f t="array" aca="1" ref="K14" ca="1">IF(OR(is_header, is_empty), "",
    IF(is_total,
        IF(selected_period="Total Year", SUM(Tracking[Amount] * (Tracking[Type]=type) * (YEAR(Tracking[Effective Date])=selected_year)), SUM(Tracking[Amount] * (Tracking[Type]=type) * (YEAR(Tracking[Effective Date])=selected_year) *(MONTH(Tracking[Effective Date])=selected_period) )),
        IF(selected_period="Total Year", SUM(Tracking[Amount] * (Tracking[Type]=type) * (Tracking[Category]=item) * (YEAR(Tracking[Effective Date])=selected_year)), SUM(Tracking[Amount] * (Tracking[Type]=type) * (Tracking[Category]=item) * (YEAR(Tracking[Effective Date])=selected_year)))
    )
)</f>
        <v>10500</v>
      </c>
      <c r="L14" s="62" cm="1">
        <f t="array" aca="1" ref="L14" ca="1">IF(OR(is_header,is_empty),"",INDEX('Budget Planning'!$E:$EM,row_id,MATCH(IF(selected_period="Total Year",selected_year,DATE(selected_year,selected_period,1)),'Budget Planning'!$E$9:$EM$9,0)))</f>
        <v>51000</v>
      </c>
      <c r="M14" s="61" cm="1">
        <f t="array" ref="M14">IF(is_cat,
    IF(header_row_id = income_header_row, MATCH(income_min_row, $C:$C, 0),
    IF(header_row_id = expenses_header_row, MATCH(expenses_min_row, $C:$C, 0),
    IF(header_row_id = savings_header_row, MATCH(savings_min_row, $C:$C, 0), ""))),
    "")</f>
        <v>14</v>
      </c>
      <c r="N14" s="62" cm="1">
        <f t="array" ref="N14">IF(is_cat,
    IF(header_row_id = income_header_row, MATCH(income_max_row, $C:$C, 0),
    IF(header_row_id = expenses_header_row, MATCH(expenses_max_row, $C:$C, 0),
    IF(header_row_id = savings_header_row, MATCH(savings_max_row, $C:$C, 0), ""))),
    "")</f>
        <v>16</v>
      </c>
      <c r="O14" s="64" t="str">
        <f t="shared" si="3"/>
        <v>$K$14:$K$16</v>
      </c>
      <c r="P14" s="61">
        <f t="shared" ca="1" si="4"/>
        <v>1</v>
      </c>
      <c r="Q14" s="61" t="str">
        <f t="shared" si="5"/>
        <v>$L$14:$L$16</v>
      </c>
      <c r="R14" s="62">
        <f t="shared" ca="1" si="6"/>
        <v>1</v>
      </c>
      <c r="S14" s="64">
        <f t="shared" ca="1" si="7"/>
        <v>11</v>
      </c>
      <c r="T14" s="61" t="str">
        <f t="shared" si="8"/>
        <v>$S$14:$S$16</v>
      </c>
      <c r="U14" s="61">
        <f t="shared" ca="1" si="9"/>
        <v>1</v>
      </c>
      <c r="V14" s="61" t="str">
        <f t="shared" si="10"/>
        <v>$U$14:$U$14</v>
      </c>
      <c r="W14" s="62">
        <f t="shared" ca="1" si="11"/>
        <v>1</v>
      </c>
      <c r="X14" s="63">
        <f t="shared" ca="1" si="12"/>
        <v>10</v>
      </c>
      <c r="Y14" s="65" t="str">
        <f t="shared" ca="1" si="13"/>
        <v>Salary</v>
      </c>
      <c r="Z14" s="66">
        <f t="shared" ca="1" si="14"/>
        <v>10500</v>
      </c>
      <c r="AA14" s="66">
        <f t="shared" ca="1" si="15"/>
        <v>51000</v>
      </c>
      <c r="AB14" s="67">
        <f t="shared" ca="1" si="16"/>
        <v>0.20588235294117646</v>
      </c>
      <c r="AC14" s="66">
        <f t="shared" ca="1" si="17"/>
        <v>40500</v>
      </c>
      <c r="AD14" s="66">
        <f t="shared" ca="1" si="18"/>
        <v>0</v>
      </c>
      <c r="AF14" s="1"/>
      <c r="AG14" s="2"/>
      <c r="AH14" s="2"/>
      <c r="AI14" s="2"/>
      <c r="AJ14" s="2"/>
      <c r="AK14" s="35"/>
      <c r="AM14" s="1"/>
      <c r="AN14" s="2"/>
      <c r="AO14" s="2"/>
      <c r="AP14" s="2"/>
      <c r="AQ14" s="2"/>
      <c r="AR14" s="35"/>
    </row>
    <row r="15" spans="1:45" x14ac:dyDescent="0.3">
      <c r="C15" s="58" cm="1">
        <f t="array" ref="C15">IF(C14=-1, -1,
    IF(C14 &lt; income_max_row, C14 + 1,
        IF(C14 = income_max_row, income_total_row,
            IF(C14 = income_total_row, "/1",
                IF(C14 = "/1", expenses_header_row,
                    IF(C14 &lt; expenses_max_row, C14 + 1,
                        IF(C14 = expenses_max_row, expenses_row_total,
                            IF(C14 = expenses_row_total, "/2",
                                IF(C14 = "/2", savings_header_row,
                                    IF(C14 &lt; savings_max_row, C14 + 1,
                                        IF(C14 = savings_max_row, savings_total_row, -1)))))))))))</f>
        <v>11</v>
      </c>
      <c r="D15" s="59">
        <f t="shared" si="0"/>
        <v>9</v>
      </c>
      <c r="E15" s="58" cm="1">
        <f t="array" ref="E15">1*OR(row_id=income_header_row,row_id=expenses_header_row, row_id=savings_header_row)</f>
        <v>0</v>
      </c>
      <c r="F15">
        <f t="shared" si="1"/>
        <v>1</v>
      </c>
      <c r="G15" s="2" cm="1">
        <f t="array" ref="G15">1*OR(row_id=income_total_row,row_id=expenses_row_total,row_id=savings_total_row)</f>
        <v>0</v>
      </c>
      <c r="H15" s="59">
        <f t="shared" si="2"/>
        <v>0</v>
      </c>
      <c r="I15" s="58" t="str" cm="1">
        <f t="array" ref="I15">IFERROR(INDEX('Budget Planning'!$C:$C, header_row_id), "")</f>
        <v>Income</v>
      </c>
      <c r="J15" s="2" t="str" cm="1">
        <f t="array" ref="J15">IFERROR(INDEX('Budget Planning'!$C:$C, row_id), "")</f>
        <v>Dividends</v>
      </c>
      <c r="K15" s="61" cm="1">
        <f t="array" aca="1" ref="K15" ca="1">IF(OR(is_header, is_empty), "",
    IF(is_total,
        IF(selected_period="Total Year", SUM(Tracking[Amount] * (Tracking[Type]=type) * (YEAR(Tracking[Effective Date])=selected_year)), SUM(Tracking[Amount] * (Tracking[Type]=type) * (YEAR(Tracking[Effective Date])=selected_year) *(MONTH(Tracking[Effective Date])=selected_period) )),
        IF(selected_period="Total Year", SUM(Tracking[Amount] * (Tracking[Type]=type) * (Tracking[Category]=item) * (YEAR(Tracking[Effective Date])=selected_year)), SUM(Tracking[Amount] * (Tracking[Type]=type) * (Tracking[Category]=item) * (YEAR(Tracking[Effective Date])=selected_year)))
    )
)</f>
        <v>300</v>
      </c>
      <c r="L15" s="62" cm="1">
        <f t="array" aca="1" ref="L15" ca="1">IF(OR(is_header,is_empty),"",INDEX('Budget Planning'!$E:$EM,row_id,MATCH(IF(selected_period="Total Year",selected_year,DATE(selected_year,selected_period,1)),'Budget Planning'!$E$9:$EM$9,0)))</f>
        <v>12000</v>
      </c>
      <c r="M15" s="61" cm="1">
        <f t="array" ref="M15">IF(is_cat,
    IF(header_row_id = income_header_row, MATCH(income_min_row, $C:$C, 0),
    IF(header_row_id = expenses_header_row, MATCH(expenses_min_row, $C:$C, 0),
    IF(header_row_id = savings_header_row, MATCH(savings_min_row, $C:$C, 0), ""))),
    "")</f>
        <v>14</v>
      </c>
      <c r="N15" s="62" cm="1">
        <f t="array" ref="N15">IF(is_cat,
    IF(header_row_id = income_header_row, MATCH(income_max_row, $C:$C, 0),
    IF(header_row_id = expenses_header_row, MATCH(expenses_max_row, $C:$C, 0),
    IF(header_row_id = savings_header_row, MATCH(savings_max_row, $C:$C, 0), ""))),
    "")</f>
        <v>16</v>
      </c>
      <c r="O15" s="64" t="str">
        <f t="shared" si="3"/>
        <v>$K$14:$K$16</v>
      </c>
      <c r="P15" s="61">
        <f t="shared" ca="1" si="4"/>
        <v>3</v>
      </c>
      <c r="Q15" s="61" t="str">
        <f t="shared" si="5"/>
        <v>$L$14:$L$16</v>
      </c>
      <c r="R15" s="62">
        <f t="shared" ca="1" si="6"/>
        <v>2</v>
      </c>
      <c r="S15" s="64">
        <f t="shared" ca="1" si="7"/>
        <v>32</v>
      </c>
      <c r="T15" s="61" t="str">
        <f t="shared" si="8"/>
        <v>$S$14:$S$16</v>
      </c>
      <c r="U15" s="61">
        <f t="shared" ca="1" si="9"/>
        <v>3</v>
      </c>
      <c r="V15" s="61" t="str">
        <f t="shared" si="10"/>
        <v>$U$14:$U$15</v>
      </c>
      <c r="W15" s="62">
        <f t="shared" ca="1" si="11"/>
        <v>3</v>
      </c>
      <c r="X15" s="63">
        <f t="shared" ca="1" si="12"/>
        <v>12</v>
      </c>
      <c r="Y15" s="65" t="str">
        <f t="shared" ca="1" si="13"/>
        <v>Parking rental</v>
      </c>
      <c r="Z15" s="66">
        <f t="shared" ca="1" si="14"/>
        <v>2800</v>
      </c>
      <c r="AA15" s="66">
        <f t="shared" ca="1" si="15"/>
        <v>1200</v>
      </c>
      <c r="AB15" s="67">
        <f t="shared" ca="1" si="16"/>
        <v>2.3333333333333335</v>
      </c>
      <c r="AC15" s="66">
        <f t="shared" ca="1" si="17"/>
        <v>0</v>
      </c>
      <c r="AD15" s="66">
        <f t="shared" ca="1" si="18"/>
        <v>1600</v>
      </c>
      <c r="AF15" s="1"/>
      <c r="AG15" s="2"/>
      <c r="AH15" s="2"/>
      <c r="AI15" s="2"/>
      <c r="AJ15" s="2"/>
      <c r="AK15" s="35"/>
      <c r="AM15" s="1"/>
      <c r="AN15" s="2"/>
      <c r="AO15" s="2"/>
      <c r="AP15" s="2"/>
      <c r="AQ15" s="2"/>
      <c r="AR15" s="35"/>
    </row>
    <row r="16" spans="1:45" x14ac:dyDescent="0.3">
      <c r="C16" s="58" cm="1">
        <f t="array" ref="C16">IF(C15=-1, -1,
    IF(C15 &lt; income_max_row, C15 + 1,
        IF(C15 = income_max_row, income_total_row,
            IF(C15 = income_total_row, "/1",
                IF(C15 = "/1", expenses_header_row,
                    IF(C15 &lt; expenses_max_row, C15 + 1,
                        IF(C15 = expenses_max_row, expenses_row_total,
                            IF(C15 = expenses_row_total, "/2",
                                IF(C15 = "/2", savings_header_row,
                                    IF(C15 &lt; savings_max_row, C15 + 1,
                                        IF(C15 = savings_max_row, savings_total_row, -1)))))))))))</f>
        <v>12</v>
      </c>
      <c r="D16" s="59">
        <f t="shared" si="0"/>
        <v>9</v>
      </c>
      <c r="E16" s="58" cm="1">
        <f t="array" ref="E16">1*OR(row_id=income_header_row,row_id=expenses_header_row, row_id=savings_header_row)</f>
        <v>0</v>
      </c>
      <c r="F16">
        <f t="shared" si="1"/>
        <v>1</v>
      </c>
      <c r="G16" s="2" cm="1">
        <f t="array" ref="G16">1*OR(row_id=income_total_row,row_id=expenses_row_total,row_id=savings_total_row)</f>
        <v>0</v>
      </c>
      <c r="H16" s="59">
        <f t="shared" si="2"/>
        <v>0</v>
      </c>
      <c r="I16" s="58" t="str" cm="1">
        <f t="array" ref="I16">IFERROR(INDEX('Budget Planning'!$C:$C, header_row_id), "")</f>
        <v>Income</v>
      </c>
      <c r="J16" s="2" t="str" cm="1">
        <f t="array" ref="J16">IFERROR(INDEX('Budget Planning'!$C:$C, row_id), "")</f>
        <v>Parking rental</v>
      </c>
      <c r="K16" s="61" cm="1">
        <f t="array" aca="1" ref="K16" ca="1">IF(OR(is_header, is_empty), "",
    IF(is_total,
        IF(selected_period="Total Year", SUM(Tracking[Amount] * (Tracking[Type]=type) * (YEAR(Tracking[Effective Date])=selected_year)), SUM(Tracking[Amount] * (Tracking[Type]=type) * (YEAR(Tracking[Effective Date])=selected_year) *(MONTH(Tracking[Effective Date])=selected_period) )),
        IF(selected_period="Total Year", SUM(Tracking[Amount] * (Tracking[Type]=type) * (Tracking[Category]=item) * (YEAR(Tracking[Effective Date])=selected_year)), SUM(Tracking[Amount] * (Tracking[Type]=type) * (Tracking[Category]=item) * (YEAR(Tracking[Effective Date])=selected_year)))
    )
)</f>
        <v>2800</v>
      </c>
      <c r="L16" s="62" cm="1">
        <f t="array" aca="1" ref="L16" ca="1">IF(OR(is_header,is_empty),"",INDEX('Budget Planning'!$E:$EM,row_id,MATCH(IF(selected_period="Total Year",selected_year,DATE(selected_year,selected_period,1)),'Budget Planning'!$E$9:$EM$9,0)))</f>
        <v>1200</v>
      </c>
      <c r="M16" s="61" cm="1">
        <f t="array" ref="M16">IF(is_cat,
    IF(header_row_id = income_header_row, MATCH(income_min_row, $C:$C, 0),
    IF(header_row_id = expenses_header_row, MATCH(expenses_min_row, $C:$C, 0),
    IF(header_row_id = savings_header_row, MATCH(savings_min_row, $C:$C, 0), ""))),
    "")</f>
        <v>14</v>
      </c>
      <c r="N16" s="62" cm="1">
        <f t="array" ref="N16">IF(is_cat,
    IF(header_row_id = income_header_row, MATCH(income_max_row, $C:$C, 0),
    IF(header_row_id = expenses_header_row, MATCH(expenses_max_row, $C:$C, 0),
    IF(header_row_id = savings_header_row, MATCH(savings_max_row, $C:$C, 0), ""))),
    "")</f>
        <v>16</v>
      </c>
      <c r="O16" s="64" t="str">
        <f t="shared" si="3"/>
        <v>$K$14:$K$16</v>
      </c>
      <c r="P16" s="61">
        <f t="shared" ca="1" si="4"/>
        <v>2</v>
      </c>
      <c r="Q16" s="61" t="str">
        <f t="shared" si="5"/>
        <v>$L$14:$L$16</v>
      </c>
      <c r="R16" s="62">
        <f t="shared" ca="1" si="6"/>
        <v>3</v>
      </c>
      <c r="S16" s="64">
        <f t="shared" ca="1" si="7"/>
        <v>23</v>
      </c>
      <c r="T16" s="61" t="str">
        <f t="shared" si="8"/>
        <v>$S$14:$S$16</v>
      </c>
      <c r="U16" s="61">
        <f t="shared" ca="1" si="9"/>
        <v>2</v>
      </c>
      <c r="V16" s="61" t="str">
        <f t="shared" si="10"/>
        <v>$U$14:$U$16</v>
      </c>
      <c r="W16" s="62">
        <f t="shared" ca="1" si="11"/>
        <v>2</v>
      </c>
      <c r="X16" s="63">
        <f t="shared" ca="1" si="12"/>
        <v>11</v>
      </c>
      <c r="Y16" s="65" t="str">
        <f t="shared" ca="1" si="13"/>
        <v>Dividends</v>
      </c>
      <c r="Z16" s="66">
        <f t="shared" ca="1" si="14"/>
        <v>300</v>
      </c>
      <c r="AA16" s="66">
        <f t="shared" ca="1" si="15"/>
        <v>12000</v>
      </c>
      <c r="AB16" s="67">
        <f t="shared" ca="1" si="16"/>
        <v>2.5000000000000001E-2</v>
      </c>
      <c r="AC16" s="66">
        <f t="shared" ca="1" si="17"/>
        <v>11700</v>
      </c>
      <c r="AD16" s="66">
        <f t="shared" ca="1" si="18"/>
        <v>0</v>
      </c>
      <c r="AF16" s="1"/>
      <c r="AG16" s="2"/>
      <c r="AH16" s="2"/>
      <c r="AI16" s="94" t="str">
        <f ca="1">Calculations!E35</f>
        <v>Salary</v>
      </c>
      <c r="AJ16" s="95">
        <f ca="1">Calculations!F35</f>
        <v>10500</v>
      </c>
      <c r="AK16" s="35"/>
      <c r="AM16" s="1"/>
      <c r="AN16" s="2"/>
      <c r="AO16" s="2"/>
      <c r="AP16" s="2"/>
      <c r="AQ16" s="2"/>
      <c r="AR16" s="35"/>
    </row>
    <row r="17" spans="3:44" x14ac:dyDescent="0.3">
      <c r="C17" s="58" cm="1">
        <f t="array" ref="C17">IF(C16=-1, -1,
    IF(C16 &lt; income_max_row, C16 + 1,
        IF(C16 = income_max_row, income_total_row,
            IF(C16 = income_total_row, "/1",
                IF(C16 = "/1", expenses_header_row,
                    IF(C16 &lt; expenses_max_row, C16 + 1,
                        IF(C16 = expenses_max_row, expenses_row_total,
                            IF(C16 = expenses_row_total, "/2",
                                IF(C16 = "/2", savings_header_row,
                                    IF(C16 &lt; savings_max_row, C16 + 1,
                                        IF(C16 = savings_max_row, savings_total_row, -1)))))))))))</f>
        <v>16</v>
      </c>
      <c r="D17" s="59">
        <f t="shared" si="0"/>
        <v>9</v>
      </c>
      <c r="E17" s="58" cm="1">
        <f t="array" ref="E17">1*OR(row_id=income_header_row,row_id=expenses_header_row, row_id=savings_header_row)</f>
        <v>0</v>
      </c>
      <c r="F17">
        <f t="shared" si="1"/>
        <v>0</v>
      </c>
      <c r="G17" s="2" cm="1">
        <f t="array" ref="G17">1*OR(row_id=income_total_row,row_id=expenses_row_total,row_id=savings_total_row)</f>
        <v>1</v>
      </c>
      <c r="H17" s="59">
        <f t="shared" si="2"/>
        <v>0</v>
      </c>
      <c r="I17" s="58" t="str" cm="1">
        <f t="array" ref="I17">IFERROR(INDEX('Budget Planning'!$C:$C, header_row_id), "")</f>
        <v>Income</v>
      </c>
      <c r="J17" s="2" t="str" cm="1">
        <f t="array" ref="J17">IFERROR(INDEX('Budget Planning'!$C:$C, row_id), "")</f>
        <v>Total</v>
      </c>
      <c r="K17" s="61" cm="1">
        <f t="array" aca="1" ref="K17" ca="1">IF(OR(is_header, is_empty), "",
    IF(is_total,
        IF(selected_period="Total Year", SUM(Tracking[Amount] * (Tracking[Type]=type) * (YEAR(Tracking[Effective Date])=selected_year)), SUM(Tracking[Amount] * (Tracking[Type]=type) * (YEAR(Tracking[Effective Date])=selected_year) *(MONTH(Tracking[Effective Date])=selected_period) )),
        IF(selected_period="Total Year", SUM(Tracking[Amount] * (Tracking[Type]=type) * (Tracking[Category]=item) * (YEAR(Tracking[Effective Date])=selected_year)), SUM(Tracking[Amount] * (Tracking[Type]=type) * (Tracking[Category]=item) * (YEAR(Tracking[Effective Date])=selected_year)))
    )
)</f>
        <v>13600</v>
      </c>
      <c r="L17" s="62" cm="1">
        <f t="array" aca="1" ref="L17" ca="1">IF(OR(is_header,is_empty),"",INDEX('Budget Planning'!$E:$EM,row_id,MATCH(IF(selected_period="Total Year",selected_year,DATE(selected_year,selected_period,1)),'Budget Planning'!$E$9:$EM$9,0)))</f>
        <v>64200</v>
      </c>
      <c r="M17" s="61" t="str" cm="1">
        <f t="array" ref="M17">IF(is_cat,
    IF(header_row_id = income_header_row, MATCH(income_min_row, $C:$C, 0),
    IF(header_row_id = expenses_header_row, MATCH(expenses_min_row, $C:$C, 0),
    IF(header_row_id = savings_header_row, MATCH(savings_min_row, $C:$C, 0), ""))),
    "")</f>
        <v/>
      </c>
      <c r="N17" s="62" t="str" cm="1">
        <f t="array" ref="N17">IF(is_cat,
    IF(header_row_id = income_header_row, MATCH(income_max_row, $C:$C, 0),
    IF(header_row_id = expenses_header_row, MATCH(expenses_max_row, $C:$C, 0),
    IF(header_row_id = savings_header_row, MATCH(savings_max_row, $C:$C, 0), ""))),
    "")</f>
        <v/>
      </c>
      <c r="O17" s="64" t="str">
        <f t="shared" si="3"/>
        <v/>
      </c>
      <c r="P17" s="61" t="str">
        <f t="shared" ca="1" si="4"/>
        <v/>
      </c>
      <c r="Q17" s="61" t="str">
        <f t="shared" si="5"/>
        <v/>
      </c>
      <c r="R17" s="62" t="str">
        <f t="shared" ca="1" si="6"/>
        <v/>
      </c>
      <c r="S17" s="64" t="str">
        <f t="shared" si="7"/>
        <v/>
      </c>
      <c r="T17" s="61" t="str">
        <f t="shared" si="8"/>
        <v/>
      </c>
      <c r="U17" s="61" t="str">
        <f t="shared" ca="1" si="9"/>
        <v/>
      </c>
      <c r="V17" s="61" t="str">
        <f t="shared" si="10"/>
        <v/>
      </c>
      <c r="W17" s="62" t="str">
        <f t="shared" ca="1" si="11"/>
        <v/>
      </c>
      <c r="X17" s="63">
        <f t="shared" si="12"/>
        <v>16</v>
      </c>
      <c r="Y17" s="65" t="str">
        <f t="shared" ca="1" si="13"/>
        <v>Total</v>
      </c>
      <c r="Z17" s="66">
        <f t="shared" ca="1" si="14"/>
        <v>13600</v>
      </c>
      <c r="AA17" s="66">
        <f t="shared" ca="1" si="15"/>
        <v>64200</v>
      </c>
      <c r="AB17" s="67">
        <f t="shared" ca="1" si="16"/>
        <v>0.21183800623052959</v>
      </c>
      <c r="AC17" s="66">
        <f t="shared" ca="1" si="17"/>
        <v>50600</v>
      </c>
      <c r="AD17" s="66">
        <f t="shared" ca="1" si="18"/>
        <v>0</v>
      </c>
      <c r="AF17" s="1"/>
      <c r="AG17" s="2"/>
      <c r="AH17" s="2"/>
      <c r="AI17" s="94" t="str">
        <f ca="1">Calculations!E36</f>
        <v>Parking rental</v>
      </c>
      <c r="AJ17" s="95">
        <f ca="1">Calculations!F36</f>
        <v>2800</v>
      </c>
      <c r="AK17" s="35"/>
      <c r="AM17" s="1"/>
      <c r="AN17" s="2"/>
      <c r="AO17" s="2"/>
      <c r="AP17" s="2"/>
      <c r="AQ17" s="2"/>
      <c r="AR17" s="35"/>
    </row>
    <row r="18" spans="3:44" x14ac:dyDescent="0.3">
      <c r="C18" s="58" t="str" cm="1">
        <f t="array" ref="C18">IF(C17=-1, -1,
    IF(C17 &lt; income_max_row, C17 + 1,
        IF(C17 = income_max_row, income_total_row,
            IF(C17 = income_total_row, "/1",
                IF(C17 = "/1", expenses_header_row,
                    IF(C17 &lt; expenses_max_row, C17 + 1,
                        IF(C17 = expenses_max_row, expenses_row_total,
                            IF(C17 = expenses_row_total, "/2",
                                IF(C17 = "/2", savings_header_row,
                                    IF(C17 &lt; savings_max_row, C17 + 1,
                                        IF(C17 = savings_max_row, savings_total_row, -1)))))))))))</f>
        <v>/1</v>
      </c>
      <c r="D18" s="59">
        <f t="shared" si="0"/>
        <v>-1</v>
      </c>
      <c r="E18" s="58" cm="1">
        <f t="array" ref="E18">1*OR(row_id=income_header_row,row_id=expenses_header_row, row_id=savings_header_row)</f>
        <v>0</v>
      </c>
      <c r="F18">
        <f t="shared" si="1"/>
        <v>0</v>
      </c>
      <c r="G18" s="2" cm="1">
        <f t="array" ref="G18">1*OR(row_id=income_total_row,row_id=expenses_row_total,row_id=savings_total_row)</f>
        <v>0</v>
      </c>
      <c r="H18" s="59">
        <f t="shared" si="2"/>
        <v>1</v>
      </c>
      <c r="I18" s="58" t="str" cm="1">
        <f t="array" ref="I18">IFERROR(INDEX('Budget Planning'!$C:$C, header_row_id), "")</f>
        <v/>
      </c>
      <c r="J18" s="2" t="str" cm="1">
        <f t="array" ref="J18">IFERROR(INDEX('Budget Planning'!$C:$C, row_id), "")</f>
        <v/>
      </c>
      <c r="K18" s="61" t="str" cm="1">
        <f t="array" ref="K18">IF(OR(is_header, is_empty), "",
    IF(is_total,
        IF(selected_period="Total Year", SUM(Tracking[Amount] * (Tracking[Type]=type) * (YEAR(Tracking[Effective Date])=selected_year)), SUM(Tracking[Amount] * (Tracking[Type]=type) * (YEAR(Tracking[Effective Date])=selected_year) *(MONTH(Tracking[Effective Date])=selected_period) )),
        IF(selected_period="Total Year", SUM(Tracking[Amount] * (Tracking[Type]=type) * (Tracking[Category]=item) * (YEAR(Tracking[Effective Date])=selected_year)), SUM(Tracking[Amount] * (Tracking[Type]=type) * (Tracking[Category]=item) * (YEAR(Tracking[Effective Date])=selected_year)))
    )
)</f>
        <v/>
      </c>
      <c r="L18" s="62" t="str" cm="1">
        <f t="array" ref="L18">IF(OR(is_header,is_empty),"",INDEX('Budget Planning'!$E:$EM,row_id,MATCH(IF(selected_period="Total Year",selected_year,DATE(selected_year,selected_period,1)),'Budget Planning'!$E$9:$EM$9,0)))</f>
        <v/>
      </c>
      <c r="M18" s="61" t="str" cm="1">
        <f t="array" ref="M18">IF(is_cat,
    IF(header_row_id = income_header_row, MATCH(income_min_row, $C:$C, 0),
    IF(header_row_id = expenses_header_row, MATCH(expenses_min_row, $C:$C, 0),
    IF(header_row_id = savings_header_row, MATCH(savings_min_row, $C:$C, 0), ""))),
    "")</f>
        <v/>
      </c>
      <c r="N18" s="62" t="str" cm="1">
        <f t="array" ref="N18">IF(is_cat,
    IF(header_row_id = income_header_row, MATCH(income_max_row, $C:$C, 0),
    IF(header_row_id = expenses_header_row, MATCH(expenses_max_row, $C:$C, 0),
    IF(header_row_id = savings_header_row, MATCH(savings_max_row, $C:$C, 0), ""))),
    "")</f>
        <v/>
      </c>
      <c r="O18" s="64" t="str">
        <f t="shared" si="3"/>
        <v/>
      </c>
      <c r="P18" s="61" t="str">
        <f t="shared" ca="1" si="4"/>
        <v/>
      </c>
      <c r="Q18" s="61" t="str">
        <f t="shared" si="5"/>
        <v/>
      </c>
      <c r="R18" s="62" t="str">
        <f t="shared" ca="1" si="6"/>
        <v/>
      </c>
      <c r="S18" s="64" t="str">
        <f t="shared" si="7"/>
        <v/>
      </c>
      <c r="T18" s="61" t="str">
        <f t="shared" si="8"/>
        <v/>
      </c>
      <c r="U18" s="61" t="str">
        <f t="shared" ca="1" si="9"/>
        <v/>
      </c>
      <c r="V18" s="61" t="str">
        <f t="shared" si="10"/>
        <v/>
      </c>
      <c r="W18" s="62" t="str">
        <f t="shared" ca="1" si="11"/>
        <v/>
      </c>
      <c r="X18" s="63" t="str">
        <f t="shared" si="12"/>
        <v>/1</v>
      </c>
      <c r="Y18" s="65" t="str">
        <f t="shared" si="13"/>
        <v/>
      </c>
      <c r="Z18" s="66" t="str">
        <f t="shared" si="14"/>
        <v/>
      </c>
      <c r="AA18" s="66" t="str">
        <f t="shared" si="15"/>
        <v/>
      </c>
      <c r="AB18" s="67" t="str">
        <f t="shared" si="16"/>
        <v/>
      </c>
      <c r="AC18" s="66" t="str">
        <f t="shared" si="17"/>
        <v/>
      </c>
      <c r="AD18" s="66" t="str">
        <f t="shared" si="18"/>
        <v/>
      </c>
      <c r="AF18" s="1"/>
      <c r="AG18" s="2"/>
      <c r="AH18" s="2"/>
      <c r="AI18" s="94" t="str">
        <f ca="1">Calculations!E37</f>
        <v>Dividends</v>
      </c>
      <c r="AJ18" s="95">
        <f ca="1">Calculations!F37</f>
        <v>300</v>
      </c>
      <c r="AK18" s="35"/>
      <c r="AM18" s="1"/>
      <c r="AN18" s="2"/>
      <c r="AO18" s="2"/>
      <c r="AP18" s="2"/>
      <c r="AQ18" s="2"/>
      <c r="AR18" s="35"/>
    </row>
    <row r="19" spans="3:44" x14ac:dyDescent="0.3">
      <c r="C19" s="58" cm="1">
        <f t="array" ref="C19">IF(C18=-1, -1,
    IF(C18 &lt; income_max_row, C18 + 1,
        IF(C18 = income_max_row, income_total_row,
            IF(C18 = income_total_row, "/1",
                IF(C18 = "/1", expenses_header_row,
                    IF(C18 &lt; expenses_max_row, C18 + 1,
                        IF(C18 = expenses_max_row, expenses_row_total,
                            IF(C18 = expenses_row_total, "/2",
                                IF(C18 = "/2", savings_header_row,
                                    IF(C18 &lt; savings_max_row, C18 + 1,
                                        IF(C18 = savings_max_row, savings_total_row, -1)))))))))))</f>
        <v>22</v>
      </c>
      <c r="D19" s="59">
        <f t="shared" si="0"/>
        <v>22</v>
      </c>
      <c r="E19" s="58" cm="1">
        <f t="array" ref="E19">1*OR(row_id=income_header_row,row_id=expenses_header_row, row_id=savings_header_row)</f>
        <v>1</v>
      </c>
      <c r="F19">
        <f t="shared" si="1"/>
        <v>0</v>
      </c>
      <c r="G19" s="2" cm="1">
        <f t="array" ref="G19">1*OR(row_id=income_total_row,row_id=expenses_row_total,row_id=savings_total_row)</f>
        <v>0</v>
      </c>
      <c r="H19" s="59">
        <f t="shared" si="2"/>
        <v>0</v>
      </c>
      <c r="I19" s="58" t="str" cm="1">
        <f t="array" ref="I19">IFERROR(INDEX('Budget Planning'!$C:$C, header_row_id), "")</f>
        <v>Expenses</v>
      </c>
      <c r="J19" s="2" t="str" cm="1">
        <f t="array" ref="J19">IFERROR(INDEX('Budget Planning'!$C:$C, row_id), "")</f>
        <v>Expenses</v>
      </c>
      <c r="K19" s="61" t="str" cm="1">
        <f t="array" ref="K19">IF(OR(is_header, is_empty), "",
    IF(is_total,
        IF(selected_period="Total Year", SUM(Tracking[Amount] * (Tracking[Type]=type) * (YEAR(Tracking[Effective Date])=selected_year)), SUM(Tracking[Amount] * (Tracking[Type]=type) * (YEAR(Tracking[Effective Date])=selected_year) *(MONTH(Tracking[Effective Date])=selected_period) )),
        IF(selected_period="Total Year", SUM(Tracking[Amount] * (Tracking[Type]=type) * (Tracking[Category]=item) * (YEAR(Tracking[Effective Date])=selected_year)), SUM(Tracking[Amount] * (Tracking[Type]=type) * (Tracking[Category]=item) * (YEAR(Tracking[Effective Date])=selected_year)))
    )
)</f>
        <v/>
      </c>
      <c r="L19" s="62" t="str" cm="1">
        <f t="array" ref="L19">IF(OR(is_header,is_empty),"",INDEX('Budget Planning'!$E:$EM,row_id,MATCH(IF(selected_period="Total Year",selected_year,DATE(selected_year,selected_period,1)),'Budget Planning'!$E$9:$EM$9,0)))</f>
        <v/>
      </c>
      <c r="M19" s="61" t="str" cm="1">
        <f t="array" ref="M19">IF(is_cat,
    IF(header_row_id = income_header_row, MATCH(income_min_row, $C:$C, 0),
    IF(header_row_id = expenses_header_row, MATCH(expenses_min_row, $C:$C, 0),
    IF(header_row_id = savings_header_row, MATCH(savings_min_row, $C:$C, 0), ""))),
    "")</f>
        <v/>
      </c>
      <c r="N19" s="62" t="str" cm="1">
        <f t="array" ref="N19">IF(is_cat,
    IF(header_row_id = income_header_row, MATCH(income_max_row, $C:$C, 0),
    IF(header_row_id = expenses_header_row, MATCH(expenses_max_row, $C:$C, 0),
    IF(header_row_id = savings_header_row, MATCH(savings_max_row, $C:$C, 0), ""))),
    "")</f>
        <v/>
      </c>
      <c r="O19" s="64" t="str">
        <f t="shared" si="3"/>
        <v/>
      </c>
      <c r="P19" s="61" t="str">
        <f t="shared" ca="1" si="4"/>
        <v/>
      </c>
      <c r="Q19" s="61" t="str">
        <f t="shared" si="5"/>
        <v/>
      </c>
      <c r="R19" s="62" t="str">
        <f t="shared" ca="1" si="6"/>
        <v/>
      </c>
      <c r="S19" s="64" t="str">
        <f t="shared" si="7"/>
        <v/>
      </c>
      <c r="T19" s="61" t="str">
        <f t="shared" si="8"/>
        <v/>
      </c>
      <c r="U19" s="61" t="str">
        <f t="shared" ca="1" si="9"/>
        <v/>
      </c>
      <c r="V19" s="61" t="str">
        <f t="shared" si="10"/>
        <v/>
      </c>
      <c r="W19" s="62" t="str">
        <f t="shared" ca="1" si="11"/>
        <v/>
      </c>
      <c r="X19" s="63">
        <f t="shared" si="12"/>
        <v>22</v>
      </c>
      <c r="Y19" s="65" t="str">
        <f t="shared" ca="1" si="13"/>
        <v>Expenses</v>
      </c>
      <c r="Z19" s="66" t="str">
        <f t="shared" si="14"/>
        <v>Tracked</v>
      </c>
      <c r="AA19" s="66" t="str">
        <f t="shared" si="15"/>
        <v>Budget</v>
      </c>
      <c r="AB19" s="67" t="str">
        <f t="shared" si="16"/>
        <v>%Compl.</v>
      </c>
      <c r="AC19" s="66" t="str">
        <f t="shared" si="17"/>
        <v>Remaining</v>
      </c>
      <c r="AD19" s="66" t="str">
        <f t="shared" si="18"/>
        <v>Excess</v>
      </c>
      <c r="AF19" s="1"/>
      <c r="AG19" s="2"/>
      <c r="AH19" s="2"/>
      <c r="AI19" s="94" t="str">
        <f>Calculations!E38</f>
        <v/>
      </c>
      <c r="AJ19" s="95" t="str">
        <f>Calculations!F38</f>
        <v/>
      </c>
      <c r="AK19" s="35"/>
      <c r="AM19" s="1"/>
      <c r="AN19" s="2"/>
      <c r="AO19" s="2"/>
      <c r="AP19" s="2"/>
      <c r="AQ19" s="2"/>
      <c r="AR19" s="35"/>
    </row>
    <row r="20" spans="3:44" x14ac:dyDescent="0.3">
      <c r="C20" s="58" cm="1">
        <f t="array" ref="C20">IF(C19=-1, -1,
    IF(C19 &lt; income_max_row, C19 + 1,
        IF(C19 = income_max_row, income_total_row,
            IF(C19 = income_total_row, "/1",
                IF(C19 = "/1", expenses_header_row,
                    IF(C19 &lt; expenses_max_row, C19 + 1,
                        IF(C19 = expenses_max_row, expenses_row_total,
                            IF(C19 = expenses_row_total, "/2",
                                IF(C19 = "/2", savings_header_row,
                                    IF(C19 &lt; savings_max_row, C19 + 1,
                                        IF(C19 = savings_max_row, savings_total_row, -1)))))))))))</f>
        <v>23</v>
      </c>
      <c r="D20" s="59">
        <f t="shared" si="0"/>
        <v>22</v>
      </c>
      <c r="E20" s="58" cm="1">
        <f t="array" ref="E20">1*OR(row_id=income_header_row,row_id=expenses_header_row, row_id=savings_header_row)</f>
        <v>0</v>
      </c>
      <c r="F20">
        <f t="shared" si="1"/>
        <v>1</v>
      </c>
      <c r="G20" s="2" cm="1">
        <f t="array" ref="G20">1*OR(row_id=income_total_row,row_id=expenses_row_total,row_id=savings_total_row)</f>
        <v>0</v>
      </c>
      <c r="H20" s="59">
        <f t="shared" si="2"/>
        <v>0</v>
      </c>
      <c r="I20" s="58" t="str" cm="1">
        <f t="array" ref="I20">IFERROR(INDEX('Budget Planning'!$C:$C, header_row_id), "")</f>
        <v>Expenses</v>
      </c>
      <c r="J20" s="2" t="str" cm="1">
        <f t="array" ref="J20">IFERROR(INDEX('Budget Planning'!$C:$C, row_id), "")</f>
        <v>Bond</v>
      </c>
      <c r="K20" s="61" cm="1">
        <f t="array" aca="1" ref="K20" ca="1">IF(OR(is_header, is_empty), "",
    IF(is_total,
        IF(selected_period="Total Year", SUM(Tracking[Amount] * (Tracking[Type]=type) * (YEAR(Tracking[Effective Date])=selected_year)), SUM(Tracking[Amount] * (Tracking[Type]=type) * (YEAR(Tracking[Effective Date])=selected_year) *(MONTH(Tracking[Effective Date])=selected_period) )),
        IF(selected_period="Total Year", SUM(Tracking[Amount] * (Tracking[Type]=type) * (Tracking[Category]=item) * (YEAR(Tracking[Effective Date])=selected_year)), SUM(Tracking[Amount] * (Tracking[Type]=type) * (Tracking[Category]=item) * (YEAR(Tracking[Effective Date])=selected_year)))
    )
)</f>
        <v>2400</v>
      </c>
      <c r="L20" s="62" cm="1">
        <f t="array" aca="1" ref="L20" ca="1">IF(OR(is_header,is_empty),"",INDEX('Budget Planning'!$E:$EM,row_id,MATCH(IF(selected_period="Total Year",selected_year,DATE(selected_year,selected_period,1)),'Budget Planning'!$E$9:$EM$9,0)))</f>
        <v>14400</v>
      </c>
      <c r="M20" s="61" cm="1">
        <f t="array" ref="M20">IF(is_cat,
    IF(header_row_id = income_header_row, MATCH(income_min_row, $C:$C, 0),
    IF(header_row_id = expenses_header_row, MATCH(expenses_min_row, $C:$C, 0),
    IF(header_row_id = savings_header_row, MATCH(savings_min_row, $C:$C, 0), ""))),
    "")</f>
        <v>20</v>
      </c>
      <c r="N20" s="62" cm="1">
        <f t="array" ref="N20">IF(is_cat,
    IF(header_row_id = income_header_row, MATCH(income_max_row, $C:$C, 0),
    IF(header_row_id = expenses_header_row, MATCH(expenses_max_row, $C:$C, 0),
    IF(header_row_id = savings_header_row, MATCH(savings_max_row, $C:$C, 0), ""))),
    "")</f>
        <v>28</v>
      </c>
      <c r="O20" s="64" t="str">
        <f t="shared" si="3"/>
        <v>$K$20:$K$28</v>
      </c>
      <c r="P20" s="61">
        <f t="shared" ca="1" si="4"/>
        <v>1</v>
      </c>
      <c r="Q20" s="61" t="str">
        <f t="shared" si="5"/>
        <v>$L$20:$L$28</v>
      </c>
      <c r="R20" s="62">
        <f t="shared" ca="1" si="6"/>
        <v>1</v>
      </c>
      <c r="S20" s="64">
        <f t="shared" ca="1" si="7"/>
        <v>11</v>
      </c>
      <c r="T20" s="61" t="str">
        <f t="shared" si="8"/>
        <v>$S$20:$S$28</v>
      </c>
      <c r="U20" s="61">
        <f t="shared" ca="1" si="9"/>
        <v>1</v>
      </c>
      <c r="V20" s="61" t="str">
        <f t="shared" si="10"/>
        <v>$U$20:$U$20</v>
      </c>
      <c r="W20" s="62">
        <f t="shared" ca="1" si="11"/>
        <v>1</v>
      </c>
      <c r="X20" s="63">
        <f t="shared" ca="1" si="12"/>
        <v>23</v>
      </c>
      <c r="Y20" s="65" t="str">
        <f t="shared" ca="1" si="13"/>
        <v>Bond</v>
      </c>
      <c r="Z20" s="66">
        <f t="shared" ca="1" si="14"/>
        <v>2400</v>
      </c>
      <c r="AA20" s="66">
        <f t="shared" ca="1" si="15"/>
        <v>14400</v>
      </c>
      <c r="AB20" s="67">
        <f t="shared" ca="1" si="16"/>
        <v>0.16666666666666666</v>
      </c>
      <c r="AC20" s="66">
        <f t="shared" ca="1" si="17"/>
        <v>12000</v>
      </c>
      <c r="AD20" s="66">
        <f t="shared" ca="1" si="18"/>
        <v>0</v>
      </c>
      <c r="AF20" s="1"/>
      <c r="AG20" s="2"/>
      <c r="AH20" s="2"/>
      <c r="AI20" s="94" t="str">
        <f>Calculations!E39</f>
        <v/>
      </c>
      <c r="AJ20" s="95" t="str">
        <f>Calculations!F39</f>
        <v/>
      </c>
      <c r="AK20" s="35"/>
      <c r="AM20" s="1"/>
      <c r="AN20" s="2"/>
      <c r="AO20" s="2"/>
      <c r="AP20" s="2"/>
      <c r="AQ20" s="2"/>
      <c r="AR20" s="35"/>
    </row>
    <row r="21" spans="3:44" x14ac:dyDescent="0.3">
      <c r="C21" s="58" cm="1">
        <f t="array" ref="C21">IF(C20=-1, -1,
    IF(C20 &lt; income_max_row, C20 + 1,
        IF(C20 = income_max_row, income_total_row,
            IF(C20 = income_total_row, "/1",
                IF(C20 = "/1", expenses_header_row,
                    IF(C20 &lt; expenses_max_row, C20 + 1,
                        IF(C20 = expenses_max_row, expenses_row_total,
                            IF(C20 = expenses_row_total, "/2",
                                IF(C20 = "/2", savings_header_row,
                                    IF(C20 &lt; savings_max_row, C20 + 1,
                                        IF(C20 = savings_max_row, savings_total_row, -1)))))))))))</f>
        <v>24</v>
      </c>
      <c r="D21" s="59">
        <f t="shared" si="0"/>
        <v>22</v>
      </c>
      <c r="E21" s="58" cm="1">
        <f t="array" ref="E21">1*OR(row_id=income_header_row,row_id=expenses_header_row, row_id=savings_header_row)</f>
        <v>0</v>
      </c>
      <c r="F21">
        <f t="shared" si="1"/>
        <v>1</v>
      </c>
      <c r="G21" s="2" cm="1">
        <f t="array" ref="G21">1*OR(row_id=income_total_row,row_id=expenses_row_total,row_id=savings_total_row)</f>
        <v>0</v>
      </c>
      <c r="H21" s="59">
        <f t="shared" si="2"/>
        <v>0</v>
      </c>
      <c r="I21" s="58" t="str" cm="1">
        <f t="array" ref="I21">IFERROR(INDEX('Budget Planning'!$C:$C, header_row_id), "")</f>
        <v>Expenses</v>
      </c>
      <c r="J21" s="2" t="str" cm="1">
        <f t="array" ref="J21">IFERROR(INDEX('Budget Planning'!$C:$C, row_id), "")</f>
        <v>Levy</v>
      </c>
      <c r="K21" s="61" cm="1">
        <f t="array" aca="1" ref="K21" ca="1">IF(OR(is_header, is_empty), "",
    IF(is_total,
        IF(selected_period="Total Year", SUM(Tracking[Amount] * (Tracking[Type]=type) * (YEAR(Tracking[Effective Date])=selected_year)), SUM(Tracking[Amount] * (Tracking[Type]=type) * (YEAR(Tracking[Effective Date])=selected_year) *(MONTH(Tracking[Effective Date])=selected_period) )),
        IF(selected_period="Total Year", SUM(Tracking[Amount] * (Tracking[Type]=type) * (Tracking[Category]=item) * (YEAR(Tracking[Effective Date])=selected_year)), SUM(Tracking[Amount] * (Tracking[Type]=type) * (Tracking[Category]=item) * (YEAR(Tracking[Effective Date])=selected_year)))
    )
)</f>
        <v>900</v>
      </c>
      <c r="L21" s="62" cm="1">
        <f t="array" aca="1" ref="L21" ca="1">IF(OR(is_header,is_empty),"",INDEX('Budget Planning'!$E:$EM,row_id,MATCH(IF(selected_period="Total Year",selected_year,DATE(selected_year,selected_period,1)),'Budget Planning'!$E$9:$EM$9,0)))</f>
        <v>3600</v>
      </c>
      <c r="M21" s="61" cm="1">
        <f t="array" ref="M21">IF(is_cat,
    IF(header_row_id = income_header_row, MATCH(income_min_row, $C:$C, 0),
    IF(header_row_id = expenses_header_row, MATCH(expenses_min_row, $C:$C, 0),
    IF(header_row_id = savings_header_row, MATCH(savings_min_row, $C:$C, 0), ""))),
    "")</f>
        <v>20</v>
      </c>
      <c r="N21" s="62" cm="1">
        <f t="array" ref="N21">IF(is_cat,
    IF(header_row_id = income_header_row, MATCH(income_max_row, $C:$C, 0),
    IF(header_row_id = expenses_header_row, MATCH(expenses_max_row, $C:$C, 0),
    IF(header_row_id = savings_header_row, MATCH(savings_max_row, $C:$C, 0), ""))),
    "")</f>
        <v>28</v>
      </c>
      <c r="O21" s="64" t="str">
        <f t="shared" si="3"/>
        <v>$K$20:$K$28</v>
      </c>
      <c r="P21" s="61">
        <f t="shared" ca="1" si="4"/>
        <v>4</v>
      </c>
      <c r="Q21" s="61" t="str">
        <f t="shared" si="5"/>
        <v>$L$20:$L$28</v>
      </c>
      <c r="R21" s="62">
        <f t="shared" ca="1" si="6"/>
        <v>4</v>
      </c>
      <c r="S21" s="64">
        <f t="shared" ca="1" si="7"/>
        <v>44</v>
      </c>
      <c r="T21" s="61" t="str">
        <f t="shared" si="8"/>
        <v>$S$20:$S$28</v>
      </c>
      <c r="U21" s="61">
        <f t="shared" ca="1" si="9"/>
        <v>4</v>
      </c>
      <c r="V21" s="61" t="str">
        <f t="shared" si="10"/>
        <v>$U$20:$U$21</v>
      </c>
      <c r="W21" s="62">
        <f t="shared" ca="1" si="11"/>
        <v>4</v>
      </c>
      <c r="X21" s="63">
        <f t="shared" ca="1" si="12"/>
        <v>26</v>
      </c>
      <c r="Y21" s="65" t="str">
        <f t="shared" ca="1" si="13"/>
        <v>Insurances</v>
      </c>
      <c r="Z21" s="66">
        <f t="shared" ca="1" si="14"/>
        <v>1350</v>
      </c>
      <c r="AA21" s="66">
        <f t="shared" ca="1" si="15"/>
        <v>600</v>
      </c>
      <c r="AB21" s="67">
        <f t="shared" ca="1" si="16"/>
        <v>2.25</v>
      </c>
      <c r="AC21" s="66">
        <f t="shared" ca="1" si="17"/>
        <v>0</v>
      </c>
      <c r="AD21" s="66">
        <f t="shared" ca="1" si="18"/>
        <v>750</v>
      </c>
      <c r="AF21" s="1"/>
      <c r="AG21" s="2"/>
      <c r="AH21" s="2"/>
      <c r="AI21" s="94" t="str">
        <f ca="1">Calculations!E40</f>
        <v>Other</v>
      </c>
      <c r="AJ21" s="95">
        <f ca="1">Calculations!F40</f>
        <v>0</v>
      </c>
      <c r="AK21" s="35"/>
      <c r="AM21" s="1"/>
      <c r="AN21" s="2"/>
      <c r="AO21" s="2"/>
      <c r="AP21" s="2"/>
      <c r="AQ21" s="2"/>
      <c r="AR21" s="35"/>
    </row>
    <row r="22" spans="3:44" x14ac:dyDescent="0.3">
      <c r="C22" s="58" cm="1">
        <f t="array" ref="C22">IF(C21=-1, -1,
    IF(C21 &lt; income_max_row, C21 + 1,
        IF(C21 = income_max_row, income_total_row,
            IF(C21 = income_total_row, "/1",
                IF(C21 = "/1", expenses_header_row,
                    IF(C21 &lt; expenses_max_row, C21 + 1,
                        IF(C21 = expenses_max_row, expenses_row_total,
                            IF(C21 = expenses_row_total, "/2",
                                IF(C21 = "/2", savings_header_row,
                                    IF(C21 &lt; savings_max_row, C21 + 1,
                                        IF(C21 = savings_max_row, savings_total_row, -1)))))))))))</f>
        <v>25</v>
      </c>
      <c r="D22" s="59">
        <f t="shared" si="0"/>
        <v>22</v>
      </c>
      <c r="E22" s="58" cm="1">
        <f t="array" ref="E22">1*OR(row_id=income_header_row,row_id=expenses_header_row, row_id=savings_header_row)</f>
        <v>0</v>
      </c>
      <c r="F22">
        <f t="shared" si="1"/>
        <v>1</v>
      </c>
      <c r="G22" s="2" cm="1">
        <f t="array" ref="G22">1*OR(row_id=income_total_row,row_id=expenses_row_total,row_id=savings_total_row)</f>
        <v>0</v>
      </c>
      <c r="H22" s="59">
        <f t="shared" si="2"/>
        <v>0</v>
      </c>
      <c r="I22" s="58" t="str" cm="1">
        <f t="array" ref="I22">IFERROR(INDEX('Budget Planning'!$C:$C, header_row_id), "")</f>
        <v>Expenses</v>
      </c>
      <c r="J22" s="2" t="str" cm="1">
        <f t="array" ref="J22">IFERROR(INDEX('Budget Planning'!$C:$C, row_id), "")</f>
        <v>Groceries</v>
      </c>
      <c r="K22" s="61" cm="1">
        <f t="array" aca="1" ref="K22" ca="1">IF(OR(is_header, is_empty), "",
    IF(is_total,
        IF(selected_period="Total Year", SUM(Tracking[Amount] * (Tracking[Type]=type) * (YEAR(Tracking[Effective Date])=selected_year)), SUM(Tracking[Amount] * (Tracking[Type]=type) * (YEAR(Tracking[Effective Date])=selected_year) *(MONTH(Tracking[Effective Date])=selected_period) )),
        IF(selected_period="Total Year", SUM(Tracking[Amount] * (Tracking[Type]=type) * (Tracking[Category]=item) * (YEAR(Tracking[Effective Date])=selected_year)), SUM(Tracking[Amount] * (Tracking[Type]=type) * (Tracking[Category]=item) * (YEAR(Tracking[Effective Date])=selected_year)))
    )
)</f>
        <v>1100</v>
      </c>
      <c r="L22" s="62" cm="1">
        <f t="array" aca="1" ref="L22" ca="1">IF(OR(is_header,is_empty),"",INDEX('Budget Planning'!$E:$EM,row_id,MATCH(IF(selected_period="Total Year",selected_year,DATE(selected_year,selected_period,1)),'Budget Planning'!$E$9:$EM$9,0)))</f>
        <v>4200</v>
      </c>
      <c r="M22" s="61" cm="1">
        <f t="array" ref="M22">IF(is_cat,
    IF(header_row_id = income_header_row, MATCH(income_min_row, $C:$C, 0),
    IF(header_row_id = expenses_header_row, MATCH(expenses_min_row, $C:$C, 0),
    IF(header_row_id = savings_header_row, MATCH(savings_min_row, $C:$C, 0), ""))),
    "")</f>
        <v>20</v>
      </c>
      <c r="N22" s="62" cm="1">
        <f t="array" ref="N22">IF(is_cat,
    IF(header_row_id = income_header_row, MATCH(income_max_row, $C:$C, 0),
    IF(header_row_id = expenses_header_row, MATCH(expenses_max_row, $C:$C, 0),
    IF(header_row_id = savings_header_row, MATCH(savings_max_row, $C:$C, 0), ""))),
    "")</f>
        <v>28</v>
      </c>
      <c r="O22" s="64" t="str">
        <f t="shared" si="3"/>
        <v>$K$20:$K$28</v>
      </c>
      <c r="P22" s="61">
        <f t="shared" ca="1" si="4"/>
        <v>3</v>
      </c>
      <c r="Q22" s="61" t="str">
        <f t="shared" si="5"/>
        <v>$L$20:$L$28</v>
      </c>
      <c r="R22" s="62">
        <f t="shared" ca="1" si="6"/>
        <v>3</v>
      </c>
      <c r="S22" s="64">
        <f t="shared" ca="1" si="7"/>
        <v>33</v>
      </c>
      <c r="T22" s="61" t="str">
        <f t="shared" si="8"/>
        <v>$S$20:$S$28</v>
      </c>
      <c r="U22" s="61">
        <f t="shared" ca="1" si="9"/>
        <v>3</v>
      </c>
      <c r="V22" s="61" t="str">
        <f t="shared" si="10"/>
        <v>$U$20:$U$22</v>
      </c>
      <c r="W22" s="62">
        <f t="shared" ca="1" si="11"/>
        <v>3</v>
      </c>
      <c r="X22" s="63">
        <f t="shared" ca="1" si="12"/>
        <v>25</v>
      </c>
      <c r="Y22" s="65" t="str">
        <f t="shared" ca="1" si="13"/>
        <v>Groceries</v>
      </c>
      <c r="Z22" s="66">
        <f t="shared" ca="1" si="14"/>
        <v>1100</v>
      </c>
      <c r="AA22" s="66">
        <f t="shared" ca="1" si="15"/>
        <v>4200</v>
      </c>
      <c r="AB22" s="67">
        <f t="shared" ca="1" si="16"/>
        <v>0.26190476190476192</v>
      </c>
      <c r="AC22" s="66">
        <f t="shared" ca="1" si="17"/>
        <v>3100</v>
      </c>
      <c r="AD22" s="66">
        <f t="shared" ca="1" si="18"/>
        <v>0</v>
      </c>
      <c r="AF22" s="1"/>
      <c r="AG22" s="2"/>
      <c r="AH22" s="2"/>
      <c r="AI22" s="96" t="str">
        <f>Calculations!E41</f>
        <v>Total</v>
      </c>
      <c r="AJ22" s="97">
        <f ca="1">Calculations!F41</f>
        <v>13600</v>
      </c>
      <c r="AK22" s="35"/>
      <c r="AM22" s="1"/>
      <c r="AN22" s="2"/>
      <c r="AO22" s="2"/>
      <c r="AP22" s="2"/>
      <c r="AQ22" s="2"/>
      <c r="AR22" s="35"/>
    </row>
    <row r="23" spans="3:44" x14ac:dyDescent="0.3">
      <c r="C23" s="58" cm="1">
        <f t="array" ref="C23">IF(C22=-1, -1,
    IF(C22 &lt; income_max_row, C22 + 1,
        IF(C22 = income_max_row, income_total_row,
            IF(C22 = income_total_row, "/1",
                IF(C22 = "/1", expenses_header_row,
                    IF(C22 &lt; expenses_max_row, C22 + 1,
                        IF(C22 = expenses_max_row, expenses_row_total,
                            IF(C22 = expenses_row_total, "/2",
                                IF(C22 = "/2", savings_header_row,
                                    IF(C22 &lt; savings_max_row, C22 + 1,
                                        IF(C22 = savings_max_row, savings_total_row, -1)))))))))))</f>
        <v>26</v>
      </c>
      <c r="D23" s="59">
        <f t="shared" si="0"/>
        <v>22</v>
      </c>
      <c r="E23" s="58" cm="1">
        <f t="array" ref="E23">1*OR(row_id=income_header_row,row_id=expenses_header_row, row_id=savings_header_row)</f>
        <v>0</v>
      </c>
      <c r="F23">
        <f t="shared" si="1"/>
        <v>1</v>
      </c>
      <c r="G23" s="2" cm="1">
        <f t="array" ref="G23">1*OR(row_id=income_total_row,row_id=expenses_row_total,row_id=savings_total_row)</f>
        <v>0</v>
      </c>
      <c r="H23" s="59">
        <f t="shared" si="2"/>
        <v>0</v>
      </c>
      <c r="I23" s="58" t="str" cm="1">
        <f t="array" ref="I23">IFERROR(INDEX('Budget Planning'!$C:$C, header_row_id), "")</f>
        <v>Expenses</v>
      </c>
      <c r="J23" s="2" t="str" cm="1">
        <f t="array" ref="J23">IFERROR(INDEX('Budget Planning'!$C:$C, row_id), "")</f>
        <v>Transport</v>
      </c>
      <c r="K23" s="61" cm="1">
        <f t="array" aca="1" ref="K23" ca="1">IF(OR(is_header, is_empty), "",
    IF(is_total,
        IF(selected_period="Total Year", SUM(Tracking[Amount] * (Tracking[Type]=type) * (YEAR(Tracking[Effective Date])=selected_year)), SUM(Tracking[Amount] * (Tracking[Type]=type) * (YEAR(Tracking[Effective Date])=selected_year) *(MONTH(Tracking[Effective Date])=selected_period) )),
        IF(selected_period="Total Year", SUM(Tracking[Amount] * (Tracking[Type]=type) * (Tracking[Category]=item) * (YEAR(Tracking[Effective Date])=selected_year)), SUM(Tracking[Amount] * (Tracking[Type]=type) * (Tracking[Category]=item) * (YEAR(Tracking[Effective Date])=selected_year)))
    )
)</f>
        <v>610</v>
      </c>
      <c r="L23" s="62" cm="1">
        <f t="array" aca="1" ref="L23" ca="1">IF(OR(is_header,is_empty),"",INDEX('Budget Planning'!$E:$EM,row_id,MATCH(IF(selected_period="Total Year",selected_year,DATE(selected_year,selected_period,1)),'Budget Planning'!$E$9:$EM$9,0)))</f>
        <v>3600</v>
      </c>
      <c r="M23" s="61" cm="1">
        <f t="array" ref="M23">IF(is_cat,
    IF(header_row_id = income_header_row, MATCH(income_min_row, $C:$C, 0),
    IF(header_row_id = expenses_header_row, MATCH(expenses_min_row, $C:$C, 0),
    IF(header_row_id = savings_header_row, MATCH(savings_min_row, $C:$C, 0), ""))),
    "")</f>
        <v>20</v>
      </c>
      <c r="N23" s="62" cm="1">
        <f t="array" ref="N23">IF(is_cat,
    IF(header_row_id = income_header_row, MATCH(income_max_row, $C:$C, 0),
    IF(header_row_id = expenses_header_row, MATCH(expenses_max_row, $C:$C, 0),
    IF(header_row_id = savings_header_row, MATCH(savings_max_row, $C:$C, 0), ""))),
    "")</f>
        <v>28</v>
      </c>
      <c r="O23" s="64" t="str">
        <f t="shared" si="3"/>
        <v>$K$20:$K$28</v>
      </c>
      <c r="P23" s="61">
        <f t="shared" ca="1" si="4"/>
        <v>6</v>
      </c>
      <c r="Q23" s="61" t="str">
        <f t="shared" si="5"/>
        <v>$L$20:$L$28</v>
      </c>
      <c r="R23" s="62">
        <f t="shared" ca="1" si="6"/>
        <v>4</v>
      </c>
      <c r="S23" s="64">
        <f t="shared" ca="1" si="7"/>
        <v>64</v>
      </c>
      <c r="T23" s="61" t="str">
        <f t="shared" si="8"/>
        <v>$S$20:$S$28</v>
      </c>
      <c r="U23" s="61">
        <f t="shared" ca="1" si="9"/>
        <v>6</v>
      </c>
      <c r="V23" s="61" t="str">
        <f t="shared" si="10"/>
        <v>$U$20:$U$23</v>
      </c>
      <c r="W23" s="62">
        <f t="shared" ca="1" si="11"/>
        <v>6</v>
      </c>
      <c r="X23" s="63">
        <f t="shared" ca="1" si="12"/>
        <v>28</v>
      </c>
      <c r="Y23" s="65" t="str">
        <f t="shared" ca="1" si="13"/>
        <v>Levy</v>
      </c>
      <c r="Z23" s="66">
        <f t="shared" ca="1" si="14"/>
        <v>900</v>
      </c>
      <c r="AA23" s="66">
        <f t="shared" ca="1" si="15"/>
        <v>3600</v>
      </c>
      <c r="AB23" s="67">
        <f t="shared" ca="1" si="16"/>
        <v>0.25</v>
      </c>
      <c r="AC23" s="66">
        <f t="shared" ca="1" si="17"/>
        <v>2700</v>
      </c>
      <c r="AD23" s="66">
        <f t="shared" ca="1" si="18"/>
        <v>0</v>
      </c>
      <c r="AF23" s="1"/>
      <c r="AG23" s="2"/>
      <c r="AH23" s="2"/>
      <c r="AI23" s="2"/>
      <c r="AJ23" s="2"/>
      <c r="AK23" s="35"/>
      <c r="AM23" s="1"/>
      <c r="AN23" s="2"/>
      <c r="AO23" s="2"/>
      <c r="AP23" s="2"/>
      <c r="AQ23" s="2"/>
      <c r="AR23" s="35"/>
    </row>
    <row r="24" spans="3:44" x14ac:dyDescent="0.3">
      <c r="C24" s="58" cm="1">
        <f t="array" ref="C24">IF(C23=-1, -1,
    IF(C23 &lt; income_max_row, C23 + 1,
        IF(C23 = income_max_row, income_total_row,
            IF(C23 = income_total_row, "/1",
                IF(C23 = "/1", expenses_header_row,
                    IF(C23 &lt; expenses_max_row, C23 + 1,
                        IF(C23 = expenses_max_row, expenses_row_total,
                            IF(C23 = expenses_row_total, "/2",
                                IF(C23 = "/2", savings_header_row,
                                    IF(C23 &lt; savings_max_row, C23 + 1,
                                        IF(C23 = savings_max_row, savings_total_row, -1)))))))))))</f>
        <v>27</v>
      </c>
      <c r="D24" s="59">
        <f t="shared" si="0"/>
        <v>22</v>
      </c>
      <c r="E24" s="58" cm="1">
        <f t="array" ref="E24">1*OR(row_id=income_header_row,row_id=expenses_header_row, row_id=savings_header_row)</f>
        <v>0</v>
      </c>
      <c r="F24">
        <f t="shared" si="1"/>
        <v>1</v>
      </c>
      <c r="G24" s="2" cm="1">
        <f t="array" ref="G24">1*OR(row_id=income_total_row,row_id=expenses_row_total,row_id=savings_total_row)</f>
        <v>0</v>
      </c>
      <c r="H24" s="59">
        <f t="shared" si="2"/>
        <v>0</v>
      </c>
      <c r="I24" s="58" t="str" cm="1">
        <f t="array" ref="I24">IFERROR(INDEX('Budget Planning'!$C:$C, header_row_id), "")</f>
        <v>Expenses</v>
      </c>
      <c r="J24" s="2" t="str" cm="1">
        <f t="array" ref="J24">IFERROR(INDEX('Budget Planning'!$C:$C, row_id), "")</f>
        <v>Insurances</v>
      </c>
      <c r="K24" s="61" cm="1">
        <f t="array" aca="1" ref="K24" ca="1">IF(OR(is_header, is_empty), "",
    IF(is_total,
        IF(selected_period="Total Year", SUM(Tracking[Amount] * (Tracking[Type]=type) * (YEAR(Tracking[Effective Date])=selected_year)), SUM(Tracking[Amount] * (Tracking[Type]=type) * (YEAR(Tracking[Effective Date])=selected_year) *(MONTH(Tracking[Effective Date])=selected_period) )),
        IF(selected_period="Total Year", SUM(Tracking[Amount] * (Tracking[Type]=type) * (Tracking[Category]=item) * (YEAR(Tracking[Effective Date])=selected_year)), SUM(Tracking[Amount] * (Tracking[Type]=type) * (Tracking[Category]=item) * (YEAR(Tracking[Effective Date])=selected_year)))
    )
)</f>
        <v>1350</v>
      </c>
      <c r="L24" s="62" cm="1">
        <f t="array" aca="1" ref="L24" ca="1">IF(OR(is_header,is_empty),"",INDEX('Budget Planning'!$E:$EM,row_id,MATCH(IF(selected_period="Total Year",selected_year,DATE(selected_year,selected_period,1)),'Budget Planning'!$E$9:$EM$9,0)))</f>
        <v>600</v>
      </c>
      <c r="M24" s="61" cm="1">
        <f t="array" ref="M24">IF(is_cat,
    IF(header_row_id = income_header_row, MATCH(income_min_row, $C:$C, 0),
    IF(header_row_id = expenses_header_row, MATCH(expenses_min_row, $C:$C, 0),
    IF(header_row_id = savings_header_row, MATCH(savings_min_row, $C:$C, 0), ""))),
    "")</f>
        <v>20</v>
      </c>
      <c r="N24" s="62" cm="1">
        <f t="array" ref="N24">IF(is_cat,
    IF(header_row_id = income_header_row, MATCH(income_max_row, $C:$C, 0),
    IF(header_row_id = expenses_header_row, MATCH(expenses_max_row, $C:$C, 0),
    IF(header_row_id = savings_header_row, MATCH(savings_max_row, $C:$C, 0), ""))),
    "")</f>
        <v>28</v>
      </c>
      <c r="O24" s="64" t="str">
        <f t="shared" si="3"/>
        <v>$K$20:$K$28</v>
      </c>
      <c r="P24" s="61">
        <f t="shared" ca="1" si="4"/>
        <v>2</v>
      </c>
      <c r="Q24" s="61" t="str">
        <f t="shared" si="5"/>
        <v>$L$20:$L$28</v>
      </c>
      <c r="R24" s="62">
        <f t="shared" ca="1" si="6"/>
        <v>8</v>
      </c>
      <c r="S24" s="64">
        <f t="shared" ca="1" si="7"/>
        <v>28</v>
      </c>
      <c r="T24" s="61" t="str">
        <f t="shared" si="8"/>
        <v>$S$20:$S$28</v>
      </c>
      <c r="U24" s="61">
        <f t="shared" ca="1" si="9"/>
        <v>2</v>
      </c>
      <c r="V24" s="61" t="str">
        <f t="shared" si="10"/>
        <v>$U$20:$U$24</v>
      </c>
      <c r="W24" s="62">
        <f t="shared" ca="1" si="11"/>
        <v>2</v>
      </c>
      <c r="X24" s="63">
        <f t="shared" ca="1" si="12"/>
        <v>24</v>
      </c>
      <c r="Y24" s="65" t="str">
        <f t="shared" ca="1" si="13"/>
        <v>Fun &amp; Holidays</v>
      </c>
      <c r="Z24" s="66">
        <f t="shared" ca="1" si="14"/>
        <v>730</v>
      </c>
      <c r="AA24" s="66">
        <f t="shared" ca="1" si="15"/>
        <v>6000</v>
      </c>
      <c r="AB24" s="67">
        <f t="shared" ca="1" si="16"/>
        <v>0.12166666666666667</v>
      </c>
      <c r="AC24" s="66">
        <f t="shared" ca="1" si="17"/>
        <v>5270</v>
      </c>
      <c r="AD24" s="66">
        <f t="shared" ca="1" si="18"/>
        <v>0</v>
      </c>
      <c r="AF24" s="3"/>
      <c r="AG24" s="4"/>
      <c r="AH24" s="4"/>
      <c r="AI24" s="4"/>
      <c r="AJ24" s="4"/>
      <c r="AK24" s="36"/>
      <c r="AM24" s="3"/>
      <c r="AN24" s="4"/>
      <c r="AO24" s="4"/>
      <c r="AP24" s="4"/>
      <c r="AQ24" s="4"/>
      <c r="AR24" s="36"/>
    </row>
    <row r="25" spans="3:44" x14ac:dyDescent="0.3">
      <c r="C25" s="58" cm="1">
        <f t="array" ref="C25">IF(C24=-1, -1,
    IF(C24 &lt; income_max_row, C24 + 1,
        IF(C24 = income_max_row, income_total_row,
            IF(C24 = income_total_row, "/1",
                IF(C24 = "/1", expenses_header_row,
                    IF(C24 &lt; expenses_max_row, C24 + 1,
                        IF(C24 = expenses_max_row, expenses_row_total,
                            IF(C24 = expenses_row_total, "/2",
                                IF(C24 = "/2", savings_header_row,
                                    IF(C24 &lt; savings_max_row, C24 + 1,
                                        IF(C24 = savings_max_row, savings_total_row, -1)))))))))))</f>
        <v>28</v>
      </c>
      <c r="D25" s="59">
        <f t="shared" si="0"/>
        <v>22</v>
      </c>
      <c r="E25" s="58" cm="1">
        <f t="array" ref="E25">1*OR(row_id=income_header_row,row_id=expenses_header_row, row_id=savings_header_row)</f>
        <v>0</v>
      </c>
      <c r="F25">
        <f t="shared" si="1"/>
        <v>1</v>
      </c>
      <c r="G25" s="2" cm="1">
        <f t="array" ref="G25">1*OR(row_id=income_total_row,row_id=expenses_row_total,row_id=savings_total_row)</f>
        <v>0</v>
      </c>
      <c r="H25" s="59">
        <f t="shared" si="2"/>
        <v>0</v>
      </c>
      <c r="I25" s="58" t="str" cm="1">
        <f t="array" ref="I25">IFERROR(INDEX('Budget Planning'!$C:$C, header_row_id), "")</f>
        <v>Expenses</v>
      </c>
      <c r="J25" s="2" t="str" cm="1">
        <f t="array" ref="J25">IFERROR(INDEX('Budget Planning'!$C:$C, row_id), "")</f>
        <v>Clothing</v>
      </c>
      <c r="K25" s="61" cm="1">
        <f t="array" aca="1" ref="K25" ca="1">IF(OR(is_header, is_empty), "",
    IF(is_total,
        IF(selected_period="Total Year", SUM(Tracking[Amount] * (Tracking[Type]=type) * (YEAR(Tracking[Effective Date])=selected_year)), SUM(Tracking[Amount] * (Tracking[Type]=type) * (YEAR(Tracking[Effective Date])=selected_year) *(MONTH(Tracking[Effective Date])=selected_period) )),
        IF(selected_period="Total Year", SUM(Tracking[Amount] * (Tracking[Type]=type) * (Tracking[Category]=item) * (YEAR(Tracking[Effective Date])=selected_year)), SUM(Tracking[Amount] * (Tracking[Type]=type) * (Tracking[Category]=item) * (YEAR(Tracking[Effective Date])=selected_year)))
    )
)</f>
        <v>300</v>
      </c>
      <c r="L25" s="62" cm="1">
        <f t="array" aca="1" ref="L25" ca="1">IF(OR(is_header,is_empty),"",INDEX('Budget Planning'!$E:$EM,row_id,MATCH(IF(selected_period="Total Year",selected_year,DATE(selected_year,selected_period,1)),'Budget Planning'!$E$9:$EM$9,0)))</f>
        <v>2400</v>
      </c>
      <c r="M25" s="61" cm="1">
        <f t="array" ref="M25">IF(is_cat,
    IF(header_row_id = income_header_row, MATCH(income_min_row, $C:$C, 0),
    IF(header_row_id = expenses_header_row, MATCH(expenses_min_row, $C:$C, 0),
    IF(header_row_id = savings_header_row, MATCH(savings_min_row, $C:$C, 0), ""))),
    "")</f>
        <v>20</v>
      </c>
      <c r="N25" s="62" cm="1">
        <f t="array" ref="N25">IF(is_cat,
    IF(header_row_id = income_header_row, MATCH(income_max_row, $C:$C, 0),
    IF(header_row_id = expenses_header_row, MATCH(expenses_max_row, $C:$C, 0),
    IF(header_row_id = savings_header_row, MATCH(savings_max_row, $C:$C, 0), ""))),
    "")</f>
        <v>28</v>
      </c>
      <c r="O25" s="64" t="str">
        <f t="shared" si="3"/>
        <v>$K$20:$K$28</v>
      </c>
      <c r="P25" s="61">
        <f t="shared" ca="1" si="4"/>
        <v>8</v>
      </c>
      <c r="Q25" s="61" t="str">
        <f t="shared" si="5"/>
        <v>$L$20:$L$28</v>
      </c>
      <c r="R25" s="62">
        <f t="shared" ca="1" si="6"/>
        <v>6</v>
      </c>
      <c r="S25" s="64">
        <f t="shared" ca="1" si="7"/>
        <v>86</v>
      </c>
      <c r="T25" s="61" t="str">
        <f t="shared" si="8"/>
        <v>$S$20:$S$28</v>
      </c>
      <c r="U25" s="61">
        <f t="shared" ca="1" si="9"/>
        <v>8</v>
      </c>
      <c r="V25" s="61" t="str">
        <f t="shared" si="10"/>
        <v>$U$20:$U$25</v>
      </c>
      <c r="W25" s="62">
        <f t="shared" ca="1" si="11"/>
        <v>8</v>
      </c>
      <c r="X25" s="63">
        <f t="shared" ca="1" si="12"/>
        <v>30</v>
      </c>
      <c r="Y25" s="65" t="str">
        <f t="shared" ca="1" si="13"/>
        <v>Transport</v>
      </c>
      <c r="Z25" s="66">
        <f t="shared" ca="1" si="14"/>
        <v>610</v>
      </c>
      <c r="AA25" s="66">
        <f t="shared" ca="1" si="15"/>
        <v>3600</v>
      </c>
      <c r="AB25" s="67">
        <f t="shared" ca="1" si="16"/>
        <v>0.16944444444444445</v>
      </c>
      <c r="AC25" s="66">
        <f t="shared" ca="1" si="17"/>
        <v>2990</v>
      </c>
      <c r="AD25" s="66">
        <f t="shared" ca="1" si="18"/>
        <v>0</v>
      </c>
    </row>
    <row r="26" spans="3:44" x14ac:dyDescent="0.3">
      <c r="C26" s="58" cm="1">
        <f t="array" ref="C26">IF(C25=-1, -1,
    IF(C25 &lt; income_max_row, C25 + 1,
        IF(C25 = income_max_row, income_total_row,
            IF(C25 = income_total_row, "/1",
                IF(C25 = "/1", expenses_header_row,
                    IF(C25 &lt; expenses_max_row, C25 + 1,
                        IF(C25 = expenses_max_row, expenses_row_total,
                            IF(C25 = expenses_row_total, "/2",
                                IF(C25 = "/2", savings_header_row,
                                    IF(C25 &lt; savings_max_row, C25 + 1,
                                        IF(C25 = savings_max_row, savings_total_row, -1)))))))))))</f>
        <v>29</v>
      </c>
      <c r="D26" s="59">
        <f t="shared" si="0"/>
        <v>22</v>
      </c>
      <c r="E26" s="58" cm="1">
        <f t="array" ref="E26">1*OR(row_id=income_header_row,row_id=expenses_header_row, row_id=savings_header_row)</f>
        <v>0</v>
      </c>
      <c r="F26">
        <f t="shared" si="1"/>
        <v>1</v>
      </c>
      <c r="G26" s="2" cm="1">
        <f t="array" ref="G26">1*OR(row_id=income_total_row,row_id=expenses_row_total,row_id=savings_total_row)</f>
        <v>0</v>
      </c>
      <c r="H26" s="59">
        <f t="shared" si="2"/>
        <v>0</v>
      </c>
      <c r="I26" s="58" t="str" cm="1">
        <f t="array" ref="I26">IFERROR(INDEX('Budget Planning'!$C:$C, header_row_id), "")</f>
        <v>Expenses</v>
      </c>
      <c r="J26" s="2" t="str" cm="1">
        <f t="array" ref="J26">IFERROR(INDEX('Budget Planning'!$C:$C, row_id), "")</f>
        <v>Body Care &amp; Meds</v>
      </c>
      <c r="K26" s="61" cm="1">
        <f t="array" aca="1" ref="K26" ca="1">IF(OR(is_header, is_empty), "",
    IF(is_total,
        IF(selected_period="Total Year", SUM(Tracking[Amount] * (Tracking[Type]=type) * (YEAR(Tracking[Effective Date])=selected_year)), SUM(Tracking[Amount] * (Tracking[Type]=type) * (YEAR(Tracking[Effective Date])=selected_year) *(MONTH(Tracking[Effective Date])=selected_period) )),
        IF(selected_period="Total Year", SUM(Tracking[Amount] * (Tracking[Type]=type) * (Tracking[Category]=item) * (YEAR(Tracking[Effective Date])=selected_year)), SUM(Tracking[Amount] * (Tracking[Type]=type) * (Tracking[Category]=item) * (YEAR(Tracking[Effective Date])=selected_year)))
    )
)</f>
        <v>470</v>
      </c>
      <c r="L26" s="62" cm="1">
        <f t="array" aca="1" ref="L26" ca="1">IF(OR(is_header,is_empty),"",INDEX('Budget Planning'!$E:$EM,row_id,MATCH(IF(selected_period="Total Year",selected_year,DATE(selected_year,selected_period,1)),'Budget Planning'!$E$9:$EM$9,0)))</f>
        <v>2400</v>
      </c>
      <c r="M26" s="61" cm="1">
        <f t="array" ref="M26">IF(is_cat,
    IF(header_row_id = income_header_row, MATCH(income_min_row, $C:$C, 0),
    IF(header_row_id = expenses_header_row, MATCH(expenses_min_row, $C:$C, 0),
    IF(header_row_id = savings_header_row, MATCH(savings_min_row, $C:$C, 0), ""))),
    "")</f>
        <v>20</v>
      </c>
      <c r="N26" s="62" cm="1">
        <f t="array" ref="N26">IF(is_cat,
    IF(header_row_id = income_header_row, MATCH(income_max_row, $C:$C, 0),
    IF(header_row_id = expenses_header_row, MATCH(expenses_max_row, $C:$C, 0),
    IF(header_row_id = savings_header_row, MATCH(savings_max_row, $C:$C, 0), ""))),
    "")</f>
        <v>28</v>
      </c>
      <c r="O26" s="64" t="str">
        <f t="shared" si="3"/>
        <v>$K$20:$K$28</v>
      </c>
      <c r="P26" s="61">
        <f t="shared" ca="1" si="4"/>
        <v>7</v>
      </c>
      <c r="Q26" s="61" t="str">
        <f t="shared" si="5"/>
        <v>$L$20:$L$28</v>
      </c>
      <c r="R26" s="62">
        <f t="shared" ca="1" si="6"/>
        <v>6</v>
      </c>
      <c r="S26" s="64">
        <f t="shared" ca="1" si="7"/>
        <v>76</v>
      </c>
      <c r="T26" s="61" t="str">
        <f t="shared" si="8"/>
        <v>$S$20:$S$28</v>
      </c>
      <c r="U26" s="61">
        <f t="shared" ca="1" si="9"/>
        <v>7</v>
      </c>
      <c r="V26" s="61" t="str">
        <f t="shared" si="10"/>
        <v>$U$20:$U$26</v>
      </c>
      <c r="W26" s="62">
        <f t="shared" ca="1" si="11"/>
        <v>7</v>
      </c>
      <c r="X26" s="63">
        <f t="shared" ca="1" si="12"/>
        <v>29</v>
      </c>
      <c r="Y26" s="65" t="str">
        <f t="shared" ca="1" si="13"/>
        <v>Body Care &amp; Meds</v>
      </c>
      <c r="Z26" s="66">
        <f t="shared" ca="1" si="14"/>
        <v>470</v>
      </c>
      <c r="AA26" s="66">
        <f t="shared" ca="1" si="15"/>
        <v>2400</v>
      </c>
      <c r="AB26" s="67">
        <f t="shared" ca="1" si="16"/>
        <v>0.19583333333333333</v>
      </c>
      <c r="AC26" s="66">
        <f t="shared" ca="1" si="17"/>
        <v>1930</v>
      </c>
      <c r="AD26" s="66">
        <f t="shared" ca="1" si="18"/>
        <v>0</v>
      </c>
      <c r="AF26" s="32"/>
      <c r="AG26" s="33"/>
      <c r="AH26" s="33"/>
      <c r="AI26" s="33"/>
      <c r="AJ26" s="33"/>
      <c r="AK26" s="34"/>
      <c r="AM26" s="32"/>
      <c r="AN26" s="33"/>
      <c r="AO26" s="33"/>
      <c r="AP26" s="33"/>
      <c r="AQ26" s="33"/>
      <c r="AR26" s="34"/>
    </row>
    <row r="27" spans="3:44" x14ac:dyDescent="0.3">
      <c r="C27" s="58" cm="1">
        <f t="array" ref="C27">IF(C26=-1, -1,
    IF(C26 &lt; income_max_row, C26 + 1,
        IF(C26 = income_max_row, income_total_row,
            IF(C26 = income_total_row, "/1",
                IF(C26 = "/1", expenses_header_row,
                    IF(C26 &lt; expenses_max_row, C26 + 1,
                        IF(C26 = expenses_max_row, expenses_row_total,
                            IF(C26 = expenses_row_total, "/2",
                                IF(C26 = "/2", savings_header_row,
                                    IF(C26 &lt; savings_max_row, C26 + 1,
                                        IF(C26 = savings_max_row, savings_total_row, -1)))))))))))</f>
        <v>30</v>
      </c>
      <c r="D27" s="59">
        <f t="shared" si="0"/>
        <v>22</v>
      </c>
      <c r="E27" s="58" cm="1">
        <f t="array" ref="E27">1*OR(row_id=income_header_row,row_id=expenses_header_row, row_id=savings_header_row)</f>
        <v>0</v>
      </c>
      <c r="F27">
        <f t="shared" si="1"/>
        <v>1</v>
      </c>
      <c r="G27" s="2" cm="1">
        <f t="array" ref="G27">1*OR(row_id=income_total_row,row_id=expenses_row_total,row_id=savings_total_row)</f>
        <v>0</v>
      </c>
      <c r="H27" s="59">
        <f t="shared" si="2"/>
        <v>0</v>
      </c>
      <c r="I27" s="58" t="str" cm="1">
        <f t="array" ref="I27">IFERROR(INDEX('Budget Planning'!$C:$C, header_row_id), "")</f>
        <v>Expenses</v>
      </c>
      <c r="J27" s="2" t="str" cm="1">
        <f t="array" ref="J27">IFERROR(INDEX('Budget Planning'!$C:$C, row_id), "")</f>
        <v>Meida</v>
      </c>
      <c r="K27" s="61" cm="1">
        <f t="array" aca="1" ref="K27" ca="1">IF(OR(is_header, is_empty), "",
    IF(is_total,
        IF(selected_period="Total Year", SUM(Tracking[Amount] * (Tracking[Type]=type) * (YEAR(Tracking[Effective Date])=selected_year)), SUM(Tracking[Amount] * (Tracking[Type]=type) * (YEAR(Tracking[Effective Date])=selected_year) *(MONTH(Tracking[Effective Date])=selected_period) )),
        IF(selected_period="Total Year", SUM(Tracking[Amount] * (Tracking[Type]=type) * (Tracking[Category]=item) * (YEAR(Tracking[Effective Date])=selected_year)), SUM(Tracking[Amount] * (Tracking[Type]=type) * (Tracking[Category]=item) * (YEAR(Tracking[Effective Date])=selected_year)))
    )
)</f>
        <v>170</v>
      </c>
      <c r="L27" s="62" cm="1">
        <f t="array" aca="1" ref="L27" ca="1">IF(OR(is_header,is_empty),"",INDEX('Budget Planning'!$E:$EM,row_id,MATCH(IF(selected_period="Total Year",selected_year,DATE(selected_year,selected_period,1)),'Budget Planning'!$E$9:$EM$9,0)))</f>
        <v>600</v>
      </c>
      <c r="M27" s="61" cm="1">
        <f t="array" ref="M27">IF(is_cat,
    IF(header_row_id = income_header_row, MATCH(income_min_row, $C:$C, 0),
    IF(header_row_id = expenses_header_row, MATCH(expenses_min_row, $C:$C, 0),
    IF(header_row_id = savings_header_row, MATCH(savings_min_row, $C:$C, 0), ""))),
    "")</f>
        <v>20</v>
      </c>
      <c r="N27" s="62" cm="1">
        <f t="array" ref="N27">IF(is_cat,
    IF(header_row_id = income_header_row, MATCH(income_max_row, $C:$C, 0),
    IF(header_row_id = expenses_header_row, MATCH(expenses_max_row, $C:$C, 0),
    IF(header_row_id = savings_header_row, MATCH(savings_max_row, $C:$C, 0), ""))),
    "")</f>
        <v>28</v>
      </c>
      <c r="O27" s="64" t="str">
        <f t="shared" si="3"/>
        <v>$K$20:$K$28</v>
      </c>
      <c r="P27" s="61">
        <f t="shared" ca="1" si="4"/>
        <v>9</v>
      </c>
      <c r="Q27" s="61" t="str">
        <f t="shared" si="5"/>
        <v>$L$20:$L$28</v>
      </c>
      <c r="R27" s="62">
        <f t="shared" ca="1" si="6"/>
        <v>8</v>
      </c>
      <c r="S27" s="64">
        <f t="shared" ca="1" si="7"/>
        <v>98</v>
      </c>
      <c r="T27" s="61" t="str">
        <f t="shared" si="8"/>
        <v>$S$20:$S$28</v>
      </c>
      <c r="U27" s="61">
        <f t="shared" ca="1" si="9"/>
        <v>9</v>
      </c>
      <c r="V27" s="61" t="str">
        <f t="shared" si="10"/>
        <v>$U$20:$U$27</v>
      </c>
      <c r="W27" s="62">
        <f t="shared" ca="1" si="11"/>
        <v>9</v>
      </c>
      <c r="X27" s="63">
        <f t="shared" ca="1" si="12"/>
        <v>31</v>
      </c>
      <c r="Y27" s="65" t="str">
        <f t="shared" ca="1" si="13"/>
        <v>Clothing</v>
      </c>
      <c r="Z27" s="66">
        <f t="shared" ca="1" si="14"/>
        <v>300</v>
      </c>
      <c r="AA27" s="66">
        <f t="shared" ca="1" si="15"/>
        <v>2400</v>
      </c>
      <c r="AB27" s="67">
        <f t="shared" ca="1" si="16"/>
        <v>0.125</v>
      </c>
      <c r="AC27" s="66">
        <f t="shared" ca="1" si="17"/>
        <v>2100</v>
      </c>
      <c r="AD27" s="66">
        <f t="shared" ca="1" si="18"/>
        <v>0</v>
      </c>
      <c r="AF27" s="1"/>
      <c r="AG27" s="2"/>
      <c r="AH27" s="2"/>
      <c r="AI27" s="2"/>
      <c r="AJ27" s="2"/>
      <c r="AK27" s="35"/>
      <c r="AM27" s="1"/>
      <c r="AN27" s="2"/>
      <c r="AO27" s="2"/>
      <c r="AP27" s="2"/>
      <c r="AQ27" s="2"/>
      <c r="AR27" s="35"/>
    </row>
    <row r="28" spans="3:44" x14ac:dyDescent="0.3">
      <c r="C28" s="58" cm="1">
        <f t="array" ref="C28">IF(C27=-1, -1,
    IF(C27 &lt; income_max_row, C27 + 1,
        IF(C27 = income_max_row, income_total_row,
            IF(C27 = income_total_row, "/1",
                IF(C27 = "/1", expenses_header_row,
                    IF(C27 &lt; expenses_max_row, C27 + 1,
                        IF(C27 = expenses_max_row, expenses_row_total,
                            IF(C27 = expenses_row_total, "/2",
                                IF(C27 = "/2", savings_header_row,
                                    IF(C27 &lt; savings_max_row, C27 + 1,
                                        IF(C27 = savings_max_row, savings_total_row, -1)))))))))))</f>
        <v>31</v>
      </c>
      <c r="D28" s="59">
        <f t="shared" si="0"/>
        <v>22</v>
      </c>
      <c r="E28" s="58" cm="1">
        <f t="array" ref="E28">1*OR(row_id=income_header_row,row_id=expenses_header_row, row_id=savings_header_row)</f>
        <v>0</v>
      </c>
      <c r="F28">
        <f t="shared" si="1"/>
        <v>1</v>
      </c>
      <c r="G28" s="2" cm="1">
        <f t="array" ref="G28">1*OR(row_id=income_total_row,row_id=expenses_row_total,row_id=savings_total_row)</f>
        <v>0</v>
      </c>
      <c r="H28" s="59">
        <f t="shared" si="2"/>
        <v>0</v>
      </c>
      <c r="I28" s="58" t="str" cm="1">
        <f t="array" ref="I28">IFERROR(INDEX('Budget Planning'!$C:$C, header_row_id), "")</f>
        <v>Expenses</v>
      </c>
      <c r="J28" s="2" t="str" cm="1">
        <f t="array" ref="J28">IFERROR(INDEX('Budget Planning'!$C:$C, row_id), "")</f>
        <v>Fun &amp; Holidays</v>
      </c>
      <c r="K28" s="61" cm="1">
        <f t="array" aca="1" ref="K28" ca="1">IF(OR(is_header, is_empty), "",
    IF(is_total,
        IF(selected_period="Total Year", SUM(Tracking[Amount] * (Tracking[Type]=type) * (YEAR(Tracking[Effective Date])=selected_year)), SUM(Tracking[Amount] * (Tracking[Type]=type) * (YEAR(Tracking[Effective Date])=selected_year) *(MONTH(Tracking[Effective Date])=selected_period) )),
        IF(selected_period="Total Year", SUM(Tracking[Amount] * (Tracking[Type]=type) * (Tracking[Category]=item) * (YEAR(Tracking[Effective Date])=selected_year)), SUM(Tracking[Amount] * (Tracking[Type]=type) * (Tracking[Category]=item) * (YEAR(Tracking[Effective Date])=selected_year)))
    )
)</f>
        <v>730</v>
      </c>
      <c r="L28" s="62" cm="1">
        <f t="array" aca="1" ref="L28" ca="1">IF(OR(is_header,is_empty),"",INDEX('Budget Planning'!$E:$EM,row_id,MATCH(IF(selected_period="Total Year",selected_year,DATE(selected_year,selected_period,1)),'Budget Planning'!$E$9:$EM$9,0)))</f>
        <v>6000</v>
      </c>
      <c r="M28" s="61" cm="1">
        <f t="array" ref="M28">IF(is_cat,
    IF(header_row_id = income_header_row, MATCH(income_min_row, $C:$C, 0),
    IF(header_row_id = expenses_header_row, MATCH(expenses_min_row, $C:$C, 0),
    IF(header_row_id = savings_header_row, MATCH(savings_min_row, $C:$C, 0), ""))),
    "")</f>
        <v>20</v>
      </c>
      <c r="N28" s="62" cm="1">
        <f t="array" ref="N28">IF(is_cat,
    IF(header_row_id = income_header_row, MATCH(income_max_row, $C:$C, 0),
    IF(header_row_id = expenses_header_row, MATCH(expenses_max_row, $C:$C, 0),
    IF(header_row_id = savings_header_row, MATCH(savings_max_row, $C:$C, 0), ""))),
    "")</f>
        <v>28</v>
      </c>
      <c r="O28" s="64" t="str">
        <f t="shared" si="3"/>
        <v>$K$20:$K$28</v>
      </c>
      <c r="P28" s="61">
        <f t="shared" ca="1" si="4"/>
        <v>5</v>
      </c>
      <c r="Q28" s="61" t="str">
        <f t="shared" si="5"/>
        <v>$L$20:$L$28</v>
      </c>
      <c r="R28" s="62">
        <f t="shared" ca="1" si="6"/>
        <v>2</v>
      </c>
      <c r="S28" s="64">
        <f t="shared" ca="1" si="7"/>
        <v>52</v>
      </c>
      <c r="T28" s="61" t="str">
        <f t="shared" si="8"/>
        <v>$S$20:$S$28</v>
      </c>
      <c r="U28" s="61">
        <f t="shared" ca="1" si="9"/>
        <v>5</v>
      </c>
      <c r="V28" s="61" t="str">
        <f t="shared" si="10"/>
        <v>$U$20:$U$28</v>
      </c>
      <c r="W28" s="62">
        <f t="shared" ca="1" si="11"/>
        <v>5</v>
      </c>
      <c r="X28" s="63">
        <f t="shared" ca="1" si="12"/>
        <v>27</v>
      </c>
      <c r="Y28" s="65" t="str">
        <f t="shared" ca="1" si="13"/>
        <v>Meida</v>
      </c>
      <c r="Z28" s="66">
        <f t="shared" ca="1" si="14"/>
        <v>170</v>
      </c>
      <c r="AA28" s="66">
        <f t="shared" ca="1" si="15"/>
        <v>600</v>
      </c>
      <c r="AB28" s="67">
        <f t="shared" ca="1" si="16"/>
        <v>0.28333333333333333</v>
      </c>
      <c r="AC28" s="66">
        <f t="shared" ca="1" si="17"/>
        <v>430</v>
      </c>
      <c r="AD28" s="66">
        <f t="shared" ca="1" si="18"/>
        <v>0</v>
      </c>
      <c r="AF28" s="1"/>
      <c r="AG28" s="2"/>
      <c r="AH28" s="2"/>
      <c r="AI28" s="2"/>
      <c r="AJ28" s="2"/>
      <c r="AK28" s="35"/>
      <c r="AM28" s="1"/>
      <c r="AN28" s="2"/>
      <c r="AO28" s="2"/>
      <c r="AP28" s="2"/>
      <c r="AQ28" s="2"/>
      <c r="AR28" s="35"/>
    </row>
    <row r="29" spans="3:44" x14ac:dyDescent="0.3">
      <c r="C29" s="58" cm="1">
        <f t="array" ref="C29">IF(C28=-1, -1,
    IF(C28 &lt; income_max_row, C28 + 1,
        IF(C28 = income_max_row, income_total_row,
            IF(C28 = income_total_row, "/1",
                IF(C28 = "/1", expenses_header_row,
                    IF(C28 &lt; expenses_max_row, C28 + 1,
                        IF(C28 = expenses_max_row, expenses_row_total,
                            IF(C28 = expenses_row_total, "/2",
                                IF(C28 = "/2", savings_header_row,
                                    IF(C28 &lt; savings_max_row, C28 + 1,
                                        IF(C28 = savings_max_row, savings_total_row, -1)))))))))))</f>
        <v>33</v>
      </c>
      <c r="D29" s="59">
        <f t="shared" si="0"/>
        <v>22</v>
      </c>
      <c r="E29" s="58" cm="1">
        <f t="array" ref="E29">1*OR(row_id=income_header_row,row_id=expenses_header_row, row_id=savings_header_row)</f>
        <v>0</v>
      </c>
      <c r="F29">
        <f t="shared" si="1"/>
        <v>0</v>
      </c>
      <c r="G29" s="2" cm="1">
        <f t="array" ref="G29">1*OR(row_id=income_total_row,row_id=expenses_row_total,row_id=savings_total_row)</f>
        <v>1</v>
      </c>
      <c r="H29" s="59">
        <f t="shared" si="2"/>
        <v>0</v>
      </c>
      <c r="I29" s="58" t="str" cm="1">
        <f t="array" ref="I29">IFERROR(INDEX('Budget Planning'!$C:$C, header_row_id), "")</f>
        <v>Expenses</v>
      </c>
      <c r="J29" s="2" t="str" cm="1">
        <f t="array" ref="J29">IFERROR(INDEX('Budget Planning'!$C:$C, row_id), "")</f>
        <v>Total</v>
      </c>
      <c r="K29" s="61" cm="1">
        <f t="array" aca="1" ref="K29" ca="1">IF(OR(is_header, is_empty), "",
    IF(is_total,
        IF(selected_period="Total Year", SUM(Tracking[Amount] * (Tracking[Type]=type) * (YEAR(Tracking[Effective Date])=selected_year)), SUM(Tracking[Amount] * (Tracking[Type]=type) * (YEAR(Tracking[Effective Date])=selected_year) *(MONTH(Tracking[Effective Date])=selected_period) )),
        IF(selected_period="Total Year", SUM(Tracking[Amount] * (Tracking[Type]=type) * (Tracking[Category]=item) * (YEAR(Tracking[Effective Date])=selected_year)), SUM(Tracking[Amount] * (Tracking[Type]=type) * (Tracking[Category]=item) * (YEAR(Tracking[Effective Date])=selected_year)))
    )
)</f>
        <v>8030</v>
      </c>
      <c r="L29" s="62" cm="1">
        <f t="array" aca="1" ref="L29" ca="1">IF(OR(is_header,is_empty),"",INDEX('Budget Planning'!$E:$EM,row_id,MATCH(IF(selected_period="Total Year",selected_year,DATE(selected_year,selected_period,1)),'Budget Planning'!$E$9:$EM$9,0)))</f>
        <v>37800</v>
      </c>
      <c r="M29" s="61" t="str" cm="1">
        <f t="array" ref="M29">IF(is_cat,
    IF(header_row_id = income_header_row, MATCH(income_min_row, $C:$C, 0),
    IF(header_row_id = expenses_header_row, MATCH(expenses_min_row, $C:$C, 0),
    IF(header_row_id = savings_header_row, MATCH(savings_min_row, $C:$C, 0), ""))),
    "")</f>
        <v/>
      </c>
      <c r="N29" s="62" t="str" cm="1">
        <f t="array" ref="N29">IF(is_cat,
    IF(header_row_id = income_header_row, MATCH(income_max_row, $C:$C, 0),
    IF(header_row_id = expenses_header_row, MATCH(expenses_max_row, $C:$C, 0),
    IF(header_row_id = savings_header_row, MATCH(savings_max_row, $C:$C, 0), ""))),
    "")</f>
        <v/>
      </c>
      <c r="O29" s="64" t="str">
        <f t="shared" si="3"/>
        <v/>
      </c>
      <c r="P29" s="61" t="str">
        <f t="shared" ca="1" si="4"/>
        <v/>
      </c>
      <c r="Q29" s="61" t="str">
        <f t="shared" si="5"/>
        <v/>
      </c>
      <c r="R29" s="62" t="str">
        <f t="shared" ca="1" si="6"/>
        <v/>
      </c>
      <c r="S29" s="64" t="str">
        <f t="shared" si="7"/>
        <v/>
      </c>
      <c r="T29" s="61" t="str">
        <f t="shared" si="8"/>
        <v/>
      </c>
      <c r="U29" s="61" t="str">
        <f t="shared" ca="1" si="9"/>
        <v/>
      </c>
      <c r="V29" s="61" t="str">
        <f t="shared" si="10"/>
        <v/>
      </c>
      <c r="W29" s="62" t="str">
        <f t="shared" ca="1" si="11"/>
        <v/>
      </c>
      <c r="X29" s="63">
        <f t="shared" si="12"/>
        <v>33</v>
      </c>
      <c r="Y29" s="65" t="str">
        <f t="shared" ca="1" si="13"/>
        <v>Total</v>
      </c>
      <c r="Z29" s="66">
        <f t="shared" ca="1" si="14"/>
        <v>8030</v>
      </c>
      <c r="AA29" s="66">
        <f t="shared" ca="1" si="15"/>
        <v>37800</v>
      </c>
      <c r="AB29" s="67">
        <f t="shared" ca="1" si="16"/>
        <v>0.21243386243386245</v>
      </c>
      <c r="AC29" s="66">
        <f t="shared" ca="1" si="17"/>
        <v>29770</v>
      </c>
      <c r="AD29" s="66">
        <f t="shared" ca="1" si="18"/>
        <v>0</v>
      </c>
      <c r="AF29" s="1"/>
      <c r="AG29" s="2"/>
      <c r="AH29" s="2"/>
      <c r="AI29" s="94" t="str">
        <f ca="1">Calculations!I35</f>
        <v>Bond</v>
      </c>
      <c r="AJ29" s="95">
        <f ca="1">Calculations!J35</f>
        <v>2400</v>
      </c>
      <c r="AK29" s="35"/>
      <c r="AM29" s="1"/>
      <c r="AN29" s="2"/>
      <c r="AO29" s="2"/>
      <c r="AP29" s="94" t="str">
        <f ca="1">Calculations!M35</f>
        <v>Emergency fund</v>
      </c>
      <c r="AQ29" s="95">
        <f ca="1">Calculations!N35</f>
        <v>1140</v>
      </c>
      <c r="AR29" s="35"/>
    </row>
    <row r="30" spans="3:44" x14ac:dyDescent="0.3">
      <c r="C30" s="58" t="str" cm="1">
        <f t="array" ref="C30">IF(C29=-1, -1,
    IF(C29 &lt; income_max_row, C29 + 1,
        IF(C29 = income_max_row, income_total_row,
            IF(C29 = income_total_row, "/1",
                IF(C29 = "/1", expenses_header_row,
                    IF(C29 &lt; expenses_max_row, C29 + 1,
                        IF(C29 = expenses_max_row, expenses_row_total,
                            IF(C29 = expenses_row_total, "/2",
                                IF(C29 = "/2", savings_header_row,
                                    IF(C29 &lt; savings_max_row, C29 + 1,
                                        IF(C29 = savings_max_row, savings_total_row, -1)))))))))))</f>
        <v>/2</v>
      </c>
      <c r="D30" s="59">
        <f t="shared" si="0"/>
        <v>-1</v>
      </c>
      <c r="E30" s="58" cm="1">
        <f t="array" ref="E30">1*OR(row_id=income_header_row,row_id=expenses_header_row, row_id=savings_header_row)</f>
        <v>0</v>
      </c>
      <c r="F30">
        <f t="shared" si="1"/>
        <v>0</v>
      </c>
      <c r="G30" s="2" cm="1">
        <f t="array" ref="G30">1*OR(row_id=income_total_row,row_id=expenses_row_total,row_id=savings_total_row)</f>
        <v>0</v>
      </c>
      <c r="H30" s="59">
        <f t="shared" si="2"/>
        <v>1</v>
      </c>
      <c r="I30" s="58" t="str" cm="1">
        <f t="array" ref="I30">IFERROR(INDEX('Budget Planning'!$C:$C, header_row_id), "")</f>
        <v/>
      </c>
      <c r="J30" s="2" t="str" cm="1">
        <f t="array" ref="J30">IFERROR(INDEX('Budget Planning'!$C:$C, row_id), "")</f>
        <v/>
      </c>
      <c r="K30" s="61" t="str" cm="1">
        <f t="array" ref="K30">IF(OR(is_header, is_empty), "",
    IF(is_total,
        IF(selected_period="Total Year", SUM(Tracking[Amount] * (Tracking[Type]=type) * (YEAR(Tracking[Effective Date])=selected_year)), SUM(Tracking[Amount] * (Tracking[Type]=type) * (YEAR(Tracking[Effective Date])=selected_year) *(MONTH(Tracking[Effective Date])=selected_period) )),
        IF(selected_period="Total Year", SUM(Tracking[Amount] * (Tracking[Type]=type) * (Tracking[Category]=item) * (YEAR(Tracking[Effective Date])=selected_year)), SUM(Tracking[Amount] * (Tracking[Type]=type) * (Tracking[Category]=item) * (YEAR(Tracking[Effective Date])=selected_year)))
    )
)</f>
        <v/>
      </c>
      <c r="L30" s="62" t="str" cm="1">
        <f t="array" ref="L30">IF(OR(is_header,is_empty),"",INDEX('Budget Planning'!$E:$EM,row_id,MATCH(IF(selected_period="Total Year",selected_year,DATE(selected_year,selected_period,1)),'Budget Planning'!$E$9:$EM$9,0)))</f>
        <v/>
      </c>
      <c r="M30" s="61" t="str" cm="1">
        <f t="array" ref="M30">IF(is_cat,
    IF(header_row_id = income_header_row, MATCH(income_min_row, $C:$C, 0),
    IF(header_row_id = expenses_header_row, MATCH(expenses_min_row, $C:$C, 0),
    IF(header_row_id = savings_header_row, MATCH(savings_min_row, $C:$C, 0), ""))),
    "")</f>
        <v/>
      </c>
      <c r="N30" s="62" t="str" cm="1">
        <f t="array" ref="N30">IF(is_cat,
    IF(header_row_id = income_header_row, MATCH(income_max_row, $C:$C, 0),
    IF(header_row_id = expenses_header_row, MATCH(expenses_max_row, $C:$C, 0),
    IF(header_row_id = savings_header_row, MATCH(savings_max_row, $C:$C, 0), ""))),
    "")</f>
        <v/>
      </c>
      <c r="O30" s="64" t="str">
        <f t="shared" si="3"/>
        <v/>
      </c>
      <c r="P30" s="61" t="str">
        <f t="shared" ca="1" si="4"/>
        <v/>
      </c>
      <c r="Q30" s="61" t="str">
        <f t="shared" si="5"/>
        <v/>
      </c>
      <c r="R30" s="62" t="str">
        <f t="shared" ca="1" si="6"/>
        <v/>
      </c>
      <c r="S30" s="64" t="str">
        <f t="shared" si="7"/>
        <v/>
      </c>
      <c r="T30" s="61" t="str">
        <f t="shared" si="8"/>
        <v/>
      </c>
      <c r="U30" s="61" t="str">
        <f t="shared" ca="1" si="9"/>
        <v/>
      </c>
      <c r="V30" s="61" t="str">
        <f t="shared" si="10"/>
        <v/>
      </c>
      <c r="W30" s="62" t="str">
        <f t="shared" ca="1" si="11"/>
        <v/>
      </c>
      <c r="X30" s="63" t="str">
        <f t="shared" si="12"/>
        <v>/2</v>
      </c>
      <c r="Y30" s="65" t="str">
        <f t="shared" si="13"/>
        <v/>
      </c>
      <c r="Z30" s="66" t="str">
        <f t="shared" si="14"/>
        <v/>
      </c>
      <c r="AA30" s="66" t="str">
        <f t="shared" si="15"/>
        <v/>
      </c>
      <c r="AB30" s="67" t="str">
        <f t="shared" si="16"/>
        <v/>
      </c>
      <c r="AC30" s="66" t="str">
        <f t="shared" si="17"/>
        <v/>
      </c>
      <c r="AD30" s="66" t="str">
        <f t="shared" si="18"/>
        <v/>
      </c>
      <c r="AF30" s="1"/>
      <c r="AG30" s="2"/>
      <c r="AH30" s="2"/>
      <c r="AI30" s="94" t="str">
        <f ca="1">Calculations!I36</f>
        <v>Insurances</v>
      </c>
      <c r="AJ30" s="95">
        <f ca="1">Calculations!J36</f>
        <v>1350</v>
      </c>
      <c r="AK30" s="35"/>
      <c r="AM30" s="1"/>
      <c r="AN30" s="2"/>
      <c r="AO30" s="2"/>
      <c r="AP30" s="94" t="str">
        <f ca="1">Calculations!M36</f>
        <v>Retirement</v>
      </c>
      <c r="AQ30" s="95">
        <f ca="1">Calculations!N36</f>
        <v>800</v>
      </c>
      <c r="AR30" s="35"/>
    </row>
    <row r="31" spans="3:44" x14ac:dyDescent="0.3">
      <c r="C31" s="58" cm="1">
        <f t="array" ref="C31">IF(C30=-1, -1,
    IF(C30 &lt; income_max_row, C30 + 1,
        IF(C30 = income_max_row, income_total_row,
            IF(C30 = income_total_row, "/1",
                IF(C30 = "/1", expenses_header_row,
                    IF(C30 &lt; expenses_max_row, C30 + 1,
                        IF(C30 = expenses_max_row, expenses_row_total,
                            IF(C30 = expenses_row_total, "/2",
                                IF(C30 = "/2", savings_header_row,
                                    IF(C30 &lt; savings_max_row, C30 + 1,
                                        IF(C30 = savings_max_row, savings_total_row, -1)))))))))))</f>
        <v>39</v>
      </c>
      <c r="D31" s="59">
        <f t="shared" si="0"/>
        <v>39</v>
      </c>
      <c r="E31" s="58" cm="1">
        <f t="array" ref="E31">1*OR(row_id=income_header_row,row_id=expenses_header_row, row_id=savings_header_row)</f>
        <v>1</v>
      </c>
      <c r="F31">
        <f t="shared" si="1"/>
        <v>0</v>
      </c>
      <c r="G31" s="2" cm="1">
        <f t="array" ref="G31">1*OR(row_id=income_total_row,row_id=expenses_row_total,row_id=savings_total_row)</f>
        <v>0</v>
      </c>
      <c r="H31" s="59">
        <f t="shared" si="2"/>
        <v>0</v>
      </c>
      <c r="I31" s="58" t="str" cm="1">
        <f t="array" ref="I31">IFERROR(INDEX('Budget Planning'!$C:$C, header_row_id), "")</f>
        <v>Savings</v>
      </c>
      <c r="J31" s="2" t="str" cm="1">
        <f t="array" ref="J31">IFERROR(INDEX('Budget Planning'!$C:$C, row_id), "")</f>
        <v>Savings</v>
      </c>
      <c r="K31" s="61" t="str" cm="1">
        <f t="array" ref="K31">IF(OR(is_header, is_empty), "",
    IF(is_total,
        IF(selected_period="Total Year", SUM(Tracking[Amount] * (Tracking[Type]=type) * (YEAR(Tracking[Effective Date])=selected_year)), SUM(Tracking[Amount] * (Tracking[Type]=type) * (YEAR(Tracking[Effective Date])=selected_year) *(MONTH(Tracking[Effective Date])=selected_period) )),
        IF(selected_period="Total Year", SUM(Tracking[Amount] * (Tracking[Type]=type) * (Tracking[Category]=item) * (YEAR(Tracking[Effective Date])=selected_year)), SUM(Tracking[Amount] * (Tracking[Type]=type) * (Tracking[Category]=item) * (YEAR(Tracking[Effective Date])=selected_year)))
    )
)</f>
        <v/>
      </c>
      <c r="L31" s="62" t="str" cm="1">
        <f t="array" ref="L31">IF(OR(is_header,is_empty),"",INDEX('Budget Planning'!$E:$EM,row_id,MATCH(IF(selected_period="Total Year",selected_year,DATE(selected_year,selected_period,1)),'Budget Planning'!$E$9:$EM$9,0)))</f>
        <v/>
      </c>
      <c r="M31" s="61" t="str" cm="1">
        <f t="array" ref="M31">IF(is_cat,
    IF(header_row_id = income_header_row, MATCH(income_min_row, $C:$C, 0),
    IF(header_row_id = expenses_header_row, MATCH(expenses_min_row, $C:$C, 0),
    IF(header_row_id = savings_header_row, MATCH(savings_min_row, $C:$C, 0), ""))),
    "")</f>
        <v/>
      </c>
      <c r="N31" s="62" t="str" cm="1">
        <f t="array" ref="N31">IF(is_cat,
    IF(header_row_id = income_header_row, MATCH(income_max_row, $C:$C, 0),
    IF(header_row_id = expenses_header_row, MATCH(expenses_max_row, $C:$C, 0),
    IF(header_row_id = savings_header_row, MATCH(savings_max_row, $C:$C, 0), ""))),
    "")</f>
        <v/>
      </c>
      <c r="O31" s="64" t="str">
        <f t="shared" si="3"/>
        <v/>
      </c>
      <c r="P31" s="61" t="str">
        <f t="shared" ca="1" si="4"/>
        <v/>
      </c>
      <c r="Q31" s="61" t="str">
        <f t="shared" si="5"/>
        <v/>
      </c>
      <c r="R31" s="62" t="str">
        <f t="shared" ca="1" si="6"/>
        <v/>
      </c>
      <c r="S31" s="64" t="str">
        <f t="shared" si="7"/>
        <v/>
      </c>
      <c r="T31" s="61" t="str">
        <f t="shared" si="8"/>
        <v/>
      </c>
      <c r="U31" s="61" t="str">
        <f t="shared" ca="1" si="9"/>
        <v/>
      </c>
      <c r="V31" s="61" t="str">
        <f t="shared" si="10"/>
        <v/>
      </c>
      <c r="W31" s="62" t="str">
        <f t="shared" ca="1" si="11"/>
        <v/>
      </c>
      <c r="X31" s="63">
        <f t="shared" si="12"/>
        <v>39</v>
      </c>
      <c r="Y31" s="65" t="str">
        <f t="shared" ca="1" si="13"/>
        <v>Savings</v>
      </c>
      <c r="Z31" s="66" t="str">
        <f t="shared" si="14"/>
        <v>Tracked</v>
      </c>
      <c r="AA31" s="66" t="str">
        <f t="shared" si="15"/>
        <v>Budget</v>
      </c>
      <c r="AB31" s="67" t="str">
        <f t="shared" si="16"/>
        <v>%Compl.</v>
      </c>
      <c r="AC31" s="66" t="str">
        <f t="shared" si="17"/>
        <v>Remaining</v>
      </c>
      <c r="AD31" s="66" t="str">
        <f t="shared" si="18"/>
        <v>Excess</v>
      </c>
      <c r="AF31" s="1"/>
      <c r="AG31" s="2"/>
      <c r="AH31" s="2"/>
      <c r="AI31" s="94" t="str">
        <f ca="1">Calculations!I37</f>
        <v>Groceries</v>
      </c>
      <c r="AJ31" s="95">
        <f ca="1">Calculations!J37</f>
        <v>1100</v>
      </c>
      <c r="AK31" s="35"/>
      <c r="AM31" s="1"/>
      <c r="AN31" s="2"/>
      <c r="AO31" s="2"/>
      <c r="AP31" s="94" t="str">
        <f ca="1">Calculations!M37</f>
        <v>Stock Portfolio</v>
      </c>
      <c r="AQ31" s="95">
        <f ca="1">Calculations!N37</f>
        <v>750</v>
      </c>
      <c r="AR31" s="35"/>
    </row>
    <row r="32" spans="3:44" x14ac:dyDescent="0.3">
      <c r="C32" s="58" cm="1">
        <f t="array" ref="C32">IF(C31=-1, -1,
    IF(C31 &lt; income_max_row, C31 + 1,
        IF(C31 = income_max_row, income_total_row,
            IF(C31 = income_total_row, "/1",
                IF(C31 = "/1", expenses_header_row,
                    IF(C31 &lt; expenses_max_row, C31 + 1,
                        IF(C31 = expenses_max_row, expenses_row_total,
                            IF(C31 = expenses_row_total, "/2",
                                IF(C31 = "/2", savings_header_row,
                                    IF(C31 &lt; savings_max_row, C31 + 1,
                                        IF(C31 = savings_max_row, savings_total_row, -1)))))))))))</f>
        <v>40</v>
      </c>
      <c r="D32" s="59">
        <f t="shared" si="0"/>
        <v>39</v>
      </c>
      <c r="E32" s="58" cm="1">
        <f t="array" ref="E32">1*OR(row_id=income_header_row,row_id=expenses_header_row, row_id=savings_header_row)</f>
        <v>0</v>
      </c>
      <c r="F32">
        <f t="shared" si="1"/>
        <v>1</v>
      </c>
      <c r="G32" s="2" cm="1">
        <f t="array" ref="G32">1*OR(row_id=income_total_row,row_id=expenses_row_total,row_id=savings_total_row)</f>
        <v>0</v>
      </c>
      <c r="H32" s="59">
        <f t="shared" si="2"/>
        <v>0</v>
      </c>
      <c r="I32" s="58" t="str" cm="1">
        <f t="array" ref="I32">IFERROR(INDEX('Budget Planning'!$C:$C, header_row_id), "")</f>
        <v>Savings</v>
      </c>
      <c r="J32" s="2" t="str" cm="1">
        <f t="array" ref="J32">IFERROR(INDEX('Budget Planning'!$C:$C, row_id), "")</f>
        <v>Emergency fund</v>
      </c>
      <c r="K32" s="61" cm="1">
        <f t="array" aca="1" ref="K32" ca="1">IF(OR(is_header, is_empty), "",
    IF(is_total,
        IF(selected_period="Total Year", SUM(Tracking[Amount] * (Tracking[Type]=type) * (YEAR(Tracking[Effective Date])=selected_year)), SUM(Tracking[Amount] * (Tracking[Type]=type) * (YEAR(Tracking[Effective Date])=selected_year) *(MONTH(Tracking[Effective Date])=selected_period) )),
        IF(selected_period="Total Year", SUM(Tracking[Amount] * (Tracking[Type]=type) * (Tracking[Category]=item) * (YEAR(Tracking[Effective Date])=selected_year)), SUM(Tracking[Amount] * (Tracking[Type]=type) * (Tracking[Category]=item) * (YEAR(Tracking[Effective Date])=selected_year)))
    )
)</f>
        <v>1140</v>
      </c>
      <c r="L32" s="62" cm="1">
        <f t="array" aca="1" ref="L32" ca="1">IF(OR(is_header,is_empty),"",INDEX('Budget Planning'!$E:$EM,row_id,MATCH(IF(selected_period="Total Year",selected_year,DATE(selected_year,selected_period,1)),'Budget Planning'!$E$9:$EM$9,0)))</f>
        <v>3000</v>
      </c>
      <c r="M32" s="61" cm="1">
        <f t="array" ref="M32">IF(is_cat,
    IF(header_row_id = income_header_row, MATCH(income_min_row, $C:$C, 0),
    IF(header_row_id = expenses_header_row, MATCH(expenses_min_row, $C:$C, 0),
    IF(header_row_id = savings_header_row, MATCH(savings_min_row, $C:$C, 0), ""))),
    "")</f>
        <v>32</v>
      </c>
      <c r="N32" s="62" cm="1">
        <f t="array" ref="N32">IF(is_cat,
    IF(header_row_id = income_header_row, MATCH(income_max_row, $C:$C, 0),
    IF(header_row_id = expenses_header_row, MATCH(expenses_max_row, $C:$C, 0),
    IF(header_row_id = savings_header_row, MATCH(savings_max_row, $C:$C, 0), ""))),
    "")</f>
        <v>36</v>
      </c>
      <c r="O32" s="64" t="str">
        <f t="shared" si="3"/>
        <v>$K$32:$K$36</v>
      </c>
      <c r="P32" s="61">
        <f t="shared" ca="1" si="4"/>
        <v>1</v>
      </c>
      <c r="Q32" s="61" t="str">
        <f t="shared" si="5"/>
        <v>$L$32:$L$36</v>
      </c>
      <c r="R32" s="62">
        <f t="shared" ca="1" si="6"/>
        <v>4</v>
      </c>
      <c r="S32" s="64">
        <f t="shared" ca="1" si="7"/>
        <v>14</v>
      </c>
      <c r="T32" s="61" t="str">
        <f t="shared" si="8"/>
        <v>$S$32:$S$36</v>
      </c>
      <c r="U32" s="61">
        <f t="shared" ca="1" si="9"/>
        <v>1</v>
      </c>
      <c r="V32" s="61" t="str">
        <f t="shared" si="10"/>
        <v>$U$32:$U$32</v>
      </c>
      <c r="W32" s="62">
        <f t="shared" ca="1" si="11"/>
        <v>1</v>
      </c>
      <c r="X32" s="63">
        <f t="shared" ca="1" si="12"/>
        <v>40</v>
      </c>
      <c r="Y32" s="65" t="str">
        <f t="shared" ca="1" si="13"/>
        <v>Emergency fund</v>
      </c>
      <c r="Z32" s="66">
        <f t="shared" ca="1" si="14"/>
        <v>1140</v>
      </c>
      <c r="AA32" s="66">
        <f t="shared" ca="1" si="15"/>
        <v>3000</v>
      </c>
      <c r="AB32" s="67">
        <f t="shared" ca="1" si="16"/>
        <v>0.38</v>
      </c>
      <c r="AC32" s="66">
        <f t="shared" ca="1" si="17"/>
        <v>1860</v>
      </c>
      <c r="AD32" s="66">
        <f t="shared" ca="1" si="18"/>
        <v>0</v>
      </c>
      <c r="AF32" s="1"/>
      <c r="AG32" s="2"/>
      <c r="AH32" s="2"/>
      <c r="AI32" s="94" t="str">
        <f ca="1">Calculations!I38</f>
        <v>Levy</v>
      </c>
      <c r="AJ32" s="95">
        <f ca="1">Calculations!J38</f>
        <v>900</v>
      </c>
      <c r="AK32" s="35"/>
      <c r="AM32" s="1"/>
      <c r="AN32" s="2"/>
      <c r="AO32" s="2"/>
      <c r="AP32" s="94" t="str">
        <f ca="1">Calculations!M38</f>
        <v>Sinking fund rest</v>
      </c>
      <c r="AQ32" s="95">
        <f ca="1">Calculations!N38</f>
        <v>400</v>
      </c>
      <c r="AR32" s="35"/>
    </row>
    <row r="33" spans="3:44" x14ac:dyDescent="0.3">
      <c r="C33" s="58" cm="1">
        <f t="array" ref="C33">IF(C32=-1, -1,
    IF(C32 &lt; income_max_row, C32 + 1,
        IF(C32 = income_max_row, income_total_row,
            IF(C32 = income_total_row, "/1",
                IF(C32 = "/1", expenses_header_row,
                    IF(C32 &lt; expenses_max_row, C32 + 1,
                        IF(C32 = expenses_max_row, expenses_row_total,
                            IF(C32 = expenses_row_total, "/2",
                                IF(C32 = "/2", savings_header_row,
                                    IF(C32 &lt; savings_max_row, C32 + 1,
                                        IF(C32 = savings_max_row, savings_total_row, -1)))))))))))</f>
        <v>41</v>
      </c>
      <c r="D33" s="59">
        <f t="shared" si="0"/>
        <v>39</v>
      </c>
      <c r="E33" s="58" cm="1">
        <f t="array" ref="E33">1*OR(row_id=income_header_row,row_id=expenses_header_row, row_id=savings_header_row)</f>
        <v>0</v>
      </c>
      <c r="F33">
        <f t="shared" si="1"/>
        <v>1</v>
      </c>
      <c r="G33" s="2" cm="1">
        <f t="array" ref="G33">1*OR(row_id=income_total_row,row_id=expenses_row_total,row_id=savings_total_row)</f>
        <v>0</v>
      </c>
      <c r="H33" s="59">
        <f t="shared" si="2"/>
        <v>0</v>
      </c>
      <c r="I33" s="58" t="str" cm="1">
        <f t="array" ref="I33">IFERROR(INDEX('Budget Planning'!$C:$C, header_row_id), "")</f>
        <v>Savings</v>
      </c>
      <c r="J33" s="2" t="str" cm="1">
        <f t="array" ref="J33">IFERROR(INDEX('Budget Planning'!$C:$C, row_id), "")</f>
        <v>Retirement</v>
      </c>
      <c r="K33" s="61" cm="1">
        <f t="array" aca="1" ref="K33" ca="1">IF(OR(is_header, is_empty), "",
    IF(is_total,
        IF(selected_period="Total Year", SUM(Tracking[Amount] * (Tracking[Type]=type) * (YEAR(Tracking[Effective Date])=selected_year)), SUM(Tracking[Amount] * (Tracking[Type]=type) * (YEAR(Tracking[Effective Date])=selected_year) *(MONTH(Tracking[Effective Date])=selected_period) )),
        IF(selected_period="Total Year", SUM(Tracking[Amount] * (Tracking[Type]=type) * (Tracking[Category]=item) * (YEAR(Tracking[Effective Date])=selected_year)), SUM(Tracking[Amount] * (Tracking[Type]=type) * (Tracking[Category]=item) * (YEAR(Tracking[Effective Date])=selected_year)))
    )
)</f>
        <v>800</v>
      </c>
      <c r="L33" s="62" cm="1">
        <f t="array" aca="1" ref="L33" ca="1">IF(OR(is_header,is_empty),"",INDEX('Budget Planning'!$E:$EM,row_id,MATCH(IF(selected_period="Total Year",selected_year,DATE(selected_year,selected_period,1)),'Budget Planning'!$E$9:$EM$9,0)))</f>
        <v>4800</v>
      </c>
      <c r="M33" s="61" cm="1">
        <f t="array" ref="M33">IF(is_cat,
    IF(header_row_id = income_header_row, MATCH(income_min_row, $C:$C, 0),
    IF(header_row_id = expenses_header_row, MATCH(expenses_min_row, $C:$C, 0),
    IF(header_row_id = savings_header_row, MATCH(savings_min_row, $C:$C, 0), ""))),
    "")</f>
        <v>32</v>
      </c>
      <c r="N33" s="62" cm="1">
        <f t="array" ref="N33">IF(is_cat,
    IF(header_row_id = income_header_row, MATCH(income_max_row, $C:$C, 0),
    IF(header_row_id = expenses_header_row, MATCH(expenses_max_row, $C:$C, 0),
    IF(header_row_id = savings_header_row, MATCH(savings_max_row, $C:$C, 0), ""))),
    "")</f>
        <v>36</v>
      </c>
      <c r="O33" s="64" t="str">
        <f t="shared" si="3"/>
        <v>$K$32:$K$36</v>
      </c>
      <c r="P33" s="61">
        <f t="shared" ca="1" si="4"/>
        <v>2</v>
      </c>
      <c r="Q33" s="61" t="str">
        <f t="shared" si="5"/>
        <v>$L$32:$L$36</v>
      </c>
      <c r="R33" s="62">
        <f t="shared" ca="1" si="6"/>
        <v>3</v>
      </c>
      <c r="S33" s="64">
        <f t="shared" ca="1" si="7"/>
        <v>23</v>
      </c>
      <c r="T33" s="61" t="str">
        <f t="shared" si="8"/>
        <v>$S$32:$S$36</v>
      </c>
      <c r="U33" s="61">
        <f t="shared" ca="1" si="9"/>
        <v>2</v>
      </c>
      <c r="V33" s="61" t="str">
        <f t="shared" si="10"/>
        <v>$U$32:$U$33</v>
      </c>
      <c r="W33" s="62">
        <f t="shared" ca="1" si="11"/>
        <v>2</v>
      </c>
      <c r="X33" s="63">
        <f t="shared" ca="1" si="12"/>
        <v>41</v>
      </c>
      <c r="Y33" s="65" t="str">
        <f t="shared" ca="1" si="13"/>
        <v>Retirement</v>
      </c>
      <c r="Z33" s="66">
        <f t="shared" ca="1" si="14"/>
        <v>800</v>
      </c>
      <c r="AA33" s="66">
        <f t="shared" ca="1" si="15"/>
        <v>4800</v>
      </c>
      <c r="AB33" s="67">
        <f t="shared" ca="1" si="16"/>
        <v>0.16666666666666666</v>
      </c>
      <c r="AC33" s="66">
        <f t="shared" ca="1" si="17"/>
        <v>4000</v>
      </c>
      <c r="AD33" s="66">
        <f t="shared" ca="1" si="18"/>
        <v>0</v>
      </c>
      <c r="AF33" s="1"/>
      <c r="AG33" s="2"/>
      <c r="AH33" s="2"/>
      <c r="AI33" s="98" t="str">
        <f ca="1">Calculations!I39</f>
        <v>Fun &amp; Holidays</v>
      </c>
      <c r="AJ33" s="95">
        <f ca="1">Calculations!J39</f>
        <v>730</v>
      </c>
      <c r="AK33" s="35"/>
      <c r="AM33" s="1"/>
      <c r="AN33" s="2"/>
      <c r="AO33" s="2"/>
      <c r="AP33" s="94" t="str">
        <f ca="1">Calculations!M39</f>
        <v/>
      </c>
      <c r="AQ33" s="95" t="str">
        <f ca="1">Calculations!N39</f>
        <v/>
      </c>
      <c r="AR33" s="35"/>
    </row>
    <row r="34" spans="3:44" x14ac:dyDescent="0.3">
      <c r="C34" s="58" cm="1">
        <f t="array" ref="C34">IF(C33=-1, -1,
    IF(C33 &lt; income_max_row, C33 + 1,
        IF(C33 = income_max_row, income_total_row,
            IF(C33 = income_total_row, "/1",
                IF(C33 = "/1", expenses_header_row,
                    IF(C33 &lt; expenses_max_row, C33 + 1,
                        IF(C33 = expenses_max_row, expenses_row_total,
                            IF(C33 = expenses_row_total, "/2",
                                IF(C33 = "/2", savings_header_row,
                                    IF(C33 &lt; savings_max_row, C33 + 1,
                                        IF(C33 = savings_max_row, savings_total_row, -1)))))))))))</f>
        <v>42</v>
      </c>
      <c r="D34" s="59">
        <f t="shared" si="0"/>
        <v>39</v>
      </c>
      <c r="E34" s="58" cm="1">
        <f t="array" ref="E34">1*OR(row_id=income_header_row,row_id=expenses_header_row, row_id=savings_header_row)</f>
        <v>0</v>
      </c>
      <c r="F34">
        <f t="shared" si="1"/>
        <v>1</v>
      </c>
      <c r="G34" s="2" cm="1">
        <f t="array" ref="G34">1*OR(row_id=income_total_row,row_id=expenses_row_total,row_id=savings_total_row)</f>
        <v>0</v>
      </c>
      <c r="H34" s="59">
        <f t="shared" si="2"/>
        <v>0</v>
      </c>
      <c r="I34" s="58" t="str" cm="1">
        <f t="array" ref="I34">IFERROR(INDEX('Budget Planning'!$C:$C, header_row_id), "")</f>
        <v>Savings</v>
      </c>
      <c r="J34" s="2" t="str" cm="1">
        <f t="array" ref="J34">IFERROR(INDEX('Budget Planning'!$C:$C, row_id), "")</f>
        <v>Stock Portfolio</v>
      </c>
      <c r="K34" s="61" cm="1">
        <f t="array" aca="1" ref="K34" ca="1">IF(OR(is_header, is_empty), "",
    IF(is_total,
        IF(selected_period="Total Year", SUM(Tracking[Amount] * (Tracking[Type]=type) * (YEAR(Tracking[Effective Date])=selected_year)), SUM(Tracking[Amount] * (Tracking[Type]=type) * (YEAR(Tracking[Effective Date])=selected_year) *(MONTH(Tracking[Effective Date])=selected_period) )),
        IF(selected_period="Total Year", SUM(Tracking[Amount] * (Tracking[Type]=type) * (Tracking[Category]=item) * (YEAR(Tracking[Effective Date])=selected_year)), SUM(Tracking[Amount] * (Tracking[Type]=type) * (Tracking[Category]=item) * (YEAR(Tracking[Effective Date])=selected_year)))
    )
)</f>
        <v>750</v>
      </c>
      <c r="L34" s="62" cm="1">
        <f t="array" aca="1" ref="L34" ca="1">IF(OR(is_header,is_empty),"",INDEX('Budget Planning'!$E:$EM,row_id,MATCH(IF(selected_period="Total Year",selected_year,DATE(selected_year,selected_period,1)),'Budget Planning'!$E$9:$EM$9,0)))</f>
        <v>7200</v>
      </c>
      <c r="M34" s="61" cm="1">
        <f t="array" ref="M34">IF(is_cat,
    IF(header_row_id = income_header_row, MATCH(income_min_row, $C:$C, 0),
    IF(header_row_id = expenses_header_row, MATCH(expenses_min_row, $C:$C, 0),
    IF(header_row_id = savings_header_row, MATCH(savings_min_row, $C:$C, 0), ""))),
    "")</f>
        <v>32</v>
      </c>
      <c r="N34" s="62" cm="1">
        <f t="array" ref="N34">IF(is_cat,
    IF(header_row_id = income_header_row, MATCH(income_max_row, $C:$C, 0),
    IF(header_row_id = expenses_header_row, MATCH(expenses_max_row, $C:$C, 0),
    IF(header_row_id = savings_header_row, MATCH(savings_max_row, $C:$C, 0), ""))),
    "")</f>
        <v>36</v>
      </c>
      <c r="O34" s="64" t="str">
        <f t="shared" si="3"/>
        <v>$K$32:$K$36</v>
      </c>
      <c r="P34" s="61">
        <f t="shared" ca="1" si="4"/>
        <v>3</v>
      </c>
      <c r="Q34" s="61" t="str">
        <f t="shared" si="5"/>
        <v>$L$32:$L$36</v>
      </c>
      <c r="R34" s="62">
        <f t="shared" ca="1" si="6"/>
        <v>2</v>
      </c>
      <c r="S34" s="64">
        <f t="shared" ca="1" si="7"/>
        <v>32</v>
      </c>
      <c r="T34" s="61" t="str">
        <f t="shared" si="8"/>
        <v>$S$32:$S$36</v>
      </c>
      <c r="U34" s="61">
        <f t="shared" ca="1" si="9"/>
        <v>3</v>
      </c>
      <c r="V34" s="61" t="str">
        <f t="shared" si="10"/>
        <v>$U$32:$U$34</v>
      </c>
      <c r="W34" s="62">
        <f t="shared" ca="1" si="11"/>
        <v>3</v>
      </c>
      <c r="X34" s="63">
        <f t="shared" ca="1" si="12"/>
        <v>42</v>
      </c>
      <c r="Y34" s="65" t="str">
        <f t="shared" ca="1" si="13"/>
        <v>Stock Portfolio</v>
      </c>
      <c r="Z34" s="66">
        <f t="shared" ca="1" si="14"/>
        <v>750</v>
      </c>
      <c r="AA34" s="66">
        <f t="shared" ca="1" si="15"/>
        <v>7200</v>
      </c>
      <c r="AB34" s="67">
        <f t="shared" ca="1" si="16"/>
        <v>0.10416666666666667</v>
      </c>
      <c r="AC34" s="66">
        <f t="shared" ca="1" si="17"/>
        <v>6450</v>
      </c>
      <c r="AD34" s="66">
        <f t="shared" ca="1" si="18"/>
        <v>0</v>
      </c>
      <c r="AF34" s="1"/>
      <c r="AG34" s="2"/>
      <c r="AH34" s="2"/>
      <c r="AI34" s="94" t="str">
        <f ca="1">Calculations!I40</f>
        <v>Other</v>
      </c>
      <c r="AJ34" s="95">
        <f ca="1">Calculations!J40</f>
        <v>1550</v>
      </c>
      <c r="AK34" s="35"/>
      <c r="AM34" s="1"/>
      <c r="AN34" s="2"/>
      <c r="AO34" s="2"/>
      <c r="AP34" s="94" t="str">
        <f ca="1">Calculations!M40</f>
        <v>Other</v>
      </c>
      <c r="AQ34" s="95">
        <f ca="1">Calculations!N40</f>
        <v>0</v>
      </c>
      <c r="AR34" s="35"/>
    </row>
    <row r="35" spans="3:44" x14ac:dyDescent="0.3">
      <c r="C35" s="58" cm="1">
        <f t="array" ref="C35">IF(C34=-1, -1,
    IF(C34 &lt; income_max_row, C34 + 1,
        IF(C34 = income_max_row, income_total_row,
            IF(C34 = income_total_row, "/1",
                IF(C34 = "/1", expenses_header_row,
                    IF(C34 &lt; expenses_max_row, C34 + 1,
                        IF(C34 = expenses_max_row, expenses_row_total,
                            IF(C34 = expenses_row_total, "/2",
                                IF(C34 = "/2", savings_header_row,
                                    IF(C34 &lt; savings_max_row, C34 + 1,
                                        IF(C34 = savings_max_row, savings_total_row, -1)))))))))))</f>
        <v>43</v>
      </c>
      <c r="D35" s="59">
        <f t="shared" si="0"/>
        <v>39</v>
      </c>
      <c r="E35" s="58" cm="1">
        <f t="array" ref="E35">1*OR(row_id=income_header_row,row_id=expenses_header_row, row_id=savings_header_row)</f>
        <v>0</v>
      </c>
      <c r="F35">
        <f t="shared" si="1"/>
        <v>1</v>
      </c>
      <c r="G35" s="2" cm="1">
        <f t="array" ref="G35">1*OR(row_id=income_total_row,row_id=expenses_row_total,row_id=savings_total_row)</f>
        <v>0</v>
      </c>
      <c r="H35" s="59">
        <f t="shared" si="2"/>
        <v>0</v>
      </c>
      <c r="I35" s="58" t="str" cm="1">
        <f t="array" ref="I35">IFERROR(INDEX('Budget Planning'!$C:$C, header_row_id), "")</f>
        <v>Savings</v>
      </c>
      <c r="J35" s="2" t="str" cm="1">
        <f t="array" ref="J35">IFERROR(INDEX('Budget Planning'!$C:$C, row_id), "")</f>
        <v>Sinking fund down payment</v>
      </c>
      <c r="K35" s="61" cm="1">
        <f t="array" aca="1" ref="K35" ca="1">IF(OR(is_header, is_empty), "",
    IF(is_total,
        IF(selected_period="Total Year", SUM(Tracking[Amount] * (Tracking[Type]=type) * (YEAR(Tracking[Effective Date])=selected_year)), SUM(Tracking[Amount] * (Tracking[Type]=type) * (YEAR(Tracking[Effective Date])=selected_year) *(MONTH(Tracking[Effective Date])=selected_period) )),
        IF(selected_period="Total Year", SUM(Tracking[Amount] * (Tracking[Type]=type) * (Tracking[Category]=item) * (YEAR(Tracking[Effective Date])=selected_year)), SUM(Tracking[Amount] * (Tracking[Type]=type) * (Tracking[Category]=item) * (YEAR(Tracking[Effective Date])=selected_year)))
    )
)</f>
        <v>0</v>
      </c>
      <c r="L35" s="62" cm="1">
        <f t="array" aca="1" ref="L35" ca="1">IF(OR(is_header,is_empty),"",INDEX('Budget Planning'!$E:$EM,row_id,MATCH(IF(selected_period="Total Year",selected_year,DATE(selected_year,selected_period,1)),'Budget Planning'!$E$9:$EM$9,0)))</f>
        <v>10200</v>
      </c>
      <c r="M35" s="61" cm="1">
        <f t="array" ref="M35">IF(is_cat,
    IF(header_row_id = income_header_row, MATCH(income_min_row, $C:$C, 0),
    IF(header_row_id = expenses_header_row, MATCH(expenses_min_row, $C:$C, 0),
    IF(header_row_id = savings_header_row, MATCH(savings_min_row, $C:$C, 0), ""))),
    "")</f>
        <v>32</v>
      </c>
      <c r="N35" s="62" cm="1">
        <f t="array" ref="N35">IF(is_cat,
    IF(header_row_id = income_header_row, MATCH(income_max_row, $C:$C, 0),
    IF(header_row_id = expenses_header_row, MATCH(expenses_max_row, $C:$C, 0),
    IF(header_row_id = savings_header_row, MATCH(savings_max_row, $C:$C, 0), ""))),
    "")</f>
        <v>36</v>
      </c>
      <c r="O35" s="64" t="str">
        <f t="shared" si="3"/>
        <v>$K$32:$K$36</v>
      </c>
      <c r="P35" s="61">
        <f t="shared" ca="1" si="4"/>
        <v>5</v>
      </c>
      <c r="Q35" s="61" t="str">
        <f t="shared" si="5"/>
        <v>$L$32:$L$36</v>
      </c>
      <c r="R35" s="62">
        <f t="shared" ca="1" si="6"/>
        <v>1</v>
      </c>
      <c r="S35" s="64">
        <f t="shared" ca="1" si="7"/>
        <v>51</v>
      </c>
      <c r="T35" s="61" t="str">
        <f t="shared" si="8"/>
        <v>$S$32:$S$36</v>
      </c>
      <c r="U35" s="61">
        <f t="shared" ca="1" si="9"/>
        <v>5</v>
      </c>
      <c r="V35" s="61" t="str">
        <f t="shared" si="10"/>
        <v>$U$32:$U$35</v>
      </c>
      <c r="W35" s="62">
        <f t="shared" ca="1" si="11"/>
        <v>5</v>
      </c>
      <c r="X35" s="63">
        <f t="shared" ca="1" si="12"/>
        <v>44</v>
      </c>
      <c r="Y35" s="65" t="str">
        <f t="shared" ca="1" si="13"/>
        <v>Sinking fund rest</v>
      </c>
      <c r="Z35" s="66">
        <f t="shared" ca="1" si="14"/>
        <v>400</v>
      </c>
      <c r="AA35" s="66">
        <f t="shared" ca="1" si="15"/>
        <v>1200</v>
      </c>
      <c r="AB35" s="67">
        <f t="shared" ca="1" si="16"/>
        <v>0.33333333333333331</v>
      </c>
      <c r="AC35" s="66">
        <f t="shared" ca="1" si="17"/>
        <v>800</v>
      </c>
      <c r="AD35" s="66">
        <f t="shared" ca="1" si="18"/>
        <v>0</v>
      </c>
      <c r="AF35" s="1"/>
      <c r="AG35" s="2"/>
      <c r="AH35" s="2"/>
      <c r="AI35" s="96" t="str">
        <f>Calculations!I41</f>
        <v>Total</v>
      </c>
      <c r="AJ35" s="97">
        <f ca="1">Calculations!J41</f>
        <v>8030</v>
      </c>
      <c r="AK35" s="35"/>
      <c r="AM35" s="1"/>
      <c r="AN35" s="2"/>
      <c r="AO35" s="2"/>
      <c r="AP35" s="96" t="str">
        <f>Calculations!M41</f>
        <v>Total</v>
      </c>
      <c r="AQ35" s="97">
        <f ca="1">Calculations!N41</f>
        <v>3090</v>
      </c>
      <c r="AR35" s="35"/>
    </row>
    <row r="36" spans="3:44" x14ac:dyDescent="0.3">
      <c r="C36" s="58" cm="1">
        <f t="array" ref="C36">IF(C35=-1, -1,
    IF(C35 &lt; income_max_row, C35 + 1,
        IF(C35 = income_max_row, income_total_row,
            IF(C35 = income_total_row, "/1",
                IF(C35 = "/1", expenses_header_row,
                    IF(C35 &lt; expenses_max_row, C35 + 1,
                        IF(C35 = expenses_max_row, expenses_row_total,
                            IF(C35 = expenses_row_total, "/2",
                                IF(C35 = "/2", savings_header_row,
                                    IF(C35 &lt; savings_max_row, C35 + 1,
                                        IF(C35 = savings_max_row, savings_total_row, -1)))))))))))</f>
        <v>44</v>
      </c>
      <c r="D36" s="59">
        <f t="shared" si="0"/>
        <v>39</v>
      </c>
      <c r="E36" s="58" cm="1">
        <f t="array" ref="E36">1*OR(row_id=income_header_row,row_id=expenses_header_row, row_id=savings_header_row)</f>
        <v>0</v>
      </c>
      <c r="F36">
        <f t="shared" si="1"/>
        <v>1</v>
      </c>
      <c r="G36" s="2" cm="1">
        <f t="array" ref="G36">1*OR(row_id=income_total_row,row_id=expenses_row_total,row_id=savings_total_row)</f>
        <v>0</v>
      </c>
      <c r="H36" s="59">
        <f t="shared" si="2"/>
        <v>0</v>
      </c>
      <c r="I36" s="58" t="str" cm="1">
        <f t="array" ref="I36">IFERROR(INDEX('Budget Planning'!$C:$C, header_row_id), "")</f>
        <v>Savings</v>
      </c>
      <c r="J36" s="2" t="str" cm="1">
        <f t="array" ref="J36">IFERROR(INDEX('Budget Planning'!$C:$C, row_id), "")</f>
        <v>Sinking fund rest</v>
      </c>
      <c r="K36" s="61" cm="1">
        <f t="array" aca="1" ref="K36" ca="1">IF(OR(is_header, is_empty), "",
    IF(is_total,
        IF(selected_period="Total Year", SUM(Tracking[Amount] * (Tracking[Type]=type) * (YEAR(Tracking[Effective Date])=selected_year)), SUM(Tracking[Amount] * (Tracking[Type]=type) * (YEAR(Tracking[Effective Date])=selected_year) *(MONTH(Tracking[Effective Date])=selected_period) )),
        IF(selected_period="Total Year", SUM(Tracking[Amount] * (Tracking[Type]=type) * (Tracking[Category]=item) * (YEAR(Tracking[Effective Date])=selected_year)), SUM(Tracking[Amount] * (Tracking[Type]=type) * (Tracking[Category]=item) * (YEAR(Tracking[Effective Date])=selected_year)))
    )
)</f>
        <v>400</v>
      </c>
      <c r="L36" s="62" cm="1">
        <f t="array" aca="1" ref="L36" ca="1">IF(OR(is_header,is_empty),"",INDEX('Budget Planning'!$E:$EM,row_id,MATCH(IF(selected_period="Total Year",selected_year,DATE(selected_year,selected_period,1)),'Budget Planning'!$E$9:$EM$9,0)))</f>
        <v>1200</v>
      </c>
      <c r="M36" s="61" cm="1">
        <f t="array" ref="M36">IF(is_cat,
    IF(header_row_id = income_header_row, MATCH(income_min_row, $C:$C, 0),
    IF(header_row_id = expenses_header_row, MATCH(expenses_min_row, $C:$C, 0),
    IF(header_row_id = savings_header_row, MATCH(savings_min_row, $C:$C, 0), ""))),
    "")</f>
        <v>32</v>
      </c>
      <c r="N36" s="62" cm="1">
        <f t="array" ref="N36">IF(is_cat,
    IF(header_row_id = income_header_row, MATCH(income_max_row, $C:$C, 0),
    IF(header_row_id = expenses_header_row, MATCH(expenses_max_row, $C:$C, 0),
    IF(header_row_id = savings_header_row, MATCH(savings_max_row, $C:$C, 0), ""))),
    "")</f>
        <v>36</v>
      </c>
      <c r="O36" s="64" t="str">
        <f t="shared" si="3"/>
        <v>$K$32:$K$36</v>
      </c>
      <c r="P36" s="61">
        <f t="shared" ca="1" si="4"/>
        <v>4</v>
      </c>
      <c r="Q36" s="61" t="str">
        <f t="shared" si="5"/>
        <v>$L$32:$L$36</v>
      </c>
      <c r="R36" s="62">
        <f t="shared" ca="1" si="6"/>
        <v>5</v>
      </c>
      <c r="S36" s="64">
        <f t="shared" ca="1" si="7"/>
        <v>45</v>
      </c>
      <c r="T36" s="61" t="str">
        <f t="shared" si="8"/>
        <v>$S$32:$S$36</v>
      </c>
      <c r="U36" s="61">
        <f t="shared" ca="1" si="9"/>
        <v>4</v>
      </c>
      <c r="V36" s="61" t="str">
        <f t="shared" si="10"/>
        <v>$U$32:$U$36</v>
      </c>
      <c r="W36" s="62">
        <f t="shared" ca="1" si="11"/>
        <v>4</v>
      </c>
      <c r="X36" s="63">
        <f t="shared" ca="1" si="12"/>
        <v>43</v>
      </c>
      <c r="Y36" s="65" t="str">
        <f t="shared" ca="1" si="13"/>
        <v>Sinking fund down payment</v>
      </c>
      <c r="Z36" s="66">
        <f t="shared" ca="1" si="14"/>
        <v>0</v>
      </c>
      <c r="AA36" s="66">
        <f t="shared" ca="1" si="15"/>
        <v>10200</v>
      </c>
      <c r="AB36" s="67">
        <f t="shared" ca="1" si="16"/>
        <v>0</v>
      </c>
      <c r="AC36" s="66">
        <f t="shared" ca="1" si="17"/>
        <v>10200</v>
      </c>
      <c r="AD36" s="66">
        <f t="shared" ca="1" si="18"/>
        <v>0</v>
      </c>
      <c r="AF36" s="1"/>
      <c r="AG36" s="2"/>
      <c r="AH36" s="2"/>
      <c r="AI36" s="2"/>
      <c r="AJ36" s="2"/>
      <c r="AK36" s="35"/>
      <c r="AM36" s="1"/>
      <c r="AN36" s="2"/>
      <c r="AO36" s="2"/>
      <c r="AP36" s="2"/>
      <c r="AQ36" s="2"/>
      <c r="AR36" s="35"/>
    </row>
    <row r="37" spans="3:44" x14ac:dyDescent="0.3">
      <c r="C37" s="58" cm="1">
        <f t="array" ref="C37">IF(C36=-1, -1,
    IF(C36 &lt; income_max_row, C36 + 1,
        IF(C36 = income_max_row, income_total_row,
            IF(C36 = income_total_row, "/1",
                IF(C36 = "/1", expenses_header_row,
                    IF(C36 &lt; expenses_max_row, C36 + 1,
                        IF(C36 = expenses_max_row, expenses_row_total,
                            IF(C36 = expenses_row_total, "/2",
                                IF(C36 = "/2", savings_header_row,
                                    IF(C36 &lt; savings_max_row, C36 + 1,
                                        IF(C36 = savings_max_row, savings_total_row, -1)))))))))))</f>
        <v>50</v>
      </c>
      <c r="D37" s="59">
        <f t="shared" si="0"/>
        <v>39</v>
      </c>
      <c r="E37" s="58" cm="1">
        <f t="array" ref="E37">1*OR(row_id=income_header_row,row_id=expenses_header_row, row_id=savings_header_row)</f>
        <v>0</v>
      </c>
      <c r="F37">
        <f t="shared" si="1"/>
        <v>0</v>
      </c>
      <c r="G37" s="2" cm="1">
        <f t="array" ref="G37">1*OR(row_id=income_total_row,row_id=expenses_row_total,row_id=savings_total_row)</f>
        <v>1</v>
      </c>
      <c r="H37" s="59">
        <f t="shared" si="2"/>
        <v>0</v>
      </c>
      <c r="I37" s="58" t="str" cm="1">
        <f t="array" ref="I37">IFERROR(INDEX('Budget Planning'!$C:$C, header_row_id), "")</f>
        <v>Savings</v>
      </c>
      <c r="J37" s="2" t="str" cm="1">
        <f t="array" ref="J37">IFERROR(INDEX('Budget Planning'!$C:$C, row_id), "")</f>
        <v>Total</v>
      </c>
      <c r="K37" s="61" cm="1">
        <f t="array" aca="1" ref="K37" ca="1">IF(OR(is_header, is_empty), "",
    IF(is_total,
        IF(selected_period="Total Year", SUM(Tracking[Amount] * (Tracking[Type]=type) * (YEAR(Tracking[Effective Date])=selected_year)), SUM(Tracking[Amount] * (Tracking[Type]=type) * (YEAR(Tracking[Effective Date])=selected_year) *(MONTH(Tracking[Effective Date])=selected_period) )),
        IF(selected_period="Total Year", SUM(Tracking[Amount] * (Tracking[Type]=type) * (Tracking[Category]=item) * (YEAR(Tracking[Effective Date])=selected_year)), SUM(Tracking[Amount] * (Tracking[Type]=type) * (Tracking[Category]=item) * (YEAR(Tracking[Effective Date])=selected_year)))
    )
)</f>
        <v>3090</v>
      </c>
      <c r="L37" s="62" cm="1">
        <f t="array" aca="1" ref="L37" ca="1">IF(OR(is_header,is_empty),"",INDEX('Budget Planning'!$E:$EM,row_id,MATCH(IF(selected_period="Total Year",selected_year,DATE(selected_year,selected_period,1)),'Budget Planning'!$E$9:$EM$9,0)))</f>
        <v>26400</v>
      </c>
      <c r="M37" s="61" t="str" cm="1">
        <f t="array" ref="M37">IF(is_cat,
    IF(header_row_id = income_header_row, MATCH(income_min_row, $C:$C, 0),
    IF(header_row_id = expenses_header_row, MATCH(expenses_min_row, $C:$C, 0),
    IF(header_row_id = savings_header_row, MATCH(savings_min_row, $C:$C, 0), ""))),
    "")</f>
        <v/>
      </c>
      <c r="N37" s="62" t="str" cm="1">
        <f t="array" ref="N37">IF(is_cat,
    IF(header_row_id = income_header_row, MATCH(income_max_row, $C:$C, 0),
    IF(header_row_id = expenses_header_row, MATCH(expenses_max_row, $C:$C, 0),
    IF(header_row_id = savings_header_row, MATCH(savings_max_row, $C:$C, 0), ""))),
    "")</f>
        <v/>
      </c>
      <c r="O37" s="64" t="str">
        <f t="shared" si="3"/>
        <v/>
      </c>
      <c r="P37" s="61" t="str">
        <f t="shared" ca="1" si="4"/>
        <v/>
      </c>
      <c r="Q37" s="61" t="str">
        <f t="shared" si="5"/>
        <v/>
      </c>
      <c r="R37" s="62" t="str">
        <f t="shared" ca="1" si="6"/>
        <v/>
      </c>
      <c r="S37" s="64" t="str">
        <f t="shared" si="7"/>
        <v/>
      </c>
      <c r="T37" s="61" t="str">
        <f t="shared" si="8"/>
        <v/>
      </c>
      <c r="U37" s="61" t="str">
        <f t="shared" ca="1" si="9"/>
        <v/>
      </c>
      <c r="V37" s="61" t="str">
        <f t="shared" si="10"/>
        <v/>
      </c>
      <c r="W37" s="62" t="str">
        <f t="shared" ca="1" si="11"/>
        <v/>
      </c>
      <c r="X37" s="63">
        <f t="shared" si="12"/>
        <v>50</v>
      </c>
      <c r="Y37" s="65" t="str">
        <f t="shared" ca="1" si="13"/>
        <v>Total</v>
      </c>
      <c r="Z37" s="66">
        <f t="shared" ca="1" si="14"/>
        <v>3090</v>
      </c>
      <c r="AA37" s="66">
        <f t="shared" ca="1" si="15"/>
        <v>26400</v>
      </c>
      <c r="AB37" s="67">
        <f t="shared" ca="1" si="16"/>
        <v>0.11704545454545455</v>
      </c>
      <c r="AC37" s="66">
        <f t="shared" ca="1" si="17"/>
        <v>23310</v>
      </c>
      <c r="AD37" s="66">
        <f t="shared" ca="1" si="18"/>
        <v>0</v>
      </c>
      <c r="AF37" s="3"/>
      <c r="AG37" s="4"/>
      <c r="AH37" s="4"/>
      <c r="AI37" s="4"/>
      <c r="AJ37" s="4"/>
      <c r="AK37" s="36"/>
      <c r="AM37" s="3"/>
      <c r="AN37" s="4"/>
      <c r="AO37" s="4"/>
      <c r="AP37" s="4"/>
      <c r="AQ37" s="4"/>
      <c r="AR37" s="36"/>
    </row>
    <row r="38" spans="3:44" x14ac:dyDescent="0.3">
      <c r="C38" s="58" cm="1">
        <f t="array" ref="C38">IF(C37=-1, -1,
    IF(C37 &lt; income_max_row, C37 + 1,
        IF(C37 = income_max_row, income_total_row,
            IF(C37 = income_total_row, "/1",
                IF(C37 = "/1", expenses_header_row,
                    IF(C37 &lt; expenses_max_row, C37 + 1,
                        IF(C37 = expenses_max_row, expenses_row_total,
                            IF(C37 = expenses_row_total, "/2",
                                IF(C37 = "/2", savings_header_row,
                                    IF(C37 &lt; savings_max_row, C37 + 1,
                                        IF(C37 = savings_max_row, savings_total_row, -1)))))))))))</f>
        <v>-1</v>
      </c>
      <c r="D38" s="59">
        <f t="shared" si="0"/>
        <v>-1</v>
      </c>
      <c r="E38" s="58" cm="1">
        <f t="array" ref="E38">1*OR(row_id=income_header_row,row_id=expenses_header_row, row_id=savings_header_row)</f>
        <v>0</v>
      </c>
      <c r="F38">
        <f t="shared" si="1"/>
        <v>0</v>
      </c>
      <c r="G38" s="2" cm="1">
        <f t="array" ref="G38">1*OR(row_id=income_total_row,row_id=expenses_row_total,row_id=savings_total_row)</f>
        <v>0</v>
      </c>
      <c r="H38" s="59">
        <f t="shared" si="2"/>
        <v>1</v>
      </c>
      <c r="I38" s="58" t="str" cm="1">
        <f t="array" ref="I38">IFERROR(INDEX('Budget Planning'!$C:$C, header_row_id), "")</f>
        <v/>
      </c>
      <c r="J38" s="2" t="str" cm="1">
        <f t="array" ref="J38">IFERROR(INDEX('Budget Planning'!$C:$C, row_id), "")</f>
        <v/>
      </c>
      <c r="K38" s="61" t="str" cm="1">
        <f t="array" ref="K38">IF(OR(is_header, is_empty), "",
    IF(is_total,
        IF(selected_period="Total Year", SUM(Tracking[Amount] * (Tracking[Type]=type) * (YEAR(Tracking[Effective Date])=selected_year)), SUM(Tracking[Amount] * (Tracking[Type]=type) * (YEAR(Tracking[Effective Date])=selected_year) *(MONTH(Tracking[Effective Date])=selected_period) )),
        IF(selected_period="Total Year", SUM(Tracking[Amount] * (Tracking[Type]=type) * (Tracking[Category]=item) * (YEAR(Tracking[Effective Date])=selected_year)), SUM(Tracking[Amount] * (Tracking[Type]=type) * (Tracking[Category]=item) * (YEAR(Tracking[Effective Date])=selected_year)))
    )
)</f>
        <v/>
      </c>
      <c r="L38" s="62" t="str" cm="1">
        <f t="array" ref="L38">IF(OR(is_header,is_empty),"",INDEX('Budget Planning'!$E:$EM,row_id,MATCH(IF(selected_period="Total Year",selected_year,DATE(selected_year,selected_period,1)),'Budget Planning'!$E$9:$EM$9,0)))</f>
        <v/>
      </c>
      <c r="M38" s="61" t="str" cm="1">
        <f t="array" ref="M38">IF(is_cat,
    IF(header_row_id = income_header_row, MATCH(income_min_row, $C:$C, 0),
    IF(header_row_id = expenses_header_row, MATCH(expenses_min_row, $C:$C, 0),
    IF(header_row_id = savings_header_row, MATCH(savings_min_row, $C:$C, 0), ""))),
    "")</f>
        <v/>
      </c>
      <c r="N38" s="62" t="str" cm="1">
        <f t="array" ref="N38">IF(is_cat,
    IF(header_row_id = income_header_row, MATCH(income_max_row, $C:$C, 0),
    IF(header_row_id = expenses_header_row, MATCH(expenses_max_row, $C:$C, 0),
    IF(header_row_id = savings_header_row, MATCH(savings_max_row, $C:$C, 0), ""))),
    "")</f>
        <v/>
      </c>
      <c r="O38" s="64" t="str">
        <f t="shared" si="3"/>
        <v/>
      </c>
      <c r="P38" s="61" t="str">
        <f t="shared" ca="1" si="4"/>
        <v/>
      </c>
      <c r="Q38" s="61" t="str">
        <f t="shared" si="5"/>
        <v/>
      </c>
      <c r="R38" s="62" t="str">
        <f t="shared" ca="1" si="6"/>
        <v/>
      </c>
      <c r="S38" s="64" t="str">
        <f t="shared" si="7"/>
        <v/>
      </c>
      <c r="T38" s="61" t="str">
        <f t="shared" si="8"/>
        <v/>
      </c>
      <c r="U38" s="61" t="str">
        <f t="shared" ca="1" si="9"/>
        <v/>
      </c>
      <c r="V38" s="61" t="str">
        <f t="shared" si="10"/>
        <v/>
      </c>
      <c r="W38" s="62" t="str">
        <f t="shared" ca="1" si="11"/>
        <v/>
      </c>
      <c r="X38" s="63">
        <f t="shared" si="12"/>
        <v>-1</v>
      </c>
      <c r="Y38" s="65" t="str">
        <f t="shared" si="13"/>
        <v/>
      </c>
      <c r="Z38" s="66" t="str">
        <f t="shared" si="14"/>
        <v/>
      </c>
      <c r="AA38" s="66" t="str">
        <f t="shared" si="15"/>
        <v/>
      </c>
      <c r="AB38" s="67" t="str">
        <f t="shared" si="16"/>
        <v/>
      </c>
      <c r="AC38" s="66" t="str">
        <f t="shared" si="17"/>
        <v/>
      </c>
      <c r="AD38" s="66" t="str">
        <f t="shared" si="18"/>
        <v/>
      </c>
    </row>
    <row r="39" spans="3:44" x14ac:dyDescent="0.3">
      <c r="C39" s="58" cm="1">
        <f t="array" ref="C39">IF(C38=-1, -1,
    IF(C38 &lt; income_max_row, C38 + 1,
        IF(C38 = income_max_row, income_total_row,
            IF(C38 = income_total_row, "/1",
                IF(C38 = "/1", expenses_header_row,
                    IF(C38 &lt; expenses_max_row, C38 + 1,
                        IF(C38 = expenses_max_row, expenses_row_total,
                            IF(C38 = expenses_row_total, "/2",
                                IF(C38 = "/2", savings_header_row,
                                    IF(C38 &lt; savings_max_row, C38 + 1,
                                        IF(C38 = savings_max_row, savings_total_row, -1)))))))))))</f>
        <v>-1</v>
      </c>
      <c r="D39" s="59">
        <f t="shared" si="0"/>
        <v>-1</v>
      </c>
      <c r="E39" s="58" cm="1">
        <f t="array" ref="E39">1*OR(row_id=income_header_row,row_id=expenses_header_row, row_id=savings_header_row)</f>
        <v>0</v>
      </c>
      <c r="F39">
        <f t="shared" si="1"/>
        <v>0</v>
      </c>
      <c r="G39" s="2" cm="1">
        <f t="array" ref="G39">1*OR(row_id=income_total_row,row_id=expenses_row_total,row_id=savings_total_row)</f>
        <v>0</v>
      </c>
      <c r="H39" s="59">
        <f t="shared" si="2"/>
        <v>1</v>
      </c>
      <c r="I39" s="58" t="str" cm="1">
        <f t="array" ref="I39">IFERROR(INDEX('Budget Planning'!$C:$C, header_row_id), "")</f>
        <v/>
      </c>
      <c r="J39" s="2" t="str" cm="1">
        <f t="array" ref="J39">IFERROR(INDEX('Budget Planning'!$C:$C, row_id), "")</f>
        <v/>
      </c>
      <c r="K39" s="61" t="str" cm="1">
        <f t="array" ref="K39">IF(OR(is_header, is_empty), "",
    IF(is_total,
        IF(selected_period="Total Year", SUM(Tracking[Amount] * (Tracking[Type]=type) * (YEAR(Tracking[Effective Date])=selected_year)), SUM(Tracking[Amount] * (Tracking[Type]=type) * (YEAR(Tracking[Effective Date])=selected_year) *(MONTH(Tracking[Effective Date])=selected_period) )),
        IF(selected_period="Total Year", SUM(Tracking[Amount] * (Tracking[Type]=type) * (Tracking[Category]=item) * (YEAR(Tracking[Effective Date])=selected_year)), SUM(Tracking[Amount] * (Tracking[Type]=type) * (Tracking[Category]=item) * (YEAR(Tracking[Effective Date])=selected_year)))
    )
)</f>
        <v/>
      </c>
      <c r="L39" s="62" t="str" cm="1">
        <f t="array" ref="L39">IF(OR(is_header,is_empty),"",INDEX('Budget Planning'!$E:$EM,row_id,MATCH(IF(selected_period="Total Year",selected_year,DATE(selected_year,selected_period,1)),'Budget Planning'!$E$9:$EM$9,0)))</f>
        <v/>
      </c>
      <c r="M39" s="61" t="str" cm="1">
        <f t="array" ref="M39">IF(is_cat,
    IF(header_row_id = income_header_row, MATCH(income_min_row, $C:$C, 0),
    IF(header_row_id = expenses_header_row, MATCH(expenses_min_row, $C:$C, 0),
    IF(header_row_id = savings_header_row, MATCH(savings_min_row, $C:$C, 0), ""))),
    "")</f>
        <v/>
      </c>
      <c r="N39" s="62" t="str" cm="1">
        <f t="array" ref="N39">IF(is_cat,
    IF(header_row_id = income_header_row, MATCH(income_max_row, $C:$C, 0),
    IF(header_row_id = expenses_header_row, MATCH(expenses_max_row, $C:$C, 0),
    IF(header_row_id = savings_header_row, MATCH(savings_max_row, $C:$C, 0), ""))),
    "")</f>
        <v/>
      </c>
      <c r="O39" s="64" t="str">
        <f t="shared" si="3"/>
        <v/>
      </c>
      <c r="P39" s="61" t="str">
        <f t="shared" ca="1" si="4"/>
        <v/>
      </c>
      <c r="Q39" s="61" t="str">
        <f t="shared" si="5"/>
        <v/>
      </c>
      <c r="R39" s="62" t="str">
        <f t="shared" ca="1" si="6"/>
        <v/>
      </c>
      <c r="S39" s="64" t="str">
        <f t="shared" si="7"/>
        <v/>
      </c>
      <c r="T39" s="61" t="str">
        <f t="shared" si="8"/>
        <v/>
      </c>
      <c r="U39" s="61" t="str">
        <f t="shared" ca="1" si="9"/>
        <v/>
      </c>
      <c r="V39" s="61" t="str">
        <f t="shared" si="10"/>
        <v/>
      </c>
      <c r="W39" s="62" t="str">
        <f t="shared" ca="1" si="11"/>
        <v/>
      </c>
      <c r="X39" s="63">
        <f t="shared" si="12"/>
        <v>-1</v>
      </c>
      <c r="Y39" s="65" t="str">
        <f t="shared" si="13"/>
        <v/>
      </c>
      <c r="Z39" s="66" t="str">
        <f t="shared" si="14"/>
        <v/>
      </c>
      <c r="AA39" s="66" t="str">
        <f t="shared" si="15"/>
        <v/>
      </c>
      <c r="AB39" s="67" t="str">
        <f t="shared" si="16"/>
        <v/>
      </c>
      <c r="AC39" s="66" t="str">
        <f t="shared" si="17"/>
        <v/>
      </c>
      <c r="AD39" s="66" t="str">
        <f t="shared" si="18"/>
        <v/>
      </c>
    </row>
    <row r="40" spans="3:44" x14ac:dyDescent="0.3">
      <c r="C40" s="58" cm="1">
        <f t="array" ref="C40">IF(C39=-1, -1,
    IF(C39 &lt; income_max_row, C39 + 1,
        IF(C39 = income_max_row, income_total_row,
            IF(C39 = income_total_row, "/1",
                IF(C39 = "/1", expenses_header_row,
                    IF(C39 &lt; expenses_max_row, C39 + 1,
                        IF(C39 = expenses_max_row, expenses_row_total,
                            IF(C39 = expenses_row_total, "/2",
                                IF(C39 = "/2", savings_header_row,
                                    IF(C39 &lt; savings_max_row, C39 + 1,
                                        IF(C39 = savings_max_row, savings_total_row, -1)))))))))))</f>
        <v>-1</v>
      </c>
      <c r="D40" s="59">
        <f t="shared" si="0"/>
        <v>-1</v>
      </c>
      <c r="E40" s="58" cm="1">
        <f t="array" ref="E40">1*OR(row_id=income_header_row,row_id=expenses_header_row, row_id=savings_header_row)</f>
        <v>0</v>
      </c>
      <c r="F40">
        <f t="shared" si="1"/>
        <v>0</v>
      </c>
      <c r="G40" s="2" cm="1">
        <f t="array" ref="G40">1*OR(row_id=income_total_row,row_id=expenses_row_total,row_id=savings_total_row)</f>
        <v>0</v>
      </c>
      <c r="H40" s="59">
        <f t="shared" si="2"/>
        <v>1</v>
      </c>
      <c r="I40" s="58" t="str" cm="1">
        <f t="array" ref="I40">IFERROR(INDEX('Budget Planning'!$C:$C, header_row_id), "")</f>
        <v/>
      </c>
      <c r="J40" s="2" t="str" cm="1">
        <f t="array" ref="J40">IFERROR(INDEX('Budget Planning'!$C:$C, row_id), "")</f>
        <v/>
      </c>
      <c r="K40" s="61" t="str" cm="1">
        <f t="array" ref="K40">IF(OR(is_header, is_empty), "",
    IF(is_total,
        IF(selected_period="Total Year", SUM(Tracking[Amount] * (Tracking[Type]=type) * (YEAR(Tracking[Effective Date])=selected_year)), SUM(Tracking[Amount] * (Tracking[Type]=type) * (YEAR(Tracking[Effective Date])=selected_year) *(MONTH(Tracking[Effective Date])=selected_period) )),
        IF(selected_period="Total Year", SUM(Tracking[Amount] * (Tracking[Type]=type) * (Tracking[Category]=item) * (YEAR(Tracking[Effective Date])=selected_year)), SUM(Tracking[Amount] * (Tracking[Type]=type) * (Tracking[Category]=item) * (YEAR(Tracking[Effective Date])=selected_year)))
    )
)</f>
        <v/>
      </c>
      <c r="L40" s="62" t="str" cm="1">
        <f t="array" ref="L40">IF(OR(is_header,is_empty),"",INDEX('Budget Planning'!$E:$EM,row_id,MATCH(IF(selected_period="Total Year",selected_year,DATE(selected_year,selected_period,1)),'Budget Planning'!$E$9:$EM$9,0)))</f>
        <v/>
      </c>
      <c r="M40" s="61" t="str" cm="1">
        <f t="array" ref="M40">IF(is_cat,
    IF(header_row_id = income_header_row, MATCH(income_min_row, $C:$C, 0),
    IF(header_row_id = expenses_header_row, MATCH(expenses_min_row, $C:$C, 0),
    IF(header_row_id = savings_header_row, MATCH(savings_min_row, $C:$C, 0), ""))),
    "")</f>
        <v/>
      </c>
      <c r="N40" s="62" t="str" cm="1">
        <f t="array" ref="N40">IF(is_cat,
    IF(header_row_id = income_header_row, MATCH(income_max_row, $C:$C, 0),
    IF(header_row_id = expenses_header_row, MATCH(expenses_max_row, $C:$C, 0),
    IF(header_row_id = savings_header_row, MATCH(savings_max_row, $C:$C, 0), ""))),
    "")</f>
        <v/>
      </c>
      <c r="O40" s="64" t="str">
        <f t="shared" si="3"/>
        <v/>
      </c>
      <c r="P40" s="61" t="str">
        <f t="shared" ca="1" si="4"/>
        <v/>
      </c>
      <c r="Q40" s="61" t="str">
        <f t="shared" si="5"/>
        <v/>
      </c>
      <c r="R40" s="62" t="str">
        <f t="shared" ca="1" si="6"/>
        <v/>
      </c>
      <c r="S40" s="64" t="str">
        <f t="shared" si="7"/>
        <v/>
      </c>
      <c r="T40" s="61" t="str">
        <f t="shared" si="8"/>
        <v/>
      </c>
      <c r="U40" s="61" t="str">
        <f t="shared" ca="1" si="9"/>
        <v/>
      </c>
      <c r="V40" s="61" t="str">
        <f t="shared" si="10"/>
        <v/>
      </c>
      <c r="W40" s="62" t="str">
        <f t="shared" ca="1" si="11"/>
        <v/>
      </c>
      <c r="X40" s="63">
        <f t="shared" si="12"/>
        <v>-1</v>
      </c>
      <c r="Y40" s="65" t="str">
        <f t="shared" si="13"/>
        <v/>
      </c>
      <c r="Z40" s="66" t="str">
        <f t="shared" si="14"/>
        <v/>
      </c>
      <c r="AA40" s="66" t="str">
        <f t="shared" si="15"/>
        <v/>
      </c>
      <c r="AB40" s="67" t="str">
        <f t="shared" si="16"/>
        <v/>
      </c>
      <c r="AC40" s="66" t="str">
        <f t="shared" si="17"/>
        <v/>
      </c>
      <c r="AD40" s="66" t="str">
        <f t="shared" si="18"/>
        <v/>
      </c>
    </row>
    <row r="41" spans="3:44" x14ac:dyDescent="0.3">
      <c r="C41" s="58" cm="1">
        <f t="array" ref="C41">IF(C40=-1, -1,
    IF(C40 &lt; income_max_row, C40 + 1,
        IF(C40 = income_max_row, income_total_row,
            IF(C40 = income_total_row, "/1",
                IF(C40 = "/1", expenses_header_row,
                    IF(C40 &lt; expenses_max_row, C40 + 1,
                        IF(C40 = expenses_max_row, expenses_row_total,
                            IF(C40 = expenses_row_total, "/2",
                                IF(C40 = "/2", savings_header_row,
                                    IF(C40 &lt; savings_max_row, C40 + 1,
                                        IF(C40 = savings_max_row, savings_total_row, -1)))))))))))</f>
        <v>-1</v>
      </c>
      <c r="D41" s="59">
        <f t="shared" si="0"/>
        <v>-1</v>
      </c>
      <c r="E41" s="58" cm="1">
        <f t="array" ref="E41">1*OR(row_id=income_header_row,row_id=expenses_header_row, row_id=savings_header_row)</f>
        <v>0</v>
      </c>
      <c r="F41">
        <f t="shared" si="1"/>
        <v>0</v>
      </c>
      <c r="G41" s="2" cm="1">
        <f t="array" ref="G41">1*OR(row_id=income_total_row,row_id=expenses_row_total,row_id=savings_total_row)</f>
        <v>0</v>
      </c>
      <c r="H41" s="59">
        <f t="shared" si="2"/>
        <v>1</v>
      </c>
      <c r="I41" s="58" t="str" cm="1">
        <f t="array" ref="I41">IFERROR(INDEX('Budget Planning'!$C:$C, header_row_id), "")</f>
        <v/>
      </c>
      <c r="J41" s="2" t="str" cm="1">
        <f t="array" ref="J41">IFERROR(INDEX('Budget Planning'!$C:$C, row_id), "")</f>
        <v/>
      </c>
      <c r="K41" s="61" t="str" cm="1">
        <f t="array" ref="K41">IF(OR(is_header, is_empty), "",
    IF(is_total,
        IF(selected_period="Total Year", SUM(Tracking[Amount] * (Tracking[Type]=type) * (YEAR(Tracking[Effective Date])=selected_year)), SUM(Tracking[Amount] * (Tracking[Type]=type) * (YEAR(Tracking[Effective Date])=selected_year) *(MONTH(Tracking[Effective Date])=selected_period) )),
        IF(selected_period="Total Year", SUM(Tracking[Amount] * (Tracking[Type]=type) * (Tracking[Category]=item) * (YEAR(Tracking[Effective Date])=selected_year)), SUM(Tracking[Amount] * (Tracking[Type]=type) * (Tracking[Category]=item) * (YEAR(Tracking[Effective Date])=selected_year)))
    )
)</f>
        <v/>
      </c>
      <c r="L41" s="62" t="str" cm="1">
        <f t="array" ref="L41">IF(OR(is_header,is_empty),"",INDEX('Budget Planning'!$E:$EM,row_id,MATCH(IF(selected_period="Total Year",selected_year,DATE(selected_year,selected_period,1)),'Budget Planning'!$E$9:$EM$9,0)))</f>
        <v/>
      </c>
      <c r="M41" s="61" t="str" cm="1">
        <f t="array" ref="M41">IF(is_cat,
    IF(header_row_id = income_header_row, MATCH(income_min_row, $C:$C, 0),
    IF(header_row_id = expenses_header_row, MATCH(expenses_min_row, $C:$C, 0),
    IF(header_row_id = savings_header_row, MATCH(savings_min_row, $C:$C, 0), ""))),
    "")</f>
        <v/>
      </c>
      <c r="N41" s="62" t="str" cm="1">
        <f t="array" ref="N41">IF(is_cat,
    IF(header_row_id = income_header_row, MATCH(income_max_row, $C:$C, 0),
    IF(header_row_id = expenses_header_row, MATCH(expenses_max_row, $C:$C, 0),
    IF(header_row_id = savings_header_row, MATCH(savings_max_row, $C:$C, 0), ""))),
    "")</f>
        <v/>
      </c>
      <c r="O41" s="64" t="str">
        <f t="shared" si="3"/>
        <v/>
      </c>
      <c r="P41" s="61" t="str">
        <f t="shared" ca="1" si="4"/>
        <v/>
      </c>
      <c r="Q41" s="61" t="str">
        <f t="shared" si="5"/>
        <v/>
      </c>
      <c r="R41" s="62" t="str">
        <f t="shared" ca="1" si="6"/>
        <v/>
      </c>
      <c r="S41" s="64" t="str">
        <f t="shared" si="7"/>
        <v/>
      </c>
      <c r="T41" s="61" t="str">
        <f t="shared" si="8"/>
        <v/>
      </c>
      <c r="U41" s="61" t="str">
        <f t="shared" ca="1" si="9"/>
        <v/>
      </c>
      <c r="V41" s="61" t="str">
        <f t="shared" si="10"/>
        <v/>
      </c>
      <c r="W41" s="62" t="str">
        <f t="shared" ca="1" si="11"/>
        <v/>
      </c>
      <c r="X41" s="63">
        <f t="shared" si="12"/>
        <v>-1</v>
      </c>
      <c r="Y41" s="65" t="str">
        <f t="shared" si="13"/>
        <v/>
      </c>
      <c r="Z41" s="66" t="str">
        <f t="shared" si="14"/>
        <v/>
      </c>
      <c r="AA41" s="66" t="str">
        <f t="shared" si="15"/>
        <v/>
      </c>
      <c r="AB41" s="67" t="str">
        <f t="shared" si="16"/>
        <v/>
      </c>
      <c r="AC41" s="66" t="str">
        <f t="shared" si="17"/>
        <v/>
      </c>
      <c r="AD41" s="66" t="str">
        <f t="shared" si="18"/>
        <v/>
      </c>
    </row>
    <row r="42" spans="3:44" x14ac:dyDescent="0.3">
      <c r="C42" s="58" cm="1">
        <f t="array" ref="C42">IF(C41=-1, -1,
    IF(C41 &lt; income_max_row, C41 + 1,
        IF(C41 = income_max_row, income_total_row,
            IF(C41 = income_total_row, "/1",
                IF(C41 = "/1", expenses_header_row,
                    IF(C41 &lt; expenses_max_row, C41 + 1,
                        IF(C41 = expenses_max_row, expenses_row_total,
                            IF(C41 = expenses_row_total, "/2",
                                IF(C41 = "/2", savings_header_row,
                                    IF(C41 &lt; savings_max_row, C41 + 1,
                                        IF(C41 = savings_max_row, savings_total_row, -1)))))))))))</f>
        <v>-1</v>
      </c>
      <c r="D42" s="59">
        <f t="shared" si="0"/>
        <v>-1</v>
      </c>
      <c r="E42" s="58" cm="1">
        <f t="array" ref="E42">1*OR(row_id=income_header_row,row_id=expenses_header_row, row_id=savings_header_row)</f>
        <v>0</v>
      </c>
      <c r="F42">
        <f t="shared" si="1"/>
        <v>0</v>
      </c>
      <c r="G42" s="2" cm="1">
        <f t="array" ref="G42">1*OR(row_id=income_total_row,row_id=expenses_row_total,row_id=savings_total_row)</f>
        <v>0</v>
      </c>
      <c r="H42" s="59">
        <f t="shared" si="2"/>
        <v>1</v>
      </c>
      <c r="I42" s="58" t="str" cm="1">
        <f t="array" ref="I42">IFERROR(INDEX('Budget Planning'!$C:$C, header_row_id), "")</f>
        <v/>
      </c>
      <c r="J42" s="2" t="str" cm="1">
        <f t="array" ref="J42">IFERROR(INDEX('Budget Planning'!$C:$C, row_id), "")</f>
        <v/>
      </c>
      <c r="K42" s="61" t="str" cm="1">
        <f t="array" ref="K42">IF(OR(is_header, is_empty), "",
    IF(is_total,
        IF(selected_period="Total Year", SUM(Tracking[Amount] * (Tracking[Type]=type) * (YEAR(Tracking[Effective Date])=selected_year)), SUM(Tracking[Amount] * (Tracking[Type]=type) * (YEAR(Tracking[Effective Date])=selected_year) *(MONTH(Tracking[Effective Date])=selected_period) )),
        IF(selected_period="Total Year", SUM(Tracking[Amount] * (Tracking[Type]=type) * (Tracking[Category]=item) * (YEAR(Tracking[Effective Date])=selected_year)), SUM(Tracking[Amount] * (Tracking[Type]=type) * (Tracking[Category]=item) * (YEAR(Tracking[Effective Date])=selected_year)))
    )
)</f>
        <v/>
      </c>
      <c r="L42" s="62" t="str" cm="1">
        <f t="array" ref="L42">IF(OR(is_header,is_empty),"",INDEX('Budget Planning'!$E:$EM,row_id,MATCH(IF(selected_period="Total Year",selected_year,DATE(selected_year,selected_period,1)),'Budget Planning'!$E$9:$EM$9,0)))</f>
        <v/>
      </c>
      <c r="M42" s="61" t="str" cm="1">
        <f t="array" ref="M42">IF(is_cat,
    IF(header_row_id = income_header_row, MATCH(income_min_row, $C:$C, 0),
    IF(header_row_id = expenses_header_row, MATCH(expenses_min_row, $C:$C, 0),
    IF(header_row_id = savings_header_row, MATCH(savings_min_row, $C:$C, 0), ""))),
    "")</f>
        <v/>
      </c>
      <c r="N42" s="62" t="str" cm="1">
        <f t="array" ref="N42">IF(is_cat,
    IF(header_row_id = income_header_row, MATCH(income_max_row, $C:$C, 0),
    IF(header_row_id = expenses_header_row, MATCH(expenses_max_row, $C:$C, 0),
    IF(header_row_id = savings_header_row, MATCH(savings_max_row, $C:$C, 0), ""))),
    "")</f>
        <v/>
      </c>
      <c r="O42" s="64" t="str">
        <f t="shared" si="3"/>
        <v/>
      </c>
      <c r="P42" s="61" t="str">
        <f t="shared" ca="1" si="4"/>
        <v/>
      </c>
      <c r="Q42" s="61" t="str">
        <f t="shared" si="5"/>
        <v/>
      </c>
      <c r="R42" s="62" t="str">
        <f t="shared" ca="1" si="6"/>
        <v/>
      </c>
      <c r="S42" s="64" t="str">
        <f t="shared" si="7"/>
        <v/>
      </c>
      <c r="T42" s="61" t="str">
        <f t="shared" si="8"/>
        <v/>
      </c>
      <c r="U42" s="61" t="str">
        <f t="shared" ca="1" si="9"/>
        <v/>
      </c>
      <c r="V42" s="61" t="str">
        <f t="shared" si="10"/>
        <v/>
      </c>
      <c r="W42" s="62" t="str">
        <f t="shared" ca="1" si="11"/>
        <v/>
      </c>
      <c r="X42" s="63">
        <f t="shared" si="12"/>
        <v>-1</v>
      </c>
      <c r="Y42" s="65" t="str">
        <f t="shared" si="13"/>
        <v/>
      </c>
      <c r="Z42" s="66" t="str">
        <f t="shared" si="14"/>
        <v/>
      </c>
      <c r="AA42" s="66" t="str">
        <f t="shared" si="15"/>
        <v/>
      </c>
      <c r="AB42" s="67" t="str">
        <f t="shared" si="16"/>
        <v/>
      </c>
      <c r="AC42" s="66" t="str">
        <f t="shared" si="17"/>
        <v/>
      </c>
      <c r="AD42" s="66" t="str">
        <f t="shared" si="18"/>
        <v/>
      </c>
    </row>
    <row r="43" spans="3:44" x14ac:dyDescent="0.3">
      <c r="C43" s="58" cm="1">
        <f t="array" ref="C43">IF(C42=-1, -1,
    IF(C42 &lt; income_max_row, C42 + 1,
        IF(C42 = income_max_row, income_total_row,
            IF(C42 = income_total_row, "/1",
                IF(C42 = "/1", expenses_header_row,
                    IF(C42 &lt; expenses_max_row, C42 + 1,
                        IF(C42 = expenses_max_row, expenses_row_total,
                            IF(C42 = expenses_row_total, "/2",
                                IF(C42 = "/2", savings_header_row,
                                    IF(C42 &lt; savings_max_row, C42 + 1,
                                        IF(C42 = savings_max_row, savings_total_row, -1)))))))))))</f>
        <v>-1</v>
      </c>
      <c r="D43" s="59">
        <f t="shared" si="0"/>
        <v>-1</v>
      </c>
      <c r="E43" s="58" cm="1">
        <f t="array" ref="E43">1*OR(row_id=income_header_row,row_id=expenses_header_row, row_id=savings_header_row)</f>
        <v>0</v>
      </c>
      <c r="F43">
        <f t="shared" si="1"/>
        <v>0</v>
      </c>
      <c r="G43" s="2" cm="1">
        <f t="array" ref="G43">1*OR(row_id=income_total_row,row_id=expenses_row_total,row_id=savings_total_row)</f>
        <v>0</v>
      </c>
      <c r="H43" s="59">
        <f t="shared" si="2"/>
        <v>1</v>
      </c>
      <c r="I43" s="58" t="str" cm="1">
        <f t="array" ref="I43">IFERROR(INDEX('Budget Planning'!$C:$C, header_row_id), "")</f>
        <v/>
      </c>
      <c r="J43" s="2" t="str" cm="1">
        <f t="array" ref="J43">IFERROR(INDEX('Budget Planning'!$C:$C, row_id), "")</f>
        <v/>
      </c>
      <c r="K43" s="61" t="str" cm="1">
        <f t="array" ref="K43">IF(OR(is_header, is_empty), "",
    IF(is_total,
        IF(selected_period="Total Year", SUM(Tracking[Amount] * (Tracking[Type]=type) * (YEAR(Tracking[Effective Date])=selected_year)), SUM(Tracking[Amount] * (Tracking[Type]=type) * (YEAR(Tracking[Effective Date])=selected_year) *(MONTH(Tracking[Effective Date])=selected_period) )),
        IF(selected_period="Total Year", SUM(Tracking[Amount] * (Tracking[Type]=type) * (Tracking[Category]=item) * (YEAR(Tracking[Effective Date])=selected_year)), SUM(Tracking[Amount] * (Tracking[Type]=type) * (Tracking[Category]=item) * (YEAR(Tracking[Effective Date])=selected_year)))
    )
)</f>
        <v/>
      </c>
      <c r="L43" s="62" t="str" cm="1">
        <f t="array" ref="L43">IF(OR(is_header,is_empty),"",INDEX('Budget Planning'!$E:$EM,row_id,MATCH(IF(selected_period="Total Year",selected_year,DATE(selected_year,selected_period,1)),'Budget Planning'!$E$9:$EM$9,0)))</f>
        <v/>
      </c>
      <c r="M43" s="61" t="str" cm="1">
        <f t="array" ref="M43">IF(is_cat,
    IF(header_row_id = income_header_row, MATCH(income_min_row, $C:$C, 0),
    IF(header_row_id = expenses_header_row, MATCH(expenses_min_row, $C:$C, 0),
    IF(header_row_id = savings_header_row, MATCH(savings_min_row, $C:$C, 0), ""))),
    "")</f>
        <v/>
      </c>
      <c r="N43" s="62" t="str" cm="1">
        <f t="array" ref="N43">IF(is_cat,
    IF(header_row_id = income_header_row, MATCH(income_max_row, $C:$C, 0),
    IF(header_row_id = expenses_header_row, MATCH(expenses_max_row, $C:$C, 0),
    IF(header_row_id = savings_header_row, MATCH(savings_max_row, $C:$C, 0), ""))),
    "")</f>
        <v/>
      </c>
      <c r="O43" s="64" t="str">
        <f t="shared" si="3"/>
        <v/>
      </c>
      <c r="P43" s="61" t="str">
        <f t="shared" ca="1" si="4"/>
        <v/>
      </c>
      <c r="Q43" s="61" t="str">
        <f t="shared" si="5"/>
        <v/>
      </c>
      <c r="R43" s="62" t="str">
        <f t="shared" ca="1" si="6"/>
        <v/>
      </c>
      <c r="S43" s="64" t="str">
        <f t="shared" si="7"/>
        <v/>
      </c>
      <c r="T43" s="61" t="str">
        <f t="shared" si="8"/>
        <v/>
      </c>
      <c r="U43" s="61" t="str">
        <f t="shared" ca="1" si="9"/>
        <v/>
      </c>
      <c r="V43" s="61" t="str">
        <f t="shared" si="10"/>
        <v/>
      </c>
      <c r="W43" s="62" t="str">
        <f t="shared" ca="1" si="11"/>
        <v/>
      </c>
      <c r="X43" s="63">
        <f t="shared" si="12"/>
        <v>-1</v>
      </c>
      <c r="Y43" s="65" t="str">
        <f t="shared" si="13"/>
        <v/>
      </c>
      <c r="Z43" s="66" t="str">
        <f t="shared" si="14"/>
        <v/>
      </c>
      <c r="AA43" s="66" t="str">
        <f t="shared" si="15"/>
        <v/>
      </c>
      <c r="AB43" s="67" t="str">
        <f t="shared" si="16"/>
        <v/>
      </c>
      <c r="AC43" s="66" t="str">
        <f t="shared" si="17"/>
        <v/>
      </c>
      <c r="AD43" s="66" t="str">
        <f t="shared" si="18"/>
        <v/>
      </c>
    </row>
    <row r="44" spans="3:44" x14ac:dyDescent="0.3">
      <c r="C44" s="58" cm="1">
        <f t="array" ref="C44">IF(C43=-1, -1,
    IF(C43 &lt; income_max_row, C43 + 1,
        IF(C43 = income_max_row, income_total_row,
            IF(C43 = income_total_row, "/1",
                IF(C43 = "/1", expenses_header_row,
                    IF(C43 &lt; expenses_max_row, C43 + 1,
                        IF(C43 = expenses_max_row, expenses_row_total,
                            IF(C43 = expenses_row_total, "/2",
                                IF(C43 = "/2", savings_header_row,
                                    IF(C43 &lt; savings_max_row, C43 + 1,
                                        IF(C43 = savings_max_row, savings_total_row, -1)))))))))))</f>
        <v>-1</v>
      </c>
      <c r="D44" s="59">
        <f t="shared" si="0"/>
        <v>-1</v>
      </c>
      <c r="E44" s="58" cm="1">
        <f t="array" ref="E44">1*OR(row_id=income_header_row,row_id=expenses_header_row, row_id=savings_header_row)</f>
        <v>0</v>
      </c>
      <c r="F44">
        <f t="shared" si="1"/>
        <v>0</v>
      </c>
      <c r="G44" s="2" cm="1">
        <f t="array" ref="G44">1*OR(row_id=income_total_row,row_id=expenses_row_total,row_id=savings_total_row)</f>
        <v>0</v>
      </c>
      <c r="H44" s="59">
        <f t="shared" si="2"/>
        <v>1</v>
      </c>
      <c r="I44" s="58" t="str" cm="1">
        <f t="array" ref="I44">IFERROR(INDEX('Budget Planning'!$C:$C, header_row_id), "")</f>
        <v/>
      </c>
      <c r="J44" s="2" t="str" cm="1">
        <f t="array" ref="J44">IFERROR(INDEX('Budget Planning'!$C:$C, row_id), "")</f>
        <v/>
      </c>
      <c r="K44" s="61" t="str" cm="1">
        <f t="array" ref="K44">IF(OR(is_header, is_empty), "",
    IF(is_total,
        IF(selected_period="Total Year", SUM(Tracking[Amount] * (Tracking[Type]=type) * (YEAR(Tracking[Effective Date])=selected_year)), SUM(Tracking[Amount] * (Tracking[Type]=type) * (YEAR(Tracking[Effective Date])=selected_year) *(MONTH(Tracking[Effective Date])=selected_period) )),
        IF(selected_period="Total Year", SUM(Tracking[Amount] * (Tracking[Type]=type) * (Tracking[Category]=item) * (YEAR(Tracking[Effective Date])=selected_year)), SUM(Tracking[Amount] * (Tracking[Type]=type) * (Tracking[Category]=item) * (YEAR(Tracking[Effective Date])=selected_year)))
    )
)</f>
        <v/>
      </c>
      <c r="L44" s="62" t="str" cm="1">
        <f t="array" ref="L44">IF(OR(is_header,is_empty),"",INDEX('Budget Planning'!$E:$EM,row_id,MATCH(IF(selected_period="Total Year",selected_year,DATE(selected_year,selected_period,1)),'Budget Planning'!$E$9:$EM$9,0)))</f>
        <v/>
      </c>
      <c r="M44" s="61" t="str" cm="1">
        <f t="array" ref="M44">IF(is_cat,
    IF(header_row_id = income_header_row, MATCH(income_min_row, $C:$C, 0),
    IF(header_row_id = expenses_header_row, MATCH(expenses_min_row, $C:$C, 0),
    IF(header_row_id = savings_header_row, MATCH(savings_min_row, $C:$C, 0), ""))),
    "")</f>
        <v/>
      </c>
      <c r="N44" s="62" t="str" cm="1">
        <f t="array" ref="N44">IF(is_cat,
    IF(header_row_id = income_header_row, MATCH(income_max_row, $C:$C, 0),
    IF(header_row_id = expenses_header_row, MATCH(expenses_max_row, $C:$C, 0),
    IF(header_row_id = savings_header_row, MATCH(savings_max_row, $C:$C, 0), ""))),
    "")</f>
        <v/>
      </c>
      <c r="O44" s="64" t="str">
        <f t="shared" si="3"/>
        <v/>
      </c>
      <c r="P44" s="61" t="str">
        <f t="shared" ca="1" si="4"/>
        <v/>
      </c>
      <c r="Q44" s="61" t="str">
        <f t="shared" si="5"/>
        <v/>
      </c>
      <c r="R44" s="62" t="str">
        <f t="shared" ca="1" si="6"/>
        <v/>
      </c>
      <c r="S44" s="64" t="str">
        <f t="shared" si="7"/>
        <v/>
      </c>
      <c r="T44" s="61" t="str">
        <f t="shared" si="8"/>
        <v/>
      </c>
      <c r="U44" s="61" t="str">
        <f t="shared" ca="1" si="9"/>
        <v/>
      </c>
      <c r="V44" s="61" t="str">
        <f t="shared" si="10"/>
        <v/>
      </c>
      <c r="W44" s="62" t="str">
        <f t="shared" ca="1" si="11"/>
        <v/>
      </c>
      <c r="X44" s="63">
        <f t="shared" si="12"/>
        <v>-1</v>
      </c>
      <c r="Y44" s="65" t="str">
        <f t="shared" si="13"/>
        <v/>
      </c>
      <c r="Z44" s="66" t="str">
        <f t="shared" si="14"/>
        <v/>
      </c>
      <c r="AA44" s="66" t="str">
        <f t="shared" si="15"/>
        <v/>
      </c>
      <c r="AB44" s="67" t="str">
        <f t="shared" si="16"/>
        <v/>
      </c>
      <c r="AC44" s="66" t="str">
        <f t="shared" si="17"/>
        <v/>
      </c>
      <c r="AD44" s="66" t="str">
        <f t="shared" si="18"/>
        <v/>
      </c>
    </row>
    <row r="45" spans="3:44" x14ac:dyDescent="0.3">
      <c r="C45" s="58" cm="1">
        <f t="array" ref="C45">IF(C44=-1, -1,
    IF(C44 &lt; income_max_row, C44 + 1,
        IF(C44 = income_max_row, income_total_row,
            IF(C44 = income_total_row, "/1",
                IF(C44 = "/1", expenses_header_row,
                    IF(C44 &lt; expenses_max_row, C44 + 1,
                        IF(C44 = expenses_max_row, expenses_row_total,
                            IF(C44 = expenses_row_total, "/2",
                                IF(C44 = "/2", savings_header_row,
                                    IF(C44 &lt; savings_max_row, C44 + 1,
                                        IF(C44 = savings_max_row, savings_total_row, -1)))))))))))</f>
        <v>-1</v>
      </c>
      <c r="D45" s="59">
        <f t="shared" si="0"/>
        <v>-1</v>
      </c>
      <c r="E45" s="58" cm="1">
        <f t="array" ref="E45">1*OR(row_id=income_header_row,row_id=expenses_header_row, row_id=savings_header_row)</f>
        <v>0</v>
      </c>
      <c r="F45">
        <f t="shared" si="1"/>
        <v>0</v>
      </c>
      <c r="G45" s="2" cm="1">
        <f t="array" ref="G45">1*OR(row_id=income_total_row,row_id=expenses_row_total,row_id=savings_total_row)</f>
        <v>0</v>
      </c>
      <c r="H45" s="59">
        <f t="shared" si="2"/>
        <v>1</v>
      </c>
      <c r="I45" s="58" t="str" cm="1">
        <f t="array" ref="I45">IFERROR(INDEX('Budget Planning'!$C:$C, header_row_id), "")</f>
        <v/>
      </c>
      <c r="J45" s="2" t="str" cm="1">
        <f t="array" ref="J45">IFERROR(INDEX('Budget Planning'!$C:$C, row_id), "")</f>
        <v/>
      </c>
      <c r="K45" s="61" t="str" cm="1">
        <f t="array" ref="K45">IF(OR(is_header, is_empty), "",
    IF(is_total,
        IF(selected_period="Total Year", SUM(Tracking[Amount] * (Tracking[Type]=type) * (YEAR(Tracking[Effective Date])=selected_year)), SUM(Tracking[Amount] * (Tracking[Type]=type) * (YEAR(Tracking[Effective Date])=selected_year) *(MONTH(Tracking[Effective Date])=selected_period) )),
        IF(selected_period="Total Year", SUM(Tracking[Amount] * (Tracking[Type]=type) * (Tracking[Category]=item) * (YEAR(Tracking[Effective Date])=selected_year)), SUM(Tracking[Amount] * (Tracking[Type]=type) * (Tracking[Category]=item) * (YEAR(Tracking[Effective Date])=selected_year)))
    )
)</f>
        <v/>
      </c>
      <c r="L45" s="62" t="str" cm="1">
        <f t="array" ref="L45">IF(OR(is_header,is_empty),"",INDEX('Budget Planning'!$E:$EM,row_id,MATCH(IF(selected_period="Total Year",selected_year,DATE(selected_year,selected_period,1)),'Budget Planning'!$E$9:$EM$9,0)))</f>
        <v/>
      </c>
      <c r="M45" s="61" t="str" cm="1">
        <f t="array" ref="M45">IF(is_cat,
    IF(header_row_id = income_header_row, MATCH(income_min_row, $C:$C, 0),
    IF(header_row_id = expenses_header_row, MATCH(expenses_min_row, $C:$C, 0),
    IF(header_row_id = savings_header_row, MATCH(savings_min_row, $C:$C, 0), ""))),
    "")</f>
        <v/>
      </c>
      <c r="N45" s="62" t="str" cm="1">
        <f t="array" ref="N45">IF(is_cat,
    IF(header_row_id = income_header_row, MATCH(income_max_row, $C:$C, 0),
    IF(header_row_id = expenses_header_row, MATCH(expenses_max_row, $C:$C, 0),
    IF(header_row_id = savings_header_row, MATCH(savings_max_row, $C:$C, 0), ""))),
    "")</f>
        <v/>
      </c>
      <c r="O45" s="64" t="str">
        <f t="shared" si="3"/>
        <v/>
      </c>
      <c r="P45" s="61" t="str">
        <f t="shared" ca="1" si="4"/>
        <v/>
      </c>
      <c r="Q45" s="61" t="str">
        <f t="shared" si="5"/>
        <v/>
      </c>
      <c r="R45" s="62" t="str">
        <f t="shared" ca="1" si="6"/>
        <v/>
      </c>
      <c r="S45" s="64" t="str">
        <f t="shared" si="7"/>
        <v/>
      </c>
      <c r="T45" s="61" t="str">
        <f t="shared" si="8"/>
        <v/>
      </c>
      <c r="U45" s="61" t="str">
        <f t="shared" ca="1" si="9"/>
        <v/>
      </c>
      <c r="V45" s="61" t="str">
        <f t="shared" si="10"/>
        <v/>
      </c>
      <c r="W45" s="62" t="str">
        <f t="shared" ca="1" si="11"/>
        <v/>
      </c>
      <c r="X45" s="63">
        <f t="shared" si="12"/>
        <v>-1</v>
      </c>
      <c r="Y45" s="65" t="str">
        <f t="shared" si="13"/>
        <v/>
      </c>
      <c r="Z45" s="66" t="str">
        <f t="shared" si="14"/>
        <v/>
      </c>
      <c r="AA45" s="66" t="str">
        <f t="shared" si="15"/>
        <v/>
      </c>
      <c r="AB45" s="67" t="str">
        <f t="shared" si="16"/>
        <v/>
      </c>
      <c r="AC45" s="66" t="str">
        <f t="shared" si="17"/>
        <v/>
      </c>
      <c r="AD45" s="66" t="str">
        <f t="shared" si="18"/>
        <v/>
      </c>
    </row>
    <row r="46" spans="3:44" x14ac:dyDescent="0.3">
      <c r="C46" s="58" cm="1">
        <f t="array" ref="C46">IF(C45=-1, -1,
    IF(C45 &lt; income_max_row, C45 + 1,
        IF(C45 = income_max_row, income_total_row,
            IF(C45 = income_total_row, "/1",
                IF(C45 = "/1", expenses_header_row,
                    IF(C45 &lt; expenses_max_row, C45 + 1,
                        IF(C45 = expenses_max_row, expenses_row_total,
                            IF(C45 = expenses_row_total, "/2",
                                IF(C45 = "/2", savings_header_row,
                                    IF(C45 &lt; savings_max_row, C45 + 1,
                                        IF(C45 = savings_max_row, savings_total_row, -1)))))))))))</f>
        <v>-1</v>
      </c>
      <c r="D46" s="59">
        <f t="shared" si="0"/>
        <v>-1</v>
      </c>
      <c r="E46" s="58" cm="1">
        <f t="array" ref="E46">1*OR(row_id=income_header_row,row_id=expenses_header_row, row_id=savings_header_row)</f>
        <v>0</v>
      </c>
      <c r="F46">
        <f t="shared" si="1"/>
        <v>0</v>
      </c>
      <c r="G46" s="2" cm="1">
        <f t="array" ref="G46">1*OR(row_id=income_total_row,row_id=expenses_row_total,row_id=savings_total_row)</f>
        <v>0</v>
      </c>
      <c r="H46" s="59">
        <f t="shared" si="2"/>
        <v>1</v>
      </c>
      <c r="I46" s="58" t="str" cm="1">
        <f t="array" ref="I46">IFERROR(INDEX('Budget Planning'!$C:$C, header_row_id), "")</f>
        <v/>
      </c>
      <c r="J46" s="2" t="str" cm="1">
        <f t="array" ref="J46">IFERROR(INDEX('Budget Planning'!$C:$C, row_id), "")</f>
        <v/>
      </c>
      <c r="K46" s="61" t="str" cm="1">
        <f t="array" ref="K46">IF(OR(is_header, is_empty), "",
    IF(is_total,
        IF(selected_period="Total Year", SUM(Tracking[Amount] * (Tracking[Type]=type) * (YEAR(Tracking[Effective Date])=selected_year)), SUM(Tracking[Amount] * (Tracking[Type]=type) * (YEAR(Tracking[Effective Date])=selected_year) *(MONTH(Tracking[Effective Date])=selected_period) )),
        IF(selected_period="Total Year", SUM(Tracking[Amount] * (Tracking[Type]=type) * (Tracking[Category]=item) * (YEAR(Tracking[Effective Date])=selected_year)), SUM(Tracking[Amount] * (Tracking[Type]=type) * (Tracking[Category]=item) * (YEAR(Tracking[Effective Date])=selected_year)))
    )
)</f>
        <v/>
      </c>
      <c r="L46" s="62" t="str" cm="1">
        <f t="array" ref="L46">IF(OR(is_header,is_empty),"",INDEX('Budget Planning'!$E:$EM,row_id,MATCH(IF(selected_period="Total Year",selected_year,DATE(selected_year,selected_period,1)),'Budget Planning'!$E$9:$EM$9,0)))</f>
        <v/>
      </c>
      <c r="M46" s="61" t="str" cm="1">
        <f t="array" ref="M46">IF(is_cat,
    IF(header_row_id = income_header_row, MATCH(income_min_row, $C:$C, 0),
    IF(header_row_id = expenses_header_row, MATCH(expenses_min_row, $C:$C, 0),
    IF(header_row_id = savings_header_row, MATCH(savings_min_row, $C:$C, 0), ""))),
    "")</f>
        <v/>
      </c>
      <c r="N46" s="62" t="str" cm="1">
        <f t="array" ref="N46">IF(is_cat,
    IF(header_row_id = income_header_row, MATCH(income_max_row, $C:$C, 0),
    IF(header_row_id = expenses_header_row, MATCH(expenses_max_row, $C:$C, 0),
    IF(header_row_id = savings_header_row, MATCH(savings_max_row, $C:$C, 0), ""))),
    "")</f>
        <v/>
      </c>
      <c r="O46" s="64" t="str">
        <f t="shared" si="3"/>
        <v/>
      </c>
      <c r="P46" s="61" t="str">
        <f t="shared" ca="1" si="4"/>
        <v/>
      </c>
      <c r="Q46" s="61" t="str">
        <f t="shared" si="5"/>
        <v/>
      </c>
      <c r="R46" s="62" t="str">
        <f t="shared" ca="1" si="6"/>
        <v/>
      </c>
      <c r="S46" s="64" t="str">
        <f t="shared" si="7"/>
        <v/>
      </c>
      <c r="T46" s="61" t="str">
        <f t="shared" si="8"/>
        <v/>
      </c>
      <c r="U46" s="61" t="str">
        <f t="shared" ca="1" si="9"/>
        <v/>
      </c>
      <c r="V46" s="61" t="str">
        <f t="shared" si="10"/>
        <v/>
      </c>
      <c r="W46" s="62" t="str">
        <f t="shared" ca="1" si="11"/>
        <v/>
      </c>
      <c r="X46" s="63">
        <f t="shared" si="12"/>
        <v>-1</v>
      </c>
      <c r="Y46" s="65" t="str">
        <f t="shared" si="13"/>
        <v/>
      </c>
      <c r="Z46" s="66" t="str">
        <f t="shared" si="14"/>
        <v/>
      </c>
      <c r="AA46" s="66" t="str">
        <f t="shared" si="15"/>
        <v/>
      </c>
      <c r="AB46" s="67" t="str">
        <f t="shared" si="16"/>
        <v/>
      </c>
      <c r="AC46" s="66" t="str">
        <f t="shared" si="17"/>
        <v/>
      </c>
      <c r="AD46" s="66" t="str">
        <f t="shared" si="18"/>
        <v/>
      </c>
    </row>
    <row r="47" spans="3:44" x14ac:dyDescent="0.3">
      <c r="C47" s="58" cm="1">
        <f t="array" ref="C47">IF(C46=-1, -1,
    IF(C46 &lt; income_max_row, C46 + 1,
        IF(C46 = income_max_row, income_total_row,
            IF(C46 = income_total_row, "/1",
                IF(C46 = "/1", expenses_header_row,
                    IF(C46 &lt; expenses_max_row, C46 + 1,
                        IF(C46 = expenses_max_row, expenses_row_total,
                            IF(C46 = expenses_row_total, "/2",
                                IF(C46 = "/2", savings_header_row,
                                    IF(C46 &lt; savings_max_row, C46 + 1,
                                        IF(C46 = savings_max_row, savings_total_row, -1)))))))))))</f>
        <v>-1</v>
      </c>
      <c r="D47" s="59">
        <f t="shared" si="0"/>
        <v>-1</v>
      </c>
      <c r="E47" s="58" cm="1">
        <f t="array" ref="E47">1*OR(row_id=income_header_row,row_id=expenses_header_row, row_id=savings_header_row)</f>
        <v>0</v>
      </c>
      <c r="F47">
        <f t="shared" si="1"/>
        <v>0</v>
      </c>
      <c r="G47" s="2" cm="1">
        <f t="array" ref="G47">1*OR(row_id=income_total_row,row_id=expenses_row_total,row_id=savings_total_row)</f>
        <v>0</v>
      </c>
      <c r="H47" s="59">
        <f t="shared" si="2"/>
        <v>1</v>
      </c>
      <c r="I47" s="58" t="str" cm="1">
        <f t="array" ref="I47">IFERROR(INDEX('Budget Planning'!$C:$C, header_row_id), "")</f>
        <v/>
      </c>
      <c r="J47" s="2" t="str" cm="1">
        <f t="array" ref="J47">IFERROR(INDEX('Budget Planning'!$C:$C, row_id), "")</f>
        <v/>
      </c>
      <c r="K47" s="61" t="str" cm="1">
        <f t="array" ref="K47">IF(OR(is_header, is_empty), "",
    IF(is_total,
        IF(selected_period="Total Year", SUM(Tracking[Amount] * (Tracking[Type]=type) * (YEAR(Tracking[Effective Date])=selected_year)), SUM(Tracking[Amount] * (Tracking[Type]=type) * (YEAR(Tracking[Effective Date])=selected_year) *(MONTH(Tracking[Effective Date])=selected_period) )),
        IF(selected_period="Total Year", SUM(Tracking[Amount] * (Tracking[Type]=type) * (Tracking[Category]=item) * (YEAR(Tracking[Effective Date])=selected_year)), SUM(Tracking[Amount] * (Tracking[Type]=type) * (Tracking[Category]=item) * (YEAR(Tracking[Effective Date])=selected_year)))
    )
)</f>
        <v/>
      </c>
      <c r="L47" s="62" t="str" cm="1">
        <f t="array" ref="L47">IF(OR(is_header,is_empty),"",INDEX('Budget Planning'!$E:$EM,row_id,MATCH(IF(selected_period="Total Year",selected_year,DATE(selected_year,selected_period,1)),'Budget Planning'!$E$9:$EM$9,0)))</f>
        <v/>
      </c>
      <c r="M47" s="61" t="str" cm="1">
        <f t="array" ref="M47">IF(is_cat,
    IF(header_row_id = income_header_row, MATCH(income_min_row, $C:$C, 0),
    IF(header_row_id = expenses_header_row, MATCH(expenses_min_row, $C:$C, 0),
    IF(header_row_id = savings_header_row, MATCH(savings_min_row, $C:$C, 0), ""))),
    "")</f>
        <v/>
      </c>
      <c r="N47" s="62" t="str" cm="1">
        <f t="array" ref="N47">IF(is_cat,
    IF(header_row_id = income_header_row, MATCH(income_max_row, $C:$C, 0),
    IF(header_row_id = expenses_header_row, MATCH(expenses_max_row, $C:$C, 0),
    IF(header_row_id = savings_header_row, MATCH(savings_max_row, $C:$C, 0), ""))),
    "")</f>
        <v/>
      </c>
      <c r="O47" s="64" t="str">
        <f t="shared" si="3"/>
        <v/>
      </c>
      <c r="P47" s="61" t="str">
        <f t="shared" ca="1" si="4"/>
        <v/>
      </c>
      <c r="Q47" s="61" t="str">
        <f t="shared" si="5"/>
        <v/>
      </c>
      <c r="R47" s="62" t="str">
        <f t="shared" ca="1" si="6"/>
        <v/>
      </c>
      <c r="S47" s="64" t="str">
        <f t="shared" si="7"/>
        <v/>
      </c>
      <c r="T47" s="61" t="str">
        <f t="shared" si="8"/>
        <v/>
      </c>
      <c r="U47" s="61" t="str">
        <f t="shared" ca="1" si="9"/>
        <v/>
      </c>
      <c r="V47" s="61" t="str">
        <f t="shared" si="10"/>
        <v/>
      </c>
      <c r="W47" s="62" t="str">
        <f t="shared" ca="1" si="11"/>
        <v/>
      </c>
      <c r="X47" s="63">
        <f t="shared" si="12"/>
        <v>-1</v>
      </c>
      <c r="Y47" s="65" t="str">
        <f t="shared" si="13"/>
        <v/>
      </c>
      <c r="Z47" s="66" t="str">
        <f t="shared" si="14"/>
        <v/>
      </c>
      <c r="AA47" s="66" t="str">
        <f t="shared" si="15"/>
        <v/>
      </c>
      <c r="AB47" s="67" t="str">
        <f t="shared" si="16"/>
        <v/>
      </c>
      <c r="AC47" s="66" t="str">
        <f t="shared" si="17"/>
        <v/>
      </c>
      <c r="AD47" s="66" t="str">
        <f t="shared" si="18"/>
        <v/>
      </c>
    </row>
    <row r="48" spans="3:44" x14ac:dyDescent="0.3">
      <c r="C48" s="58" cm="1">
        <f t="array" ref="C48">IF(C47=-1, -1,
    IF(C47 &lt; income_max_row, C47 + 1,
        IF(C47 = income_max_row, income_total_row,
            IF(C47 = income_total_row, "/1",
                IF(C47 = "/1", expenses_header_row,
                    IF(C47 &lt; expenses_max_row, C47 + 1,
                        IF(C47 = expenses_max_row, expenses_row_total,
                            IF(C47 = expenses_row_total, "/2",
                                IF(C47 = "/2", savings_header_row,
                                    IF(C47 &lt; savings_max_row, C47 + 1,
                                        IF(C47 = savings_max_row, savings_total_row, -1)))))))))))</f>
        <v>-1</v>
      </c>
      <c r="D48" s="59">
        <f t="shared" si="0"/>
        <v>-1</v>
      </c>
      <c r="E48" s="58" cm="1">
        <f t="array" ref="E48">1*OR(row_id=income_header_row,row_id=expenses_header_row, row_id=savings_header_row)</f>
        <v>0</v>
      </c>
      <c r="F48">
        <f t="shared" si="1"/>
        <v>0</v>
      </c>
      <c r="G48" s="2" cm="1">
        <f t="array" ref="G48">1*OR(row_id=income_total_row,row_id=expenses_row_total,row_id=savings_total_row)</f>
        <v>0</v>
      </c>
      <c r="H48" s="59">
        <f t="shared" si="2"/>
        <v>1</v>
      </c>
      <c r="I48" s="58" t="str" cm="1">
        <f t="array" ref="I48">IFERROR(INDEX('Budget Planning'!$C:$C, header_row_id), "")</f>
        <v/>
      </c>
      <c r="J48" s="2" t="str" cm="1">
        <f t="array" ref="J48">IFERROR(INDEX('Budget Planning'!$C:$C, row_id), "")</f>
        <v/>
      </c>
      <c r="K48" s="61" t="str" cm="1">
        <f t="array" ref="K48">IF(OR(is_header, is_empty), "",
    IF(is_total,
        IF(selected_period="Total Year", SUM(Tracking[Amount] * (Tracking[Type]=type) * (YEAR(Tracking[Effective Date])=selected_year)), SUM(Tracking[Amount] * (Tracking[Type]=type) * (YEAR(Tracking[Effective Date])=selected_year) *(MONTH(Tracking[Effective Date])=selected_period) )),
        IF(selected_period="Total Year", SUM(Tracking[Amount] * (Tracking[Type]=type) * (Tracking[Category]=item) * (YEAR(Tracking[Effective Date])=selected_year)), SUM(Tracking[Amount] * (Tracking[Type]=type) * (Tracking[Category]=item) * (YEAR(Tracking[Effective Date])=selected_year)))
    )
)</f>
        <v/>
      </c>
      <c r="L48" s="62" t="str" cm="1">
        <f t="array" ref="L48">IF(OR(is_header,is_empty),"",INDEX('Budget Planning'!$E:$EM,row_id,MATCH(IF(selected_period="Total Year",selected_year,DATE(selected_year,selected_period,1)),'Budget Planning'!$E$9:$EM$9,0)))</f>
        <v/>
      </c>
      <c r="M48" s="61" t="str" cm="1">
        <f t="array" ref="M48">IF(is_cat,
    IF(header_row_id = income_header_row, MATCH(income_min_row, $C:$C, 0),
    IF(header_row_id = expenses_header_row, MATCH(expenses_min_row, $C:$C, 0),
    IF(header_row_id = savings_header_row, MATCH(savings_min_row, $C:$C, 0), ""))),
    "")</f>
        <v/>
      </c>
      <c r="N48" s="62" t="str" cm="1">
        <f t="array" ref="N48">IF(is_cat,
    IF(header_row_id = income_header_row, MATCH(income_max_row, $C:$C, 0),
    IF(header_row_id = expenses_header_row, MATCH(expenses_max_row, $C:$C, 0),
    IF(header_row_id = savings_header_row, MATCH(savings_max_row, $C:$C, 0), ""))),
    "")</f>
        <v/>
      </c>
      <c r="O48" s="64" t="str">
        <f t="shared" si="3"/>
        <v/>
      </c>
      <c r="P48" s="61" t="str">
        <f t="shared" ca="1" si="4"/>
        <v/>
      </c>
      <c r="Q48" s="61" t="str">
        <f t="shared" si="5"/>
        <v/>
      </c>
      <c r="R48" s="62" t="str">
        <f t="shared" ca="1" si="6"/>
        <v/>
      </c>
      <c r="S48" s="64" t="str">
        <f t="shared" si="7"/>
        <v/>
      </c>
      <c r="T48" s="61" t="str">
        <f t="shared" si="8"/>
        <v/>
      </c>
      <c r="U48" s="61" t="str">
        <f t="shared" ca="1" si="9"/>
        <v/>
      </c>
      <c r="V48" s="61" t="str">
        <f t="shared" si="10"/>
        <v/>
      </c>
      <c r="W48" s="62" t="str">
        <f t="shared" ca="1" si="11"/>
        <v/>
      </c>
      <c r="X48" s="63">
        <f t="shared" si="12"/>
        <v>-1</v>
      </c>
      <c r="Y48" s="65" t="str">
        <f t="shared" si="13"/>
        <v/>
      </c>
      <c r="Z48" s="66" t="str">
        <f t="shared" si="14"/>
        <v/>
      </c>
      <c r="AA48" s="66" t="str">
        <f t="shared" si="15"/>
        <v/>
      </c>
      <c r="AB48" s="67" t="str">
        <f t="shared" si="16"/>
        <v/>
      </c>
      <c r="AC48" s="66" t="str">
        <f t="shared" si="17"/>
        <v/>
      </c>
      <c r="AD48" s="66" t="str">
        <f t="shared" si="18"/>
        <v/>
      </c>
    </row>
    <row r="49" spans="3:30" x14ac:dyDescent="0.3">
      <c r="C49" s="58" cm="1">
        <f t="array" ref="C49">IF(C48=-1, -1,
    IF(C48 &lt; income_max_row, C48 + 1,
        IF(C48 = income_max_row, income_total_row,
            IF(C48 = income_total_row, "/1",
                IF(C48 = "/1", expenses_header_row,
                    IF(C48 &lt; expenses_max_row, C48 + 1,
                        IF(C48 = expenses_max_row, expenses_row_total,
                            IF(C48 = expenses_row_total, "/2",
                                IF(C48 = "/2", savings_header_row,
                                    IF(C48 &lt; savings_max_row, C48 + 1,
                                        IF(C48 = savings_max_row, savings_total_row, -1)))))))))))</f>
        <v>-1</v>
      </c>
      <c r="D49" s="59">
        <f t="shared" si="0"/>
        <v>-1</v>
      </c>
      <c r="E49" s="58" t="b">
        <v>1</v>
      </c>
      <c r="F49">
        <f t="shared" si="1"/>
        <v>0</v>
      </c>
      <c r="G49" s="2" cm="1">
        <f t="array" ref="G49">1*OR(row_id=income_total_row,row_id=expenses_row_total,row_id=savings_total_row)</f>
        <v>0</v>
      </c>
      <c r="H49" s="59">
        <f t="shared" si="2"/>
        <v>1</v>
      </c>
      <c r="I49" s="58" t="str" cm="1">
        <f t="array" ref="I49">IFERROR(INDEX('Budget Planning'!$C:$C, header_row_id), "")</f>
        <v/>
      </c>
      <c r="J49" s="2" t="str" cm="1">
        <f t="array" ref="J49">IFERROR(INDEX('Budget Planning'!$C:$C, row_id), "")</f>
        <v/>
      </c>
      <c r="K49" s="61" t="str" cm="1">
        <f t="array" ref="K49">IF(OR(is_header, is_empty), "",
    IF(is_total,
        IF(selected_period="Total Year", SUM(Tracking[Amount] * (Tracking[Type]=type) * (YEAR(Tracking[Effective Date])=selected_year)), SUM(Tracking[Amount] * (Tracking[Type]=type) * (YEAR(Tracking[Effective Date])=selected_year) *(MONTH(Tracking[Effective Date])=selected_period) )),
        IF(selected_period="Total Year", SUM(Tracking[Amount] * (Tracking[Type]=type) * (Tracking[Category]=item) * (YEAR(Tracking[Effective Date])=selected_year)), SUM(Tracking[Amount] * (Tracking[Type]=type) * (Tracking[Category]=item) * (YEAR(Tracking[Effective Date])=selected_year)))
    )
)</f>
        <v/>
      </c>
      <c r="L49" s="62" t="str" cm="1">
        <f t="array" ref="L49">IF(OR(is_header,is_empty),"",INDEX('Budget Planning'!$E:$EM,row_id,MATCH(IF(selected_period="Total Year",selected_year,DATE(selected_year,selected_period,1)),'Budget Planning'!$E$9:$EM$9,0)))</f>
        <v/>
      </c>
      <c r="M49" s="61" t="str" cm="1">
        <f t="array" ref="M49">IF(is_cat,
    IF(header_row_id = income_header_row, MATCH(income_min_row, $C:$C, 0),
    IF(header_row_id = expenses_header_row, MATCH(expenses_min_row, $C:$C, 0),
    IF(header_row_id = savings_header_row, MATCH(savings_min_row, $C:$C, 0), ""))),
    "")</f>
        <v/>
      </c>
      <c r="N49" s="62" t="str" cm="1">
        <f t="array" ref="N49">IF(is_cat,
    IF(header_row_id = income_header_row, MATCH(income_max_row, $C:$C, 0),
    IF(header_row_id = expenses_header_row, MATCH(expenses_max_row, $C:$C, 0),
    IF(header_row_id = savings_header_row, MATCH(savings_max_row, $C:$C, 0), ""))),
    "")</f>
        <v/>
      </c>
      <c r="O49" s="64" t="str">
        <f t="shared" si="3"/>
        <v/>
      </c>
      <c r="P49" s="61" t="str">
        <f t="shared" ca="1" si="4"/>
        <v/>
      </c>
      <c r="Q49" s="61" t="str">
        <f t="shared" si="5"/>
        <v/>
      </c>
      <c r="R49" s="62" t="str">
        <f t="shared" ca="1" si="6"/>
        <v/>
      </c>
      <c r="S49" s="64" t="str">
        <f t="shared" si="7"/>
        <v/>
      </c>
      <c r="T49" s="61" t="str">
        <f t="shared" si="8"/>
        <v/>
      </c>
      <c r="U49" s="61" t="str">
        <f t="shared" ca="1" si="9"/>
        <v/>
      </c>
      <c r="V49" s="61" t="str">
        <f t="shared" si="10"/>
        <v/>
      </c>
      <c r="W49" s="62" t="str">
        <f t="shared" ca="1" si="11"/>
        <v/>
      </c>
      <c r="X49" s="63">
        <f t="shared" si="12"/>
        <v>-1</v>
      </c>
      <c r="Y49" s="65" t="str">
        <f t="shared" si="13"/>
        <v/>
      </c>
      <c r="Z49" s="66" t="str">
        <f t="shared" si="14"/>
        <v/>
      </c>
      <c r="AA49" s="66" t="str">
        <f t="shared" si="15"/>
        <v/>
      </c>
      <c r="AB49" s="67" t="str">
        <f t="shared" si="16"/>
        <v/>
      </c>
      <c r="AC49" s="66" t="str">
        <f t="shared" si="17"/>
        <v/>
      </c>
      <c r="AD49" s="66" t="str">
        <f t="shared" si="18"/>
        <v/>
      </c>
    </row>
    <row r="50" spans="3:30" x14ac:dyDescent="0.3">
      <c r="C50" s="58" cm="1">
        <f t="array" ref="C50">IF(C49=-1, -1,
    IF(C49 &lt; income_max_row, C49 + 1,
        IF(C49 = income_max_row, income_total_row,
            IF(C49 = income_total_row, "/1",
                IF(C49 = "/1", expenses_header_row,
                    IF(C49 &lt; expenses_max_row, C49 + 1,
                        IF(C49 = expenses_max_row, expenses_row_total,
                            IF(C49 = expenses_row_total, "/2",
                                IF(C49 = "/2", savings_header_row,
                                    IF(C49 &lt; savings_max_row, C49 + 1,
                                        IF(C49 = savings_max_row, savings_total_row, -1)))))))))))</f>
        <v>-1</v>
      </c>
      <c r="D50" s="59">
        <f t="shared" si="0"/>
        <v>-1</v>
      </c>
      <c r="E50" s="58" t="b">
        <v>1</v>
      </c>
      <c r="F50">
        <f t="shared" si="1"/>
        <v>0</v>
      </c>
      <c r="G50" s="2" cm="1">
        <f t="array" ref="G50">1*OR(row_id=income_total_row,row_id=expenses_row_total,row_id=savings_total_row)</f>
        <v>0</v>
      </c>
      <c r="H50" s="59">
        <f t="shared" si="2"/>
        <v>1</v>
      </c>
      <c r="I50" s="58" t="str" cm="1">
        <f t="array" ref="I50">IFERROR(INDEX('Budget Planning'!$C:$C, header_row_id), "")</f>
        <v/>
      </c>
      <c r="J50" s="2" t="str" cm="1">
        <f t="array" ref="J50">IFERROR(INDEX('Budget Planning'!$C:$C, row_id), "")</f>
        <v/>
      </c>
      <c r="K50" s="61" t="str" cm="1">
        <f t="array" ref="K50">IF(OR(is_header, is_empty), "",
    IF(is_total,
        IF(selected_period="Total Year", SUM(Tracking[Amount] * (Tracking[Type]=type) * (YEAR(Tracking[Effective Date])=selected_year)), SUM(Tracking[Amount] * (Tracking[Type]=type) * (YEAR(Tracking[Effective Date])=selected_year) *(MONTH(Tracking[Effective Date])=selected_period) )),
        IF(selected_period="Total Year", SUM(Tracking[Amount] * (Tracking[Type]=type) * (Tracking[Category]=item) * (YEAR(Tracking[Effective Date])=selected_year)), SUM(Tracking[Amount] * (Tracking[Type]=type) * (Tracking[Category]=item) * (YEAR(Tracking[Effective Date])=selected_year)))
    )
)</f>
        <v/>
      </c>
      <c r="L50" s="62" t="str" cm="1">
        <f t="array" ref="L50">IF(OR(is_header,is_empty),"",INDEX('Budget Planning'!$E:$EM,row_id,MATCH(IF(selected_period="Total Year",selected_year,DATE(selected_year,selected_period,1)),'Budget Planning'!$E$9:$EM$9,0)))</f>
        <v/>
      </c>
      <c r="M50" s="61" t="str" cm="1">
        <f t="array" ref="M50">IF(is_cat,
    IF(header_row_id = income_header_row, MATCH(income_min_row, $C:$C, 0),
    IF(header_row_id = expenses_header_row, MATCH(expenses_min_row, $C:$C, 0),
    IF(header_row_id = savings_header_row, MATCH(savings_min_row, $C:$C, 0), ""))),
    "")</f>
        <v/>
      </c>
      <c r="N50" s="62" t="str" cm="1">
        <f t="array" ref="N50">IF(is_cat,
    IF(header_row_id = income_header_row, MATCH(income_max_row, $C:$C, 0),
    IF(header_row_id = expenses_header_row, MATCH(expenses_max_row, $C:$C, 0),
    IF(header_row_id = savings_header_row, MATCH(savings_max_row, $C:$C, 0), ""))),
    "")</f>
        <v/>
      </c>
      <c r="O50" s="64" t="str">
        <f t="shared" si="3"/>
        <v/>
      </c>
      <c r="P50" s="61" t="str">
        <f t="shared" ca="1" si="4"/>
        <v/>
      </c>
      <c r="Q50" s="61" t="str">
        <f t="shared" si="5"/>
        <v/>
      </c>
      <c r="R50" s="62" t="str">
        <f t="shared" ca="1" si="6"/>
        <v/>
      </c>
      <c r="S50" s="64" t="str">
        <f t="shared" si="7"/>
        <v/>
      </c>
      <c r="T50" s="61" t="str">
        <f t="shared" si="8"/>
        <v/>
      </c>
      <c r="U50" s="61" t="str">
        <f t="shared" ca="1" si="9"/>
        <v/>
      </c>
      <c r="V50" s="61" t="str">
        <f t="shared" si="10"/>
        <v/>
      </c>
      <c r="W50" s="62" t="str">
        <f t="shared" ca="1" si="11"/>
        <v/>
      </c>
      <c r="X50" s="63">
        <f t="shared" si="12"/>
        <v>-1</v>
      </c>
      <c r="Y50" s="65" t="str">
        <f t="shared" si="13"/>
        <v/>
      </c>
      <c r="Z50" s="66" t="str">
        <f t="shared" si="14"/>
        <v/>
      </c>
      <c r="AA50" s="66" t="str">
        <f t="shared" si="15"/>
        <v/>
      </c>
      <c r="AB50" s="67" t="str">
        <f t="shared" si="16"/>
        <v/>
      </c>
      <c r="AC50" s="66" t="str">
        <f t="shared" si="17"/>
        <v/>
      </c>
      <c r="AD50" s="66" t="str">
        <f t="shared" si="18"/>
        <v/>
      </c>
    </row>
  </sheetData>
  <mergeCells count="9">
    <mergeCell ref="A1:XFD3"/>
    <mergeCell ref="Y11:AD11"/>
    <mergeCell ref="AF11:AS11"/>
    <mergeCell ref="AQ5:AR5"/>
    <mergeCell ref="AQ6:AR6"/>
    <mergeCell ref="AN6:AP6"/>
    <mergeCell ref="AQ8:AR8"/>
    <mergeCell ref="AN9:AP9"/>
    <mergeCell ref="AQ9:AR9"/>
  </mergeCells>
  <conditionalFormatting sqref="Y13:AD50">
    <cfRule type="expression" dxfId="33" priority="28" stopIfTrue="1">
      <formula>row_id=income_header_row</formula>
    </cfRule>
    <cfRule type="expression" dxfId="32" priority="29" stopIfTrue="1">
      <formula>row_id=expenses_header_row</formula>
    </cfRule>
    <cfRule type="expression" dxfId="31" priority="30" stopIfTrue="1">
      <formula>row_id=savings_header_row</formula>
    </cfRule>
    <cfRule type="expression" dxfId="30" priority="31" stopIfTrue="1">
      <formula>is_total</formula>
    </cfRule>
  </conditionalFormatting>
  <conditionalFormatting sqref="AB13:AB50">
    <cfRule type="expression" dxfId="29" priority="32" stopIfTrue="1">
      <formula>AND(OR(is_cat, is_total), out_budget &gt; 0, out_percentage_completed &gt;= 1, header_row_id=income_header_row)</formula>
    </cfRule>
    <cfRule type="expression" dxfId="28" priority="33" stopIfTrue="1">
      <formula>AND(OR(is_cat, is_total), out_budget &gt; 0, out_percentage_completed &gt;= 1, header_row_id=expenses_header_row)</formula>
    </cfRule>
    <cfRule type="expression" dxfId="27" priority="34" stopIfTrue="1">
      <formula>AND(OR(is_cat, is_total), out_budget &gt; 0, out_percentage_completed &gt;= 1, header_row_id=savings_header_row)</formula>
    </cfRule>
    <cfRule type="dataBar" priority="35">
      <dataBar>
        <cfvo type="num" val="0"/>
        <cfvo type="num" val="1"/>
        <color theme="0" tint="-0.249977111117893"/>
      </dataBar>
      <extLst>
        <ext xmlns:x14="http://schemas.microsoft.com/office/spreadsheetml/2009/9/main" uri="{B025F937-C7B1-47D3-B67F-A62EFF666E3E}">
          <x14:id>{BEC2EB48-ECBB-4EC2-B7EF-BACD05235218}</x14:id>
        </ext>
      </extLst>
    </cfRule>
  </conditionalFormatting>
  <conditionalFormatting sqref="AH20">
    <cfRule type="expression" dxfId="26" priority="26">
      <formula>AI20&lt;&gt;""</formula>
    </cfRule>
  </conditionalFormatting>
  <conditionalFormatting sqref="AH17">
    <cfRule type="expression" dxfId="25" priority="23">
      <formula>AI17&lt;&gt;""</formula>
    </cfRule>
  </conditionalFormatting>
  <conditionalFormatting sqref="AH16">
    <cfRule type="expression" dxfId="24" priority="22">
      <formula>AI16&lt;&gt;""</formula>
    </cfRule>
  </conditionalFormatting>
  <conditionalFormatting sqref="AH18">
    <cfRule type="expression" dxfId="23" priority="24">
      <formula>AI18&lt;&gt;""</formula>
    </cfRule>
  </conditionalFormatting>
  <conditionalFormatting sqref="AH19">
    <cfRule type="expression" dxfId="22" priority="25">
      <formula>AI19&lt;&gt;""</formula>
    </cfRule>
  </conditionalFormatting>
  <conditionalFormatting sqref="AH21">
    <cfRule type="expression" dxfId="21" priority="27">
      <formula>AI21&lt;&gt;""</formula>
    </cfRule>
  </conditionalFormatting>
  <conditionalFormatting sqref="AH33">
    <cfRule type="expression" dxfId="20" priority="20">
      <formula>AI33&lt;&gt;""</formula>
    </cfRule>
  </conditionalFormatting>
  <conditionalFormatting sqref="AH30">
    <cfRule type="expression" dxfId="19" priority="14">
      <formula>AI30&lt;&gt;""</formula>
    </cfRule>
    <cfRule type="expression" dxfId="18" priority="17">
      <formula>AI$16&lt;&gt;""</formula>
    </cfRule>
  </conditionalFormatting>
  <conditionalFormatting sqref="AH29">
    <cfRule type="expression" dxfId="17" priority="15">
      <formula>AI29&lt;&gt;""</formula>
    </cfRule>
    <cfRule type="expression" dxfId="16" priority="16">
      <formula>AI$16&lt;&gt;""</formula>
    </cfRule>
  </conditionalFormatting>
  <conditionalFormatting sqref="AH31">
    <cfRule type="expression" dxfId="15" priority="13">
      <formula>AI31&lt;&gt;""</formula>
    </cfRule>
    <cfRule type="expression" dxfId="14" priority="18">
      <formula>AI$16&lt;&gt;""</formula>
    </cfRule>
  </conditionalFormatting>
  <conditionalFormatting sqref="AH32">
    <cfRule type="expression" dxfId="13" priority="12">
      <formula>AI32&lt;&gt;""</formula>
    </cfRule>
    <cfRule type="expression" dxfId="12" priority="19">
      <formula>AI$16&lt;&gt;""</formula>
    </cfRule>
  </conditionalFormatting>
  <conditionalFormatting sqref="AH34">
    <cfRule type="expression" dxfId="11" priority="21">
      <formula>AI$16&lt;&gt;""</formula>
    </cfRule>
  </conditionalFormatting>
  <conditionalFormatting sqref="AO33">
    <cfRule type="expression" dxfId="10" priority="9">
      <formula>AP33&lt;&gt;""</formula>
    </cfRule>
  </conditionalFormatting>
  <conditionalFormatting sqref="AO34">
    <cfRule type="expression" dxfId="9" priority="10">
      <formula>AI$16&lt;&gt;""</formula>
    </cfRule>
  </conditionalFormatting>
  <conditionalFormatting sqref="AO30">
    <cfRule type="expression" dxfId="8" priority="68">
      <formula>AP30&lt;&gt;""</formula>
    </cfRule>
    <cfRule type="expression" dxfId="7" priority="69">
      <formula>AI$16&lt;&gt;""</formula>
    </cfRule>
  </conditionalFormatting>
  <conditionalFormatting sqref="AO29">
    <cfRule type="expression" dxfId="6" priority="70">
      <formula>AP29&lt;&gt;""</formula>
    </cfRule>
    <cfRule type="expression" dxfId="5" priority="71">
      <formula>AI$16&lt;&gt;""</formula>
    </cfRule>
  </conditionalFormatting>
  <conditionalFormatting sqref="AO31">
    <cfRule type="expression" dxfId="4" priority="72">
      <formula>AP31&lt;&gt;""</formula>
    </cfRule>
    <cfRule type="expression" dxfId="3" priority="73">
      <formula>AI$16&lt;&gt;""</formula>
    </cfRule>
  </conditionalFormatting>
  <conditionalFormatting sqref="AO32">
    <cfRule type="expression" dxfId="2" priority="74">
      <formula>AP32&lt;&gt;""</formula>
    </cfRule>
    <cfRule type="expression" dxfId="1" priority="75">
      <formula>AI$16&lt;&gt;""</formula>
    </cfRule>
  </conditionalFormatting>
  <pageMargins left="0.7" right="0.7" top="0.75" bottom="0.75" header="0.3" footer="0.3"/>
  <ignoredErrors>
    <ignoredError sqref="M13 Q13" formula="1"/>
  </ignoredErrors>
  <drawing r:id="rId1"/>
  <legacyDrawing r:id="rId2"/>
  <mc:AlternateContent xmlns:mc="http://schemas.openxmlformats.org/markup-compatibility/2006">
    <mc:Choice Requires="x14">
      <controls>
        <mc:AlternateContent xmlns:mc="http://schemas.openxmlformats.org/markup-compatibility/2006">
          <mc:Choice Requires="x14">
            <control shapeId="2066" r:id="rId3" name="Check Box 18">
              <controlPr defaultSize="0" autoFill="0" autoLine="0" autoPict="0">
                <anchor moveWithCells="1">
                  <from>
                    <xdr:col>42</xdr:col>
                    <xdr:colOff>99060</xdr:colOff>
                    <xdr:row>12</xdr:row>
                    <xdr:rowOff>91440</xdr:rowOff>
                  </from>
                  <to>
                    <xdr:col>43</xdr:col>
                    <xdr:colOff>106680</xdr:colOff>
                    <xdr:row>13</xdr:row>
                    <xdr:rowOff>60960</xdr:rowOff>
                  </to>
                </anchor>
              </controlPr>
            </control>
          </mc:Choice>
        </mc:AlternateContent>
        <mc:AlternateContent xmlns:mc="http://schemas.openxmlformats.org/markup-compatibility/2006">
          <mc:Choice Requires="x14">
            <control shapeId="2067" r:id="rId4" name="Check Box 19">
              <controlPr defaultSize="0" autoFill="0" autoLine="0" autoPict="0">
                <anchor moveWithCells="1">
                  <from>
                    <xdr:col>42</xdr:col>
                    <xdr:colOff>91440</xdr:colOff>
                    <xdr:row>13</xdr:row>
                    <xdr:rowOff>83820</xdr:rowOff>
                  </from>
                  <to>
                    <xdr:col>43</xdr:col>
                    <xdr:colOff>137160</xdr:colOff>
                    <xdr:row>14</xdr:row>
                    <xdr:rowOff>38100</xdr:rowOff>
                  </to>
                </anchor>
              </controlPr>
            </control>
          </mc:Choice>
        </mc:AlternateContent>
        <mc:AlternateContent xmlns:mc="http://schemas.openxmlformats.org/markup-compatibility/2006">
          <mc:Choice Requires="x14">
            <control shapeId="2068" r:id="rId5" name="Check Box 20">
              <controlPr defaultSize="0" autoFill="0" autoLine="0" autoPict="0">
                <anchor moveWithCells="1">
                  <from>
                    <xdr:col>42</xdr:col>
                    <xdr:colOff>99060</xdr:colOff>
                    <xdr:row>14</xdr:row>
                    <xdr:rowOff>53340</xdr:rowOff>
                  </from>
                  <to>
                    <xdr:col>43</xdr:col>
                    <xdr:colOff>137160</xdr:colOff>
                    <xdr:row>15</xdr:row>
                    <xdr:rowOff>22860</xdr:rowOff>
                  </to>
                </anchor>
              </controlPr>
            </control>
          </mc:Choice>
        </mc:AlternateContent>
        <mc:AlternateContent xmlns:mc="http://schemas.openxmlformats.org/markup-compatibility/2006">
          <mc:Choice Requires="x14">
            <control shapeId="2069" r:id="rId6" name="Check Box 21">
              <controlPr defaultSize="0" autoFill="0" autoLine="0" autoPict="0">
                <anchor moveWithCells="1">
                  <from>
                    <xdr:col>40</xdr:col>
                    <xdr:colOff>160020</xdr:colOff>
                    <xdr:row>12</xdr:row>
                    <xdr:rowOff>129540</xdr:rowOff>
                  </from>
                  <to>
                    <xdr:col>41</xdr:col>
                    <xdr:colOff>487680</xdr:colOff>
                    <xdr:row>13</xdr:row>
                    <xdr:rowOff>68580</xdr:rowOff>
                  </to>
                </anchor>
              </controlPr>
            </control>
          </mc:Choice>
        </mc:AlternateContent>
      </controls>
    </mc:Choice>
  </mc:AlternateContent>
  <extLst>
    <ext xmlns:x14="http://schemas.microsoft.com/office/spreadsheetml/2009/9/main" uri="{78C0D931-6437-407d-A8EE-F0AAD7539E65}">
      <x14:conditionalFormattings>
        <x14:conditionalFormatting xmlns:xm="http://schemas.microsoft.com/office/excel/2006/main">
          <x14:cfRule type="dataBar" id="{BEC2EB48-ECBB-4EC2-B7EF-BACD05235218}">
            <x14:dataBar minLength="0" maxLength="100" gradient="0">
              <x14:cfvo type="num">
                <xm:f>0</xm:f>
              </x14:cfvo>
              <x14:cfvo type="num">
                <xm:f>1</xm:f>
              </x14:cfvo>
              <x14:negativeFillColor rgb="FFFF0000"/>
              <x14:axisColor rgb="FF000000"/>
            </x14:dataBar>
          </x14:cfRule>
          <xm:sqref>AB13:AB50</xm:sqref>
        </x14:conditionalFormatting>
      </x14:conditionalFormattings>
    </ext>
    <ext xmlns:x14="http://schemas.microsoft.com/office/spreadsheetml/2009/9/main" uri="{CCE6A557-97BC-4b89-ADB6-D9C93CAAB3DF}">
      <x14:dataValidations xmlns:xm="http://schemas.microsoft.com/office/excel/2006/main" count="2">
        <x14:dataValidation type="list" allowBlank="1" showInputMessage="1" showErrorMessage="1" xr:uid="{8726BB3B-065C-49FE-91E3-5E0D9B1CEE54}">
          <x14:formula1>
            <xm:f>'Dropdown data'!$C$8:$C$18</xm:f>
          </x14:formula1>
          <xm:sqref>AQ6:AR6</xm:sqref>
        </x14:dataValidation>
        <x14:dataValidation type="list" allowBlank="1" showInputMessage="1" showErrorMessage="1" xr:uid="{0BFB0FC3-9EE8-4A32-B18F-ADD41D9728A0}">
          <x14:formula1>
            <xm:f>'Dropdown data'!$E$8:$E$21</xm:f>
          </x14:formula1>
          <xm:sqref>AQ9:AR9</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33790E-7D5D-4EB3-8535-486ACEDD9AA9}">
  <sheetPr codeName="Sheet1"/>
  <dimension ref="A1:W102"/>
  <sheetViews>
    <sheetView showGridLines="0" topLeftCell="A16" workbookViewId="0">
      <selection activeCell="E27" sqref="E27"/>
    </sheetView>
  </sheetViews>
  <sheetFormatPr defaultRowHeight="14.4" x14ac:dyDescent="0.3"/>
  <cols>
    <col min="1" max="1" width="6.21875" customWidth="1"/>
    <col min="2" max="2" width="5.109375" customWidth="1"/>
    <col min="3" max="3" width="4.33203125" customWidth="1"/>
    <col min="4" max="4" width="22.77734375" customWidth="1"/>
    <col min="5" max="5" width="33.88671875" bestFit="1" customWidth="1"/>
    <col min="6" max="6" width="11.88671875" bestFit="1" customWidth="1"/>
    <col min="7" max="7" width="7.88671875" bestFit="1" customWidth="1"/>
    <col min="8" max="8" width="18.6640625" customWidth="1"/>
    <col min="9" max="9" width="21.44140625" customWidth="1"/>
    <col min="10" max="11" width="9.33203125" bestFit="1" customWidth="1"/>
    <col min="12" max="12" width="10.21875" customWidth="1"/>
    <col min="13" max="13" width="15.5546875" bestFit="1" customWidth="1"/>
    <col min="14" max="14" width="24.33203125" customWidth="1"/>
    <col min="15" max="15" width="7.88671875" customWidth="1"/>
    <col min="16" max="16" width="15.109375" customWidth="1"/>
    <col min="17" max="17" width="15.21875" customWidth="1"/>
    <col min="18" max="18" width="16.77734375" customWidth="1"/>
  </cols>
  <sheetData>
    <row r="1" spans="1:23" x14ac:dyDescent="0.3">
      <c r="A1" s="78" t="s">
        <v>44</v>
      </c>
      <c r="B1" s="78"/>
      <c r="C1" s="78"/>
      <c r="D1" s="78"/>
      <c r="E1" s="78"/>
      <c r="F1" s="78"/>
      <c r="G1" s="78"/>
      <c r="H1" s="78"/>
      <c r="I1" s="78"/>
      <c r="J1" s="78"/>
      <c r="K1" s="78"/>
      <c r="L1" s="78"/>
      <c r="M1" s="78"/>
      <c r="N1" s="78"/>
      <c r="O1" s="78"/>
      <c r="P1" s="78"/>
      <c r="Q1" s="78"/>
      <c r="R1" s="78"/>
      <c r="S1" s="78"/>
      <c r="T1" s="78"/>
      <c r="U1" s="78"/>
      <c r="V1" s="78"/>
      <c r="W1" s="78"/>
    </row>
    <row r="2" spans="1:23" x14ac:dyDescent="0.3">
      <c r="A2" s="78"/>
      <c r="B2" s="78"/>
      <c r="C2" s="78"/>
      <c r="D2" s="78"/>
      <c r="E2" s="78"/>
      <c r="F2" s="78"/>
      <c r="G2" s="78"/>
      <c r="H2" s="78"/>
      <c r="I2" s="78"/>
      <c r="J2" s="78"/>
      <c r="K2" s="78"/>
      <c r="L2" s="78"/>
      <c r="M2" s="78"/>
      <c r="N2" s="78"/>
      <c r="O2" s="78"/>
      <c r="P2" s="78"/>
      <c r="Q2" s="78"/>
      <c r="R2" s="78"/>
      <c r="S2" s="78"/>
      <c r="T2" s="78"/>
      <c r="U2" s="78"/>
      <c r="V2" s="78"/>
      <c r="W2" s="78"/>
    </row>
    <row r="3" spans="1:23" x14ac:dyDescent="0.3">
      <c r="A3" s="78"/>
      <c r="B3" s="78"/>
      <c r="C3" s="78"/>
      <c r="D3" s="78"/>
      <c r="E3" s="78"/>
      <c r="F3" s="78"/>
      <c r="G3" s="78"/>
      <c r="H3" s="78"/>
      <c r="I3" s="78"/>
      <c r="J3" s="78"/>
      <c r="K3" s="78"/>
      <c r="L3" s="78"/>
      <c r="M3" s="78"/>
      <c r="N3" s="78"/>
      <c r="O3" s="78"/>
      <c r="P3" s="78"/>
      <c r="Q3" s="78"/>
      <c r="R3" s="78"/>
      <c r="S3" s="78"/>
      <c r="T3" s="78"/>
      <c r="U3" s="78"/>
      <c r="V3" s="78"/>
      <c r="W3" s="78"/>
    </row>
    <row r="6" spans="1:23" x14ac:dyDescent="0.3">
      <c r="C6" s="79" t="s">
        <v>45</v>
      </c>
      <c r="D6" s="79"/>
      <c r="E6" s="79"/>
      <c r="F6" s="79"/>
    </row>
    <row r="8" spans="1:23" x14ac:dyDescent="0.3">
      <c r="D8" s="40" t="s">
        <v>46</v>
      </c>
      <c r="E8" s="41" cm="1">
        <f t="array" aca="1" ref="E8" ca="1">current_date</f>
        <v>45736</v>
      </c>
    </row>
    <row r="9" spans="1:23" x14ac:dyDescent="0.3">
      <c r="D9" s="40" t="s">
        <v>50</v>
      </c>
      <c r="E9" s="41">
        <f>MAX(Tracking[Date])</f>
        <v>44635</v>
      </c>
    </row>
    <row r="10" spans="1:23" x14ac:dyDescent="0.3">
      <c r="D10" s="40" t="s">
        <v>49</v>
      </c>
      <c r="E10" t="str">
        <f ca="1">IF(E9=0,"","("&amp;_xlfn.DAYS(E8,E9)&amp;"days ago)")</f>
        <v>(1101days ago)</v>
      </c>
    </row>
    <row r="11" spans="1:23" x14ac:dyDescent="0.3">
      <c r="D11" s="40" t="s">
        <v>48</v>
      </c>
      <c r="E11">
        <f>COUNT(Tracking[Date])</f>
        <v>59</v>
      </c>
    </row>
    <row r="12" spans="1:23" x14ac:dyDescent="0.3">
      <c r="D12" s="40" t="s">
        <v>47</v>
      </c>
      <c r="E12" t="str" cm="1">
        <f t="array" aca="1" ref="E12" ca="1">"(" &amp; SUMPRODUCT(--(YEAR(Tracking[Date])=YEAR(current_date))) &amp; " this year)"</f>
        <v>(0 this year)</v>
      </c>
    </row>
    <row r="13" spans="1:23" x14ac:dyDescent="0.3">
      <c r="D13" s="40" t="s">
        <v>51</v>
      </c>
      <c r="E13" s="42">
        <f>_xlfn.IFNA(INDEX(Tracking[Balance], MATCH(Calculations!E9,Tracking[Date],0)), "-")</f>
        <v>2480</v>
      </c>
    </row>
    <row r="14" spans="1:23" x14ac:dyDescent="0.3">
      <c r="D14" s="40" t="s">
        <v>52</v>
      </c>
      <c r="E14" t="str">
        <f>IF(E13&gt;=0, "of tracked income left to be allocated", "allocated not covered by income")</f>
        <v>of tracked income left to be allocated</v>
      </c>
    </row>
    <row r="17" spans="3:14" x14ac:dyDescent="0.3">
      <c r="C17" s="79" t="s">
        <v>64</v>
      </c>
      <c r="D17" s="79"/>
      <c r="E17" s="79"/>
      <c r="F17" s="79"/>
    </row>
    <row r="19" spans="3:14" x14ac:dyDescent="0.3">
      <c r="D19" s="40" t="s">
        <v>65</v>
      </c>
      <c r="E19" cm="1">
        <f t="array" ref="E19">IF(Dashboard!$AQ$6="Current Year",YEAR(current_date),Dashboard!$AQ$6)</f>
        <v>2022</v>
      </c>
    </row>
    <row r="20" spans="3:14" x14ac:dyDescent="0.3">
      <c r="D20" s="52" t="s">
        <v>66</v>
      </c>
      <c r="E20" s="111" t="str">
        <f ca="1">IF(Dashboard!$AQ$9="Total Year", "Total Year", IF(Dashboard!$AQ$9="Current Month", MONTH(TODAY()), MONTH(Dashboard!$AQ$9)))</f>
        <v>Total Year</v>
      </c>
    </row>
    <row r="21" spans="3:14" x14ac:dyDescent="0.3">
      <c r="D21" s="40" t="s">
        <v>67</v>
      </c>
      <c r="E21" s="53" t="str">
        <f ca="1">IF(selected_period="Total Year", "Total Year", TEXT(DATE(selected_year, selected_period, 1), "mmmm"))</f>
        <v>Total Year</v>
      </c>
    </row>
    <row r="22" spans="3:14" x14ac:dyDescent="0.3">
      <c r="D22" s="40" t="s">
        <v>109</v>
      </c>
      <c r="E22">
        <f ca="1">IF(selected_period="Total Year", DATE(selected_year, 12,31) - DATE(selected_year-1,12,31), DAY(EOMONTH(DATE(selected_year, selected_period, 1), 0)))</f>
        <v>365</v>
      </c>
    </row>
    <row r="23" spans="3:14" x14ac:dyDescent="0.3">
      <c r="D23" s="40" t="s">
        <v>111</v>
      </c>
      <c r="E23" cm="1">
        <f t="array" aca="1" ref="E23" ca="1">IF(selected_year=YEAR(current_date), IF(selected_period="Total Year", current_date-DATE(selected_year-1,12,31), IF(selected_period=MONTH(current_date),DAY(current_date),IF(selected_period&lt;MONTH(current_date),E22,0))), IF(selected_year&lt;YEAR(current_date),E22,0))</f>
        <v>365</v>
      </c>
    </row>
    <row r="24" spans="3:14" x14ac:dyDescent="0.3">
      <c r="D24" s="40" t="s">
        <v>110</v>
      </c>
      <c r="E24" s="112">
        <f ca="1">E23/E22</f>
        <v>1</v>
      </c>
    </row>
    <row r="25" spans="3:14" x14ac:dyDescent="0.3">
      <c r="D25" s="40" t="s">
        <v>112</v>
      </c>
      <c r="E25" s="113">
        <f ca="1">F41-(J41+N41)</f>
        <v>2480</v>
      </c>
    </row>
    <row r="26" spans="3:14" x14ac:dyDescent="0.3">
      <c r="D26" s="40" t="s">
        <v>52</v>
      </c>
      <c r="E26" t="str">
        <f ca="1">IF(E25&gt;=0, "of tracked income left to be allocated", "allocated not covered by income")</f>
        <v>of tracked income left to be allocated</v>
      </c>
    </row>
    <row r="27" spans="3:14" x14ac:dyDescent="0.3">
      <c r="D27" s="40" t="s">
        <v>113</v>
      </c>
      <c r="E27" s="114">
        <f ca="1">IFERROR(IF(savings_rate_calculation_type="% allocated to Savings", N41/F41, (F41-J41)/F41), "-")</f>
        <v>0.22720588235294117</v>
      </c>
    </row>
    <row r="32" spans="3:14" x14ac:dyDescent="0.3">
      <c r="D32" s="85" t="s">
        <v>90</v>
      </c>
      <c r="E32" s="69"/>
      <c r="F32" s="69"/>
      <c r="G32" s="69"/>
      <c r="H32" s="69"/>
      <c r="I32" s="69"/>
      <c r="J32" s="69"/>
      <c r="K32" s="69"/>
      <c r="L32" s="69"/>
      <c r="M32" s="69"/>
      <c r="N32" s="69"/>
    </row>
    <row r="34" spans="4:14" x14ac:dyDescent="0.3">
      <c r="D34" s="87" t="s">
        <v>5</v>
      </c>
      <c r="E34" s="87" t="s">
        <v>32</v>
      </c>
      <c r="F34" s="87" t="s">
        <v>33</v>
      </c>
      <c r="H34" s="87" t="s">
        <v>11</v>
      </c>
      <c r="I34" s="87" t="s">
        <v>32</v>
      </c>
      <c r="J34" s="87" t="s">
        <v>33</v>
      </c>
      <c r="L34" s="87" t="s">
        <v>16</v>
      </c>
      <c r="M34" s="87" t="s">
        <v>32</v>
      </c>
      <c r="N34" s="87" t="s">
        <v>33</v>
      </c>
    </row>
    <row r="35" spans="4:14" x14ac:dyDescent="0.3">
      <c r="D35" s="88">
        <v>1</v>
      </c>
      <c r="E35" s="88" t="str" cm="1">
        <f t="array" aca="1" ref="E35" ca="1">IF(F35="", "",INDEX(Dashboard!$J:$J, MATCH(income_header_row + Calculations!D35, Dashboard!$X:$X, 0)))</f>
        <v>Salary</v>
      </c>
      <c r="F35" s="91" cm="1">
        <f t="array" aca="1" ref="F35" ca="1">IF(D35&gt;COUNTA(Income[]), "",IF(INDEX(Dashboard!$K:$K, MATCH(income_header_row + Calculations!D35, Dashboard!$X:$X, 0))=0,"",INDEX(Dashboard!$K:$K, MATCH(income_header_row + Calculations!D35, Dashboard!$X:$X, 0))))</f>
        <v>10500</v>
      </c>
      <c r="H35" s="88">
        <v>1</v>
      </c>
      <c r="I35" s="88" t="str" cm="1">
        <f t="array" aca="1" ref="I35" ca="1">IF(J35="", "",INDEX(Dashboard!$J:$J, MATCH(expenses_header_row + Calculations!H35, Dashboard!$X:$X, 0)))</f>
        <v>Bond</v>
      </c>
      <c r="J35" s="91" cm="1">
        <f t="array" aca="1" ref="J35" ca="1">IF(H35&gt;COUNTA(Expenses[]), "",IF(INDEX(Dashboard!$K:$K, MATCH(expenses_header_row + Calculations!H35, Dashboard!$X:$X, 0))=0,"",INDEX(Dashboard!$K:$K, MATCH(expenses_header_row + Calculations!H35, Dashboard!$X:$X, 0))))</f>
        <v>2400</v>
      </c>
      <c r="L35" s="88">
        <v>1</v>
      </c>
      <c r="M35" s="88" t="str" cm="1">
        <f t="array" aca="1" ref="M35" ca="1">IF(N35="", "",INDEX(Dashboard!$J:$J, MATCH(savings_header_row + Calculations!L35, Dashboard!$X:$X, 0)))</f>
        <v>Emergency fund</v>
      </c>
      <c r="N35" s="91" cm="1">
        <f t="array" aca="1" ref="N35" ca="1">IF(L35&gt;COUNTA(Savings[]), "",IF(INDEX(Dashboard!$K:$K, MATCH(savings_header_row + Calculations!L35, Dashboard!$X:$X, 0))=0,"",INDEX(Dashboard!$K:$K, MATCH(savings_header_row + Calculations!L35, Dashboard!$X:$X, 0))))</f>
        <v>1140</v>
      </c>
    </row>
    <row r="36" spans="4:14" x14ac:dyDescent="0.3">
      <c r="D36" s="88">
        <v>2</v>
      </c>
      <c r="E36" s="88" t="str" cm="1">
        <f t="array" aca="1" ref="E36" ca="1">IF(F36="", "",INDEX(Dashboard!$J:$J, MATCH(income_header_row + Calculations!D36, Dashboard!$X:$X, 0)))</f>
        <v>Parking rental</v>
      </c>
      <c r="F36" s="91" cm="1">
        <f t="array" aca="1" ref="F36" ca="1">IF(D36&gt;COUNTA(Income[]), "",IF(INDEX(Dashboard!$K:$K, MATCH(income_header_row + Calculations!D36, Dashboard!$X:$X, 0))=0,"",INDEX(Dashboard!$K:$K, MATCH(income_header_row + Calculations!D36, Dashboard!$X:$X, 0))))</f>
        <v>2800</v>
      </c>
      <c r="H36" s="88">
        <v>2</v>
      </c>
      <c r="I36" s="88" t="str" cm="1">
        <f t="array" aca="1" ref="I36" ca="1">IF(J36="", "",INDEX(Dashboard!$J:$J, MATCH(expenses_header_row + Calculations!H36, Dashboard!$X:$X, 0)))</f>
        <v>Insurances</v>
      </c>
      <c r="J36" s="91" cm="1">
        <f t="array" aca="1" ref="J36" ca="1">IF(H36&gt;COUNTA(Expenses[]), "",IF(INDEX(Dashboard!$K:$K, MATCH(expenses_header_row + Calculations!H36, Dashboard!$X:$X, 0))=0,"",INDEX(Dashboard!$K:$K, MATCH(expenses_header_row + Calculations!H36, Dashboard!$X:$X, 0))))</f>
        <v>1350</v>
      </c>
      <c r="L36" s="88">
        <v>2</v>
      </c>
      <c r="M36" s="88" t="str" cm="1">
        <f t="array" aca="1" ref="M36" ca="1">IF(N36="", "",INDEX(Dashboard!$J:$J, MATCH(savings_header_row + Calculations!L36, Dashboard!$X:$X, 0)))</f>
        <v>Retirement</v>
      </c>
      <c r="N36" s="91" cm="1">
        <f t="array" aca="1" ref="N36" ca="1">IF(L36&gt;COUNTA(Savings[]), "",IF(INDEX(Dashboard!$K:$K, MATCH(savings_header_row + Calculations!L36, Dashboard!$X:$X, 0))=0,"",INDEX(Dashboard!$K:$K, MATCH(savings_header_row + Calculations!L36, Dashboard!$X:$X, 0))))</f>
        <v>800</v>
      </c>
    </row>
    <row r="37" spans="4:14" x14ac:dyDescent="0.3">
      <c r="D37" s="88">
        <v>3</v>
      </c>
      <c r="E37" s="88" t="str" cm="1">
        <f t="array" aca="1" ref="E37" ca="1">IF(F37="", "",INDEX(Dashboard!$J:$J, MATCH(income_header_row + Calculations!D37, Dashboard!$X:$X, 0)))</f>
        <v>Dividends</v>
      </c>
      <c r="F37" s="91" cm="1">
        <f t="array" aca="1" ref="F37" ca="1">IF(D37&gt;COUNTA(Income[]), "",IF(INDEX(Dashboard!$K:$K, MATCH(income_header_row + Calculations!D37, Dashboard!$X:$X, 0))=0,"",INDEX(Dashboard!$K:$K, MATCH(income_header_row + Calculations!D37, Dashboard!$X:$X, 0))))</f>
        <v>300</v>
      </c>
      <c r="H37" s="88">
        <v>3</v>
      </c>
      <c r="I37" s="88" t="str" cm="1">
        <f t="array" aca="1" ref="I37" ca="1">IF(J37="", "",INDEX(Dashboard!$J:$J, MATCH(expenses_header_row + Calculations!H37, Dashboard!$X:$X, 0)))</f>
        <v>Groceries</v>
      </c>
      <c r="J37" s="91" cm="1">
        <f t="array" aca="1" ref="J37" ca="1">IF(H37&gt;COUNTA(Expenses[]), "",IF(INDEX(Dashboard!$K:$K, MATCH(expenses_header_row + Calculations!H37, Dashboard!$X:$X, 0))=0,"",INDEX(Dashboard!$K:$K, MATCH(expenses_header_row + Calculations!H37, Dashboard!$X:$X, 0))))</f>
        <v>1100</v>
      </c>
      <c r="L37" s="88">
        <v>3</v>
      </c>
      <c r="M37" s="88" t="str" cm="1">
        <f t="array" aca="1" ref="M37" ca="1">IF(N37="", "",INDEX(Dashboard!$J:$J, MATCH(savings_header_row + Calculations!L37, Dashboard!$X:$X, 0)))</f>
        <v>Stock Portfolio</v>
      </c>
      <c r="N37" s="91" cm="1">
        <f t="array" aca="1" ref="N37" ca="1">IF(L37&gt;COUNTA(Savings[]), "",IF(INDEX(Dashboard!$K:$K, MATCH(savings_header_row + Calculations!L37, Dashboard!$X:$X, 0))=0,"",INDEX(Dashboard!$K:$K, MATCH(savings_header_row + Calculations!L37, Dashboard!$X:$X, 0))))</f>
        <v>750</v>
      </c>
    </row>
    <row r="38" spans="4:14" x14ac:dyDescent="0.3">
      <c r="D38" s="88">
        <v>4</v>
      </c>
      <c r="E38" s="88" t="str" cm="1">
        <f t="array" ref="E38">IF(F38="", "",INDEX(Dashboard!$J:$J, MATCH(income_header_row + Calculations!D38, Dashboard!$X:$X, 0)))</f>
        <v/>
      </c>
      <c r="F38" s="91" t="str" cm="1">
        <f t="array" ref="F38">IF(D38&gt;COUNTA(Income[]), "",IF(INDEX(Dashboard!$K:$K, MATCH(income_header_row + Calculations!D38, Dashboard!$X:$X, 0))=0,"",INDEX(Dashboard!$K:$K, MATCH(income_header_row + Calculations!D38, Dashboard!$X:$X, 0))))</f>
        <v/>
      </c>
      <c r="H38" s="88">
        <v>4</v>
      </c>
      <c r="I38" s="88" t="str" cm="1">
        <f t="array" aca="1" ref="I38" ca="1">IF(J38="", "",INDEX(Dashboard!$J:$J, MATCH(expenses_header_row + Calculations!H38, Dashboard!$X:$X, 0)))</f>
        <v>Levy</v>
      </c>
      <c r="J38" s="91" cm="1">
        <f t="array" aca="1" ref="J38" ca="1">IF(H38&gt;COUNTA(Expenses[]), "",IF(INDEX(Dashboard!$K:$K, MATCH(expenses_header_row + Calculations!H38, Dashboard!$X:$X, 0))=0,"",INDEX(Dashboard!$K:$K, MATCH(expenses_header_row + Calculations!H38, Dashboard!$X:$X, 0))))</f>
        <v>900</v>
      </c>
      <c r="L38" s="88">
        <v>4</v>
      </c>
      <c r="M38" s="88" t="str" cm="1">
        <f t="array" aca="1" ref="M38" ca="1">IF(N38="", "",INDEX(Dashboard!$J:$J, MATCH(savings_header_row + Calculations!L38, Dashboard!$X:$X, 0)))</f>
        <v>Sinking fund rest</v>
      </c>
      <c r="N38" s="91" cm="1">
        <f t="array" aca="1" ref="N38" ca="1">IF(L38&gt;COUNTA(Savings[]), "",IF(INDEX(Dashboard!$K:$K, MATCH(savings_header_row + Calculations!L38, Dashboard!$X:$X, 0))=0,"",INDEX(Dashboard!$K:$K, MATCH(savings_header_row + Calculations!L38, Dashboard!$X:$X, 0))))</f>
        <v>400</v>
      </c>
    </row>
    <row r="39" spans="4:14" x14ac:dyDescent="0.3">
      <c r="D39" s="88">
        <v>5</v>
      </c>
      <c r="E39" s="88" t="str" cm="1">
        <f t="array" ref="E39">IF(F39="", "",INDEX(Dashboard!$J:$J, MATCH(income_header_row + Calculations!D39, Dashboard!$X:$X, 0)))</f>
        <v/>
      </c>
      <c r="F39" s="91" t="str" cm="1">
        <f t="array" ref="F39">IF(D39&gt;COUNTA(Income[]), "",IF(INDEX(Dashboard!$K:$K, MATCH(income_header_row + Calculations!D39, Dashboard!$X:$X, 0))=0,"",INDEX(Dashboard!$K:$K, MATCH(income_header_row + Calculations!D39, Dashboard!$X:$X, 0))))</f>
        <v/>
      </c>
      <c r="H39" s="88">
        <v>5</v>
      </c>
      <c r="I39" s="88" t="str" cm="1">
        <f t="array" aca="1" ref="I39" ca="1">IF(J39="", "",INDEX(Dashboard!$J:$J, MATCH(expenses_header_row + Calculations!H39, Dashboard!$X:$X, 0)))</f>
        <v>Fun &amp; Holidays</v>
      </c>
      <c r="J39" s="91" cm="1">
        <f t="array" aca="1" ref="J39" ca="1">IF(H39&gt;COUNTA(Expenses[]), "",IF(INDEX(Dashboard!$K:$K, MATCH(expenses_header_row + Calculations!H39, Dashboard!$X:$X, 0))=0,"",INDEX(Dashboard!$K:$K, MATCH(expenses_header_row + Calculations!H39, Dashboard!$X:$X, 0))))</f>
        <v>730</v>
      </c>
      <c r="L39" s="88">
        <v>5</v>
      </c>
      <c r="M39" s="88" t="str" cm="1">
        <f t="array" aca="1" ref="M39" ca="1">IF(N39="", "",INDEX(Dashboard!$J:$J, MATCH(savings_header_row + Calculations!L39, Dashboard!$X:$X, 0)))</f>
        <v/>
      </c>
      <c r="N39" s="91" t="str" cm="1">
        <f t="array" aca="1" ref="N39" ca="1">IF(L39&gt;COUNTA(Savings[]), "",IF(INDEX(Dashboard!$K:$K, MATCH(savings_header_row + Calculations!L39, Dashboard!$X:$X, 0))=0,"",INDEX(Dashboard!$K:$K, MATCH(savings_header_row + Calculations!L39, Dashboard!$X:$X, 0))))</f>
        <v/>
      </c>
    </row>
    <row r="40" spans="4:14" ht="15" thickBot="1" x14ac:dyDescent="0.35">
      <c r="D40" s="89">
        <v>6</v>
      </c>
      <c r="E40" s="89" t="str">
        <f ca="1">IF(F40="", "", "Other")</f>
        <v>Other</v>
      </c>
      <c r="F40" s="92">
        <f ca="1">F41-SUM(F35:F39)</f>
        <v>0</v>
      </c>
      <c r="H40" s="89">
        <v>6</v>
      </c>
      <c r="I40" s="89" t="str">
        <f ca="1">IF(J40="", "", "Other")</f>
        <v>Other</v>
      </c>
      <c r="J40" s="92">
        <f ca="1">J41-SUM(J35:J39)</f>
        <v>1550</v>
      </c>
      <c r="L40" s="89">
        <v>6</v>
      </c>
      <c r="M40" s="89" t="str">
        <f ca="1">IF(N40=" ", " ", "Other")</f>
        <v>Other</v>
      </c>
      <c r="N40" s="92">
        <f ca="1">N41-SUM(N35:N39)</f>
        <v>0</v>
      </c>
    </row>
    <row r="41" spans="4:14" ht="15" thickTop="1" x14ac:dyDescent="0.3">
      <c r="D41" s="88"/>
      <c r="E41" s="90" t="s">
        <v>7</v>
      </c>
      <c r="F41" s="93" cm="1">
        <f t="array" aca="1" ref="F41" ca="1">INDEX(Dashboard!$K:$K, MATCH(income_total_row, Dashboard!$X:$X, 0))</f>
        <v>13600</v>
      </c>
      <c r="H41" s="88"/>
      <c r="I41" s="90" t="s">
        <v>7</v>
      </c>
      <c r="J41" s="93" cm="1">
        <f t="array" aca="1" ref="J41" ca="1">INDEX(Dashboard!$K:$K, MATCH(expenses_row_total, Dashboard!$X:$X, 0))</f>
        <v>8030</v>
      </c>
      <c r="L41" s="88"/>
      <c r="M41" s="90" t="s">
        <v>7</v>
      </c>
      <c r="N41" s="93" cm="1">
        <f t="array" aca="1" ref="N41" ca="1">INDEX(Dashboard!$K:$K, MATCH(savings_total_row, Dashboard!$X:$X, 0))</f>
        <v>3090</v>
      </c>
    </row>
    <row r="47" spans="4:14" x14ac:dyDescent="0.3">
      <c r="D47" s="85" t="s">
        <v>91</v>
      </c>
      <c r="E47" s="69"/>
      <c r="F47" s="69"/>
      <c r="G47" s="69"/>
      <c r="H47" s="69"/>
      <c r="I47" s="69"/>
      <c r="J47" s="69"/>
      <c r="K47" s="69"/>
      <c r="L47" s="69"/>
      <c r="M47" s="69"/>
      <c r="N47" s="69"/>
    </row>
    <row r="49" spans="1:18" x14ac:dyDescent="0.3">
      <c r="D49" s="107" t="s">
        <v>105</v>
      </c>
      <c r="E49" t="b">
        <v>1</v>
      </c>
    </row>
    <row r="50" spans="1:18" x14ac:dyDescent="0.3">
      <c r="D50" s="107" t="s">
        <v>106</v>
      </c>
      <c r="E50" t="b">
        <v>1</v>
      </c>
    </row>
    <row r="51" spans="1:18" x14ac:dyDescent="0.3">
      <c r="D51" s="107" t="s">
        <v>107</v>
      </c>
      <c r="E51" t="b">
        <v>1</v>
      </c>
    </row>
    <row r="52" spans="1:18" x14ac:dyDescent="0.3">
      <c r="D52" s="40" t="s">
        <v>108</v>
      </c>
      <c r="E52" t="b">
        <v>1</v>
      </c>
    </row>
    <row r="53" spans="1:18" x14ac:dyDescent="0.3">
      <c r="M53" s="99" t="s">
        <v>100</v>
      </c>
      <c r="N53" s="99"/>
      <c r="O53" s="99"/>
      <c r="P53" s="100" t="s">
        <v>104</v>
      </c>
      <c r="Q53" s="100"/>
      <c r="R53" s="100"/>
    </row>
    <row r="54" spans="1:18" x14ac:dyDescent="0.3">
      <c r="A54" s="40"/>
      <c r="B54" s="40"/>
      <c r="C54" s="40"/>
      <c r="D54" s="86" t="s">
        <v>92</v>
      </c>
      <c r="E54" s="86" t="s">
        <v>31</v>
      </c>
      <c r="F54" s="86" t="s">
        <v>93</v>
      </c>
      <c r="G54" s="86" t="s">
        <v>94</v>
      </c>
      <c r="H54" s="86" t="s">
        <v>95</v>
      </c>
      <c r="I54" s="86" t="s">
        <v>96</v>
      </c>
      <c r="J54" s="86" t="s">
        <v>97</v>
      </c>
      <c r="K54" s="86" t="s">
        <v>98</v>
      </c>
      <c r="L54" s="86" t="s">
        <v>99</v>
      </c>
      <c r="M54" s="86" t="s">
        <v>103</v>
      </c>
      <c r="N54" s="86" t="s">
        <v>101</v>
      </c>
      <c r="O54" s="86" t="s">
        <v>102</v>
      </c>
      <c r="P54" s="86" t="s">
        <v>103</v>
      </c>
      <c r="Q54" s="86" t="s">
        <v>101</v>
      </c>
      <c r="R54" s="86" t="s">
        <v>102</v>
      </c>
    </row>
    <row r="55" spans="1:18" x14ac:dyDescent="0.3">
      <c r="D55" s="104">
        <f>DATE(selected_year,1,1)</f>
        <v>44562</v>
      </c>
      <c r="E55" s="2" t="s">
        <v>5</v>
      </c>
      <c r="F55" s="109">
        <f>MONTH(D55)</f>
        <v>1</v>
      </c>
      <c r="G55" s="109">
        <f ca="1">IF(selected_period="Total Year", 1, IF(selected_period=cc_month_number,1, 0))</f>
        <v>1</v>
      </c>
      <c r="H55" s="109">
        <f>1*$E$49</f>
        <v>1</v>
      </c>
      <c r="I55" s="109">
        <f>1*$E$52</f>
        <v>1</v>
      </c>
      <c r="J55" s="106" cm="1">
        <f t="array" ref="J55">SUM(Tracking[Amount] * (Tracking[Type]=cc_type) * (YEAR(Tracking[Effective Date])=selected_year) * (MONTH(Tracking[Effective Date])=cc_month_number))</f>
        <v>4850</v>
      </c>
      <c r="K55" s="106" cm="1">
        <f t="array" aca="1" ref="K55" ca="1">INDEX('Budget Planning'!$E:$EM, income_total_row, MATCH(DATE(selected_year, cc_month_number, 1),'Budget Planning'!$E$9:$EM$9, 0)  )</f>
        <v>4650</v>
      </c>
      <c r="L55" s="106">
        <f ca="1">cc_budget-cc_tracked</f>
        <v>-200</v>
      </c>
      <c r="M55" s="106">
        <f ca="1">cc_in_focus * cc_show_type * MIN(cc_tracked, cc_budget)</f>
        <v>4650</v>
      </c>
      <c r="N55" s="106">
        <f ca="1">cc_in_focus * cc_show_type * cc_show_remenaing_budget * IF(cc_delta&gt;0, cc_delta, 0)</f>
        <v>0</v>
      </c>
      <c r="O55" s="106">
        <f ca="1">cc_in_focus * cc_show_type * IF(cc_delta&lt;0, ABS(cc_delta), 0)</f>
        <v>200</v>
      </c>
      <c r="P55" s="106">
        <f ca="1">NOT(cc_in_focus) * cc_show_type * MIN(cc_tracked, cc_budget)</f>
        <v>0</v>
      </c>
      <c r="Q55" s="106">
        <f ca="1">NOT(cc_in_focus) * cc_show_type * cc_show_remenaing_budget * IF(cc_delta&gt;0, cc_delta, 0)</f>
        <v>0</v>
      </c>
      <c r="R55" s="106">
        <f ca="1">NOT(cc_in_focus) * cc_show_type * IF(cc_delta&lt;0, ABS(cc_delta), 0)</f>
        <v>0</v>
      </c>
    </row>
    <row r="56" spans="1:18" x14ac:dyDescent="0.3">
      <c r="D56" s="104"/>
      <c r="E56" s="2" t="s">
        <v>11</v>
      </c>
      <c r="F56" s="109">
        <f>MONTH(D55)</f>
        <v>1</v>
      </c>
      <c r="G56" s="109">
        <f ca="1">IF(selected_period="Total Year", 1, IF(selected_period=cc_month_number,1, 0))</f>
        <v>1</v>
      </c>
      <c r="H56" s="109">
        <f>1*$E$50</f>
        <v>1</v>
      </c>
      <c r="I56" s="109">
        <f>1*$E$52</f>
        <v>1</v>
      </c>
      <c r="J56" s="106" cm="1">
        <f t="array" ref="J56">SUM(Tracking[Amount] * (Tracking[Type]=cc_type) * (YEAR(Tracking[Effective Date])=selected_year) * (MONTH(Tracking[Effective Date])=cc_month_number))</f>
        <v>2800</v>
      </c>
      <c r="K56" s="106" cm="1">
        <f t="array" aca="1" ref="K56" ca="1">INDEX('Budget Planning'!$E:$EM, expenses_row_total, MATCH(DATE(selected_year, cc_month_number, 1),'Budget Planning'!$E$9:$EM$9, 0)  )</f>
        <v>2900</v>
      </c>
      <c r="L56" s="106">
        <f ca="1">cc_budget-cc_tracked</f>
        <v>100</v>
      </c>
      <c r="M56" s="106">
        <f ca="1">cc_in_focus * cc_show_type * MIN(cc_tracked, cc_budget)</f>
        <v>2800</v>
      </c>
      <c r="N56" s="106">
        <f ca="1">cc_in_focus * cc_show_type * cc_show_remenaing_budget * IF(cc_delta&gt;0, cc_delta, 0)</f>
        <v>100</v>
      </c>
      <c r="O56" s="106">
        <f ca="1">cc_in_focus * cc_show_type * IF(cc_delta&lt;0, ABS(cc_delta), 0)</f>
        <v>0</v>
      </c>
      <c r="P56" s="106">
        <f ca="1">NOT(cc_in_focus) * cc_show_type * MIN(cc_tracked, cc_budget)</f>
        <v>0</v>
      </c>
      <c r="Q56" s="106">
        <f ca="1">NOT(cc_in_focus) * cc_show_type * cc_show_remenaing_budget * IF(cc_delta&gt;0, cc_delta, 0)</f>
        <v>0</v>
      </c>
      <c r="R56" s="106">
        <f ca="1">NOT(cc_in_focus) * cc_show_type * IF(cc_delta&lt;0, ABS(cc_delta), 0)</f>
        <v>0</v>
      </c>
    </row>
    <row r="57" spans="1:18" x14ac:dyDescent="0.3">
      <c r="D57" s="104"/>
      <c r="E57" s="2" t="s">
        <v>16</v>
      </c>
      <c r="F57" s="109">
        <f>MONTH(D55)</f>
        <v>1</v>
      </c>
      <c r="G57" s="109">
        <f ca="1">IF(selected_period="Total Year", 1, IF(selected_period=cc_month_number,1, 0))</f>
        <v>1</v>
      </c>
      <c r="H57" s="109">
        <f>1*$E$51</f>
        <v>1</v>
      </c>
      <c r="I57" s="109">
        <f>1*$E$52</f>
        <v>1</v>
      </c>
      <c r="J57" s="106" cm="1">
        <f t="array" ref="J57">SUM(Tracking[Amount] * (Tracking[Type]=cc_type) * (YEAR(Tracking[Effective Date])=selected_year) * (MONTH(Tracking[Effective Date])=cc_month_number))</f>
        <v>2050</v>
      </c>
      <c r="K57" s="106" cm="1">
        <f t="array" aca="1" ref="K57" ca="1">INDEX('Budget Planning'!$E:$EM, savings_total_row, MATCH(DATE(selected_year, cc_month_number, 1),'Budget Planning'!$E$9:$EM$9, 0)  )</f>
        <v>1750</v>
      </c>
      <c r="L57" s="106">
        <f ca="1">cc_budget-cc_tracked</f>
        <v>-300</v>
      </c>
      <c r="M57" s="106">
        <f ca="1">cc_in_focus * cc_show_type * MIN(cc_tracked, cc_budget)</f>
        <v>1750</v>
      </c>
      <c r="N57" s="106">
        <f ca="1">cc_in_focus * cc_show_type * cc_show_remenaing_budget * IF(cc_delta&gt;0, cc_delta, 0)</f>
        <v>0</v>
      </c>
      <c r="O57" s="106">
        <f ca="1">cc_in_focus * cc_show_type * IF(cc_delta&lt;0, ABS(cc_delta), 0)</f>
        <v>300</v>
      </c>
      <c r="P57" s="106">
        <f ca="1">NOT(cc_in_focus) * cc_show_type * MIN(cc_tracked, cc_budget)</f>
        <v>0</v>
      </c>
      <c r="Q57" s="106">
        <f ca="1">NOT(cc_in_focus) * cc_show_type * cc_show_remenaing_budget * IF(cc_delta&gt;0, cc_delta, 0)</f>
        <v>0</v>
      </c>
      <c r="R57" s="106">
        <f ca="1">NOT(cc_in_focus) * cc_show_type * IF(cc_delta&lt;0, ABS(cc_delta), 0)</f>
        <v>0</v>
      </c>
    </row>
    <row r="58" spans="1:18" x14ac:dyDescent="0.3">
      <c r="D58" s="105"/>
      <c r="E58" s="102"/>
      <c r="F58" s="110"/>
      <c r="G58" s="110"/>
      <c r="H58" s="110"/>
      <c r="I58" s="110"/>
      <c r="J58" s="108"/>
      <c r="K58" s="108"/>
      <c r="L58" s="108"/>
      <c r="M58" s="102"/>
      <c r="N58" s="102"/>
      <c r="O58" s="102"/>
      <c r="P58" s="108"/>
      <c r="Q58" s="108"/>
      <c r="R58" s="108"/>
    </row>
    <row r="59" spans="1:18" x14ac:dyDescent="0.3">
      <c r="D59" s="103">
        <f>DATE(selected_year,2,1)</f>
        <v>44593</v>
      </c>
      <c r="E59" s="101" t="s">
        <v>5</v>
      </c>
      <c r="F59" s="109">
        <f t="shared" ref="F59:F102" si="0">MONTH(D59)</f>
        <v>2</v>
      </c>
      <c r="G59" s="109">
        <f ca="1">IF(selected_period="Total Year", 1, IF(selected_period=cc_month_number,1, 0))</f>
        <v>1</v>
      </c>
      <c r="H59" s="109">
        <f t="shared" ref="H59:H102" si="1">1*$E$49</f>
        <v>1</v>
      </c>
      <c r="I59" s="109">
        <f t="shared" ref="I59:I102" si="2">1*$E$52</f>
        <v>1</v>
      </c>
      <c r="J59" s="106" cm="1">
        <f t="array" ref="J59">SUM(Tracking[Amount] * (Tracking[Type]=cc_type) * (YEAR(Tracking[Effective Date])=selected_year) * (MONTH(Tracking[Effective Date])=cc_month_number))</f>
        <v>4050</v>
      </c>
      <c r="K59" s="106" cm="1">
        <f t="array" aca="1" ref="K59" ca="1">INDEX('Budget Planning'!$E:$EM, income_total_row, MATCH(DATE(selected_year, cc_month_number, 1),'Budget Planning'!$E$9:$EM$9, 0)  )</f>
        <v>4550</v>
      </c>
      <c r="L59" s="106">
        <f ca="1">cc_budget-cc_tracked</f>
        <v>500</v>
      </c>
      <c r="M59" s="106">
        <f ca="1">cc_in_focus * cc_show_type * MIN(cc_tracked, cc_budget)</f>
        <v>4050</v>
      </c>
      <c r="N59" s="106">
        <f ca="1">cc_in_focus * cc_show_type * cc_show_remenaing_budget * IF(cc_delta&gt;0, cc_delta, 0)</f>
        <v>500</v>
      </c>
      <c r="O59" s="106">
        <f ca="1">cc_in_focus * cc_show_type * IF(cc_delta&lt;0, ABS(cc_delta), 0)</f>
        <v>0</v>
      </c>
      <c r="P59" s="106">
        <f ca="1">NOT(cc_in_focus) * cc_show_type * MIN(cc_tracked, cc_budget)</f>
        <v>0</v>
      </c>
      <c r="Q59" s="106">
        <f ca="1">NOT(cc_in_focus) * cc_show_type * cc_show_remenaing_budget * IF(cc_delta&gt;0, cc_delta, 0)</f>
        <v>0</v>
      </c>
      <c r="R59" s="106">
        <f ca="1">NOT(cc_in_focus) * cc_show_type * IF(cc_delta&lt;0, ABS(cc_delta), 0)</f>
        <v>0</v>
      </c>
    </row>
    <row r="60" spans="1:18" x14ac:dyDescent="0.3">
      <c r="D60" s="104"/>
      <c r="E60" s="2" t="s">
        <v>11</v>
      </c>
      <c r="F60" s="109">
        <f t="shared" ref="F60:F102" si="3">MONTH(D59)</f>
        <v>2</v>
      </c>
      <c r="G60" s="109">
        <f ca="1">IF(selected_period="Total Year", 1, IF(selected_period=cc_month_number,1, 0))</f>
        <v>1</v>
      </c>
      <c r="H60" s="109">
        <f t="shared" ref="H60:H102" si="4">1*$E$50</f>
        <v>1</v>
      </c>
      <c r="I60" s="109">
        <f t="shared" si="2"/>
        <v>1</v>
      </c>
      <c r="J60" s="106" cm="1">
        <f t="array" ref="J60">SUM(Tracking[Amount] * (Tracking[Type]=cc_type) * (YEAR(Tracking[Effective Date])=selected_year) * (MONTH(Tracking[Effective Date])=cc_month_number))</f>
        <v>3150</v>
      </c>
      <c r="K60" s="106" cm="1">
        <f t="array" aca="1" ref="K60" ca="1">INDEX('Budget Planning'!$E:$EM, expenses_row_total, MATCH(DATE(selected_year, cc_month_number, 1),'Budget Planning'!$E$9:$EM$9, 0)  )</f>
        <v>2900</v>
      </c>
      <c r="L60" s="106">
        <f ca="1">cc_budget-cc_tracked</f>
        <v>-250</v>
      </c>
      <c r="M60" s="106">
        <f ca="1">cc_in_focus * cc_show_type * MIN(cc_tracked, cc_budget)</f>
        <v>2900</v>
      </c>
      <c r="N60" s="106">
        <f ca="1">cc_in_focus * cc_show_type * cc_show_remenaing_budget * IF(cc_delta&gt;0, cc_delta, 0)</f>
        <v>0</v>
      </c>
      <c r="O60" s="106">
        <f ca="1">cc_in_focus * cc_show_type * IF(cc_delta&lt;0, ABS(cc_delta), 0)</f>
        <v>250</v>
      </c>
      <c r="P60" s="106">
        <f ca="1">NOT(cc_in_focus) * cc_show_type * MIN(cc_tracked, cc_budget)</f>
        <v>0</v>
      </c>
      <c r="Q60" s="106">
        <f ca="1">NOT(cc_in_focus) * cc_show_type * cc_show_remenaing_budget * IF(cc_delta&gt;0, cc_delta, 0)</f>
        <v>0</v>
      </c>
      <c r="R60" s="106">
        <f ca="1">NOT(cc_in_focus) * cc_show_type * IF(cc_delta&lt;0, ABS(cc_delta), 0)</f>
        <v>0</v>
      </c>
    </row>
    <row r="61" spans="1:18" x14ac:dyDescent="0.3">
      <c r="D61" s="104"/>
      <c r="E61" s="2" t="s">
        <v>16</v>
      </c>
      <c r="F61" s="109">
        <f>MONTH(D59)</f>
        <v>2</v>
      </c>
      <c r="G61" s="109">
        <f ca="1">IF(selected_period="Total Year", 1, IF(selected_period=cc_month_number,1, 0))</f>
        <v>1</v>
      </c>
      <c r="H61" s="109">
        <f t="shared" ref="H61:H102" si="5">1*$E$51</f>
        <v>1</v>
      </c>
      <c r="I61" s="109">
        <f t="shared" si="2"/>
        <v>1</v>
      </c>
      <c r="J61" s="106" cm="1">
        <f t="array" ref="J61">SUM(Tracking[Amount] * (Tracking[Type]=cc_type) * (YEAR(Tracking[Effective Date])=selected_year) * (MONTH(Tracking[Effective Date])=cc_month_number))</f>
        <v>1040</v>
      </c>
      <c r="K61" s="106" cm="1">
        <f t="array" aca="1" ref="K61" ca="1">INDEX('Budget Planning'!$E:$EM, savings_total_row, MATCH(DATE(selected_year, cc_month_number, 1),'Budget Planning'!$E$9:$EM$9, 0)  )</f>
        <v>1650</v>
      </c>
      <c r="L61" s="106">
        <f ca="1">cc_budget-cc_tracked</f>
        <v>610</v>
      </c>
      <c r="M61" s="106">
        <f ca="1">cc_in_focus * cc_show_type * MIN(cc_tracked, cc_budget)</f>
        <v>1040</v>
      </c>
      <c r="N61" s="106">
        <f ca="1">cc_in_focus * cc_show_type * cc_show_remenaing_budget * IF(cc_delta&gt;0, cc_delta, 0)</f>
        <v>610</v>
      </c>
      <c r="O61" s="106">
        <f ca="1">cc_in_focus * cc_show_type * IF(cc_delta&lt;0, ABS(cc_delta), 0)</f>
        <v>0</v>
      </c>
      <c r="P61" s="106">
        <f ca="1">NOT(cc_in_focus) * cc_show_type * MIN(cc_tracked, cc_budget)</f>
        <v>0</v>
      </c>
      <c r="Q61" s="106">
        <f ca="1">NOT(cc_in_focus) * cc_show_type * cc_show_remenaing_budget * IF(cc_delta&gt;0, cc_delta, 0)</f>
        <v>0</v>
      </c>
      <c r="R61" s="106">
        <f ca="1">NOT(cc_in_focus) * cc_show_type * IF(cc_delta&lt;0, ABS(cc_delta), 0)</f>
        <v>0</v>
      </c>
    </row>
    <row r="62" spans="1:18" x14ac:dyDescent="0.3">
      <c r="D62" s="105"/>
      <c r="E62" s="102"/>
      <c r="F62" s="110"/>
      <c r="G62" s="110"/>
      <c r="H62" s="110"/>
      <c r="I62" s="110"/>
      <c r="J62" s="108"/>
      <c r="K62" s="108"/>
      <c r="L62" s="108"/>
      <c r="M62" s="102"/>
      <c r="N62" s="102"/>
      <c r="O62" s="102"/>
      <c r="P62" s="108"/>
      <c r="Q62" s="108"/>
      <c r="R62" s="108"/>
    </row>
    <row r="63" spans="1:18" x14ac:dyDescent="0.3">
      <c r="D63" s="103">
        <f>DATE(selected_year,3,1)</f>
        <v>44621</v>
      </c>
      <c r="E63" s="101" t="s">
        <v>5</v>
      </c>
      <c r="F63" s="109">
        <f t="shared" ref="F63:F102" si="6">MONTH(D63)</f>
        <v>3</v>
      </c>
      <c r="G63" s="109">
        <f ca="1">IF(selected_period="Total Year", 1, IF(selected_period=cc_month_number,1, 0))</f>
        <v>1</v>
      </c>
      <c r="H63" s="109">
        <f t="shared" ref="H63:H102" si="7">1*$E$49</f>
        <v>1</v>
      </c>
      <c r="I63" s="109">
        <f t="shared" ref="I63:I102" si="8">1*$E$52</f>
        <v>1</v>
      </c>
      <c r="J63" s="106" cm="1">
        <f t="array" ref="J63">SUM(Tracking[Amount] * (Tracking[Type]=cc_type) * (YEAR(Tracking[Effective Date])=selected_year) * (MONTH(Tracking[Effective Date])=cc_month_number))</f>
        <v>4700</v>
      </c>
      <c r="K63" s="106" cm="1">
        <f t="array" aca="1" ref="K63" ca="1">INDEX('Budget Planning'!$E:$EM, income_total_row, MATCH(DATE(selected_year, cc_month_number, 1),'Budget Planning'!$E$9:$EM$9, 0)  )</f>
        <v>4600</v>
      </c>
      <c r="L63" s="106">
        <f ca="1">cc_budget-cc_tracked</f>
        <v>-100</v>
      </c>
      <c r="M63" s="106">
        <f ca="1">cc_in_focus * cc_show_type * MIN(cc_tracked, cc_budget)</f>
        <v>4600</v>
      </c>
      <c r="N63" s="106">
        <f ca="1">cc_in_focus * cc_show_type * cc_show_remenaing_budget * IF(cc_delta&gt;0, cc_delta, 0)</f>
        <v>0</v>
      </c>
      <c r="O63" s="106">
        <f ca="1">cc_in_focus * cc_show_type * IF(cc_delta&lt;0, ABS(cc_delta), 0)</f>
        <v>100</v>
      </c>
      <c r="P63" s="106">
        <f ca="1">NOT(cc_in_focus) * cc_show_type * MIN(cc_tracked, cc_budget)</f>
        <v>0</v>
      </c>
      <c r="Q63" s="106">
        <f ca="1">NOT(cc_in_focus) * cc_show_type * cc_show_remenaing_budget * IF(cc_delta&gt;0, cc_delta, 0)</f>
        <v>0</v>
      </c>
      <c r="R63" s="106">
        <f ca="1">NOT(cc_in_focus) * cc_show_type * IF(cc_delta&lt;0, ABS(cc_delta), 0)</f>
        <v>0</v>
      </c>
    </row>
    <row r="64" spans="1:18" x14ac:dyDescent="0.3">
      <c r="D64" s="104"/>
      <c r="E64" s="2" t="s">
        <v>11</v>
      </c>
      <c r="F64" s="109">
        <f>MONTH(D63)</f>
        <v>3</v>
      </c>
      <c r="G64" s="109">
        <f ca="1">IF(selected_period="Total Year", 1, IF(selected_period=cc_month_number,1, 0))</f>
        <v>1</v>
      </c>
      <c r="H64" s="109">
        <f t="shared" ref="H64:H102" si="9">1*$E$50</f>
        <v>1</v>
      </c>
      <c r="I64" s="109">
        <f t="shared" si="8"/>
        <v>1</v>
      </c>
      <c r="J64" s="106" cm="1">
        <f t="array" ref="J64">SUM(Tracking[Amount] * (Tracking[Type]=cc_type) * (YEAR(Tracking[Effective Date])=selected_year) * (MONTH(Tracking[Effective Date])=cc_month_number))</f>
        <v>2080</v>
      </c>
      <c r="K64" s="106" cm="1">
        <f t="array" aca="1" ref="K64" ca="1">INDEX('Budget Planning'!$E:$EM, expenses_row_total, MATCH(DATE(selected_year, cc_month_number, 1),'Budget Planning'!$E$9:$EM$9, 0)  )</f>
        <v>3050</v>
      </c>
      <c r="L64" s="106">
        <f ca="1">cc_budget-cc_tracked</f>
        <v>970</v>
      </c>
      <c r="M64" s="106">
        <f ca="1">cc_in_focus * cc_show_type * MIN(cc_tracked, cc_budget)</f>
        <v>2080</v>
      </c>
      <c r="N64" s="106">
        <f ca="1">cc_in_focus * cc_show_type * cc_show_remenaing_budget * IF(cc_delta&gt;0, cc_delta, 0)</f>
        <v>970</v>
      </c>
      <c r="O64" s="106">
        <f ca="1">cc_in_focus * cc_show_type * IF(cc_delta&lt;0, ABS(cc_delta), 0)</f>
        <v>0</v>
      </c>
      <c r="P64" s="106">
        <f ca="1">NOT(cc_in_focus) * cc_show_type * MIN(cc_tracked, cc_budget)</f>
        <v>0</v>
      </c>
      <c r="Q64" s="106">
        <f ca="1">NOT(cc_in_focus) * cc_show_type * cc_show_remenaing_budget * IF(cc_delta&gt;0, cc_delta, 0)</f>
        <v>0</v>
      </c>
      <c r="R64" s="106">
        <f ca="1">NOT(cc_in_focus) * cc_show_type * IF(cc_delta&lt;0, ABS(cc_delta), 0)</f>
        <v>0</v>
      </c>
    </row>
    <row r="65" spans="4:18" x14ac:dyDescent="0.3">
      <c r="D65" s="104"/>
      <c r="E65" s="2" t="s">
        <v>16</v>
      </c>
      <c r="F65" s="109">
        <f>MONTH(D63)</f>
        <v>3</v>
      </c>
      <c r="G65" s="109">
        <f ca="1">IF(selected_period="Total Year", 1, IF(selected_period=cc_month_number,1, 0))</f>
        <v>1</v>
      </c>
      <c r="H65" s="109">
        <f t="shared" ref="H65:H102" si="10">1*$E$51</f>
        <v>1</v>
      </c>
      <c r="I65" s="109">
        <f t="shared" si="8"/>
        <v>1</v>
      </c>
      <c r="J65" s="106" cm="1">
        <f t="array" ref="J65">SUM(Tracking[Amount] * (Tracking[Type]=cc_type) * (YEAR(Tracking[Effective Date])=selected_year) * (MONTH(Tracking[Effective Date])=cc_month_number))</f>
        <v>0</v>
      </c>
      <c r="K65" s="106" cm="1">
        <f t="array" aca="1" ref="K65" ca="1">INDEX('Budget Planning'!$E:$EM, savings_total_row, MATCH(DATE(selected_year, cc_month_number, 1),'Budget Planning'!$E$9:$EM$9, 0)  )</f>
        <v>1550</v>
      </c>
      <c r="L65" s="106">
        <f ca="1">cc_budget-cc_tracked</f>
        <v>1550</v>
      </c>
      <c r="M65" s="106">
        <f ca="1">cc_in_focus * cc_show_type * MIN(cc_tracked, cc_budget)</f>
        <v>0</v>
      </c>
      <c r="N65" s="106">
        <f ca="1">cc_in_focus * cc_show_type * cc_show_remenaing_budget * IF(cc_delta&gt;0, cc_delta, 0)</f>
        <v>1550</v>
      </c>
      <c r="O65" s="106">
        <f ca="1">cc_in_focus * cc_show_type * IF(cc_delta&lt;0, ABS(cc_delta), 0)</f>
        <v>0</v>
      </c>
      <c r="P65" s="106">
        <f ca="1">NOT(cc_in_focus) * cc_show_type * MIN(cc_tracked, cc_budget)</f>
        <v>0</v>
      </c>
      <c r="Q65" s="106">
        <f ca="1">NOT(cc_in_focus) * cc_show_type * cc_show_remenaing_budget * IF(cc_delta&gt;0, cc_delta, 0)</f>
        <v>0</v>
      </c>
      <c r="R65" s="106">
        <f ca="1">NOT(cc_in_focus) * cc_show_type * IF(cc_delta&lt;0, ABS(cc_delta), 0)</f>
        <v>0</v>
      </c>
    </row>
    <row r="66" spans="4:18" x14ac:dyDescent="0.3">
      <c r="D66" s="105"/>
      <c r="E66" s="102"/>
      <c r="F66" s="110"/>
      <c r="G66" s="110"/>
      <c r="H66" s="110"/>
      <c r="I66" s="110"/>
      <c r="J66" s="108"/>
      <c r="K66" s="108"/>
      <c r="L66" s="108"/>
      <c r="M66" s="102"/>
      <c r="N66" s="102"/>
      <c r="O66" s="102"/>
      <c r="P66" s="108"/>
      <c r="Q66" s="108"/>
      <c r="R66" s="108"/>
    </row>
    <row r="67" spans="4:18" x14ac:dyDescent="0.3">
      <c r="D67" s="103">
        <f>DATE(selected_year,4,1)</f>
        <v>44652</v>
      </c>
      <c r="E67" s="101" t="s">
        <v>5</v>
      </c>
      <c r="F67" s="109">
        <f>MONTH(D67)</f>
        <v>4</v>
      </c>
      <c r="G67" s="109">
        <f ca="1">IF(selected_period="Total Year", 1, IF(selected_period=cc_month_number,1, 0))</f>
        <v>1</v>
      </c>
      <c r="H67" s="109">
        <f t="shared" ref="H67:H102" si="11">1*$E$49</f>
        <v>1</v>
      </c>
      <c r="I67" s="109">
        <f t="shared" ref="I67:I102" si="12">1*$E$52</f>
        <v>1</v>
      </c>
      <c r="J67" s="106" cm="1">
        <f t="array" ref="J67">SUM(Tracking[Amount] * (Tracking[Type]=cc_type) * (YEAR(Tracking[Effective Date])=selected_year) * (MONTH(Tracking[Effective Date])=cc_month_number))</f>
        <v>0</v>
      </c>
      <c r="K67" s="106" cm="1">
        <f t="array" aca="1" ref="K67" ca="1">INDEX('Budget Planning'!$E:$EM, income_total_row, MATCH(DATE(selected_year, cc_month_number, 1),'Budget Planning'!$E$9:$EM$9, 0)  )</f>
        <v>5650</v>
      </c>
      <c r="L67" s="106">
        <f ca="1">cc_budget-cc_tracked</f>
        <v>5650</v>
      </c>
      <c r="M67" s="106">
        <f ca="1">cc_in_focus * cc_show_type * MIN(cc_tracked, cc_budget)</f>
        <v>0</v>
      </c>
      <c r="N67" s="106">
        <f ca="1">cc_in_focus * cc_show_type * cc_show_remenaing_budget * IF(cc_delta&gt;0, cc_delta, 0)</f>
        <v>5650</v>
      </c>
      <c r="O67" s="106">
        <f ca="1">cc_in_focus * cc_show_type * IF(cc_delta&lt;0, ABS(cc_delta), 0)</f>
        <v>0</v>
      </c>
      <c r="P67" s="106">
        <f ca="1">NOT(cc_in_focus) * cc_show_type * MIN(cc_tracked, cc_budget)</f>
        <v>0</v>
      </c>
      <c r="Q67" s="106">
        <f ca="1">NOT(cc_in_focus) * cc_show_type * cc_show_remenaing_budget * IF(cc_delta&gt;0, cc_delta, 0)</f>
        <v>0</v>
      </c>
      <c r="R67" s="106">
        <f ca="1">NOT(cc_in_focus) * cc_show_type * IF(cc_delta&lt;0, ABS(cc_delta), 0)</f>
        <v>0</v>
      </c>
    </row>
    <row r="68" spans="4:18" x14ac:dyDescent="0.3">
      <c r="D68" s="104"/>
      <c r="E68" s="2" t="s">
        <v>11</v>
      </c>
      <c r="F68" s="109">
        <f>MONTH(D67)</f>
        <v>4</v>
      </c>
      <c r="G68" s="109">
        <f ca="1">IF(selected_period="Total Year", 1, IF(selected_period=cc_month_number,1, 0))</f>
        <v>1</v>
      </c>
      <c r="H68" s="109">
        <f t="shared" ref="H68:H102" si="13">1*$E$50</f>
        <v>1</v>
      </c>
      <c r="I68" s="109">
        <f t="shared" si="12"/>
        <v>1</v>
      </c>
      <c r="J68" s="106" cm="1">
        <f t="array" ref="J68">SUM(Tracking[Amount] * (Tracking[Type]=cc_type) * (YEAR(Tracking[Effective Date])=selected_year) * (MONTH(Tracking[Effective Date])=cc_month_number))</f>
        <v>0</v>
      </c>
      <c r="K68" s="106" cm="1">
        <f t="array" aca="1" ref="K68" ca="1">INDEX('Budget Planning'!$E:$EM, expenses_row_total, MATCH(DATE(selected_year, cc_month_number, 1),'Budget Planning'!$E$9:$EM$9, 0)  )</f>
        <v>3800</v>
      </c>
      <c r="L68" s="106">
        <f ca="1">cc_budget-cc_tracked</f>
        <v>3800</v>
      </c>
      <c r="M68" s="106">
        <f ca="1">cc_in_focus * cc_show_type * MIN(cc_tracked, cc_budget)</f>
        <v>0</v>
      </c>
      <c r="N68" s="106">
        <f ca="1">cc_in_focus * cc_show_type * cc_show_remenaing_budget * IF(cc_delta&gt;0, cc_delta, 0)</f>
        <v>3800</v>
      </c>
      <c r="O68" s="106">
        <f ca="1">cc_in_focus * cc_show_type * IF(cc_delta&lt;0, ABS(cc_delta), 0)</f>
        <v>0</v>
      </c>
      <c r="P68" s="106">
        <f ca="1">NOT(cc_in_focus) * cc_show_type * MIN(cc_tracked, cc_budget)</f>
        <v>0</v>
      </c>
      <c r="Q68" s="106">
        <f ca="1">NOT(cc_in_focus) * cc_show_type * cc_show_remenaing_budget * IF(cc_delta&gt;0, cc_delta, 0)</f>
        <v>0</v>
      </c>
      <c r="R68" s="106">
        <f ca="1">NOT(cc_in_focus) * cc_show_type * IF(cc_delta&lt;0, ABS(cc_delta), 0)</f>
        <v>0</v>
      </c>
    </row>
    <row r="69" spans="4:18" x14ac:dyDescent="0.3">
      <c r="D69" s="104"/>
      <c r="E69" s="2" t="s">
        <v>16</v>
      </c>
      <c r="F69" s="109">
        <f>MONTH(D67)</f>
        <v>4</v>
      </c>
      <c r="G69" s="109">
        <f ca="1">IF(selected_period="Total Year", 1, IF(selected_period=cc_month_number,1, 0))</f>
        <v>1</v>
      </c>
      <c r="H69" s="109">
        <f t="shared" ref="H69:H102" si="14">1*$E$51</f>
        <v>1</v>
      </c>
      <c r="I69" s="109">
        <f t="shared" si="12"/>
        <v>1</v>
      </c>
      <c r="J69" s="106" cm="1">
        <f t="array" ref="J69">SUM(Tracking[Amount] * (Tracking[Type]=cc_type) * (YEAR(Tracking[Effective Date])=selected_year) * (MONTH(Tracking[Effective Date])=cc_month_number))</f>
        <v>0</v>
      </c>
      <c r="K69" s="106" cm="1">
        <f t="array" aca="1" ref="K69" ca="1">INDEX('Budget Planning'!$E:$EM, savings_total_row, MATCH(DATE(selected_year, cc_month_number, 1),'Budget Planning'!$E$9:$EM$9, 0)  )</f>
        <v>1850</v>
      </c>
      <c r="L69" s="106">
        <f ca="1">cc_budget-cc_tracked</f>
        <v>1850</v>
      </c>
      <c r="M69" s="106">
        <f ca="1">cc_in_focus * cc_show_type * MIN(cc_tracked, cc_budget)</f>
        <v>0</v>
      </c>
      <c r="N69" s="106">
        <f ca="1">cc_in_focus * cc_show_type * cc_show_remenaing_budget * IF(cc_delta&gt;0, cc_delta, 0)</f>
        <v>1850</v>
      </c>
      <c r="O69" s="106">
        <f ca="1">cc_in_focus * cc_show_type * IF(cc_delta&lt;0, ABS(cc_delta), 0)</f>
        <v>0</v>
      </c>
      <c r="P69" s="106">
        <f ca="1">NOT(cc_in_focus) * cc_show_type * MIN(cc_tracked, cc_budget)</f>
        <v>0</v>
      </c>
      <c r="Q69" s="106">
        <f ca="1">NOT(cc_in_focus) * cc_show_type * cc_show_remenaing_budget * IF(cc_delta&gt;0, cc_delta, 0)</f>
        <v>0</v>
      </c>
      <c r="R69" s="106">
        <f ca="1">NOT(cc_in_focus) * cc_show_type * IF(cc_delta&lt;0, ABS(cc_delta), 0)</f>
        <v>0</v>
      </c>
    </row>
    <row r="70" spans="4:18" x14ac:dyDescent="0.3">
      <c r="D70" s="105"/>
      <c r="E70" s="102"/>
      <c r="F70" s="110"/>
      <c r="G70" s="110"/>
      <c r="H70" s="110"/>
      <c r="I70" s="110"/>
      <c r="J70" s="108"/>
      <c r="K70" s="108"/>
      <c r="L70" s="108"/>
      <c r="M70" s="102"/>
      <c r="N70" s="102"/>
      <c r="O70" s="102"/>
      <c r="P70" s="108"/>
      <c r="Q70" s="108"/>
      <c r="R70" s="108"/>
    </row>
    <row r="71" spans="4:18" x14ac:dyDescent="0.3">
      <c r="D71" s="103">
        <f>DATE(selected_year,5,1)</f>
        <v>44682</v>
      </c>
      <c r="E71" s="101" t="s">
        <v>5</v>
      </c>
      <c r="F71" s="109">
        <f>MONTH(D71)</f>
        <v>5</v>
      </c>
      <c r="G71" s="109">
        <f ca="1">IF(selected_period="Total Year", 1, IF(selected_period=cc_month_number,1, 0))</f>
        <v>1</v>
      </c>
      <c r="H71" s="109">
        <f t="shared" ref="H71:H102" si="15">1*$E$49</f>
        <v>1</v>
      </c>
      <c r="I71" s="109">
        <f t="shared" ref="I71:I102" si="16">1*$E$52</f>
        <v>1</v>
      </c>
      <c r="J71" s="106" cm="1">
        <f t="array" ref="J71">SUM(Tracking[Amount] * (Tracking[Type]=cc_type) * (YEAR(Tracking[Effective Date])=selected_year) * (MONTH(Tracking[Effective Date])=cc_month_number))</f>
        <v>0</v>
      </c>
      <c r="K71" s="106" cm="1">
        <f t="array" aca="1" ref="K71" ca="1">INDEX('Budget Planning'!$E:$EM, income_total_row, MATCH(DATE(selected_year, cc_month_number, 1),'Budget Planning'!$E$9:$EM$9, 0)  )</f>
        <v>5550</v>
      </c>
      <c r="L71" s="106">
        <f ca="1">cc_budget-cc_tracked</f>
        <v>5550</v>
      </c>
      <c r="M71" s="106">
        <f ca="1">cc_in_focus * cc_show_type * MIN(cc_tracked, cc_budget)</f>
        <v>0</v>
      </c>
      <c r="N71" s="106">
        <f ca="1">cc_in_focus * cc_show_type * cc_show_remenaing_budget * IF(cc_delta&gt;0, cc_delta, 0)</f>
        <v>5550</v>
      </c>
      <c r="O71" s="106">
        <f ca="1">cc_in_focus * cc_show_type * IF(cc_delta&lt;0, ABS(cc_delta), 0)</f>
        <v>0</v>
      </c>
      <c r="P71" s="106">
        <f ca="1">NOT(cc_in_focus) * cc_show_type * MIN(cc_tracked, cc_budget)</f>
        <v>0</v>
      </c>
      <c r="Q71" s="106">
        <f ca="1">NOT(cc_in_focus) * cc_show_type * cc_show_remenaing_budget * IF(cc_delta&gt;0, cc_delta, 0)</f>
        <v>0</v>
      </c>
      <c r="R71" s="106">
        <f ca="1">NOT(cc_in_focus) * cc_show_type * IF(cc_delta&lt;0, ABS(cc_delta), 0)</f>
        <v>0</v>
      </c>
    </row>
    <row r="72" spans="4:18" x14ac:dyDescent="0.3">
      <c r="D72" s="104"/>
      <c r="E72" s="2" t="s">
        <v>11</v>
      </c>
      <c r="F72" s="109">
        <f>MONTH(D71)</f>
        <v>5</v>
      </c>
      <c r="G72" s="109">
        <f ca="1">IF(selected_period="Total Year", 1, IF(selected_period=cc_month_number,1, 0))</f>
        <v>1</v>
      </c>
      <c r="H72" s="109">
        <f t="shared" ref="H72:H102" si="17">1*$E$50</f>
        <v>1</v>
      </c>
      <c r="I72" s="109">
        <f t="shared" si="16"/>
        <v>1</v>
      </c>
      <c r="J72" s="106" cm="1">
        <f t="array" ref="J72">SUM(Tracking[Amount] * (Tracking[Type]=cc_type) * (YEAR(Tracking[Effective Date])=selected_year) * (MONTH(Tracking[Effective Date])=cc_month_number))</f>
        <v>0</v>
      </c>
      <c r="K72" s="106" cm="1">
        <f t="array" aca="1" ref="K72" ca="1">INDEX('Budget Planning'!$E:$EM, expenses_row_total, MATCH(DATE(selected_year, cc_month_number, 1),'Budget Planning'!$E$9:$EM$9, 0)  )</f>
        <v>2900</v>
      </c>
      <c r="L72" s="106">
        <f ca="1">cc_budget-cc_tracked</f>
        <v>2900</v>
      </c>
      <c r="M72" s="106">
        <f ca="1">cc_in_focus * cc_show_type * MIN(cc_tracked, cc_budget)</f>
        <v>0</v>
      </c>
      <c r="N72" s="106">
        <f ca="1">cc_in_focus * cc_show_type * cc_show_remenaing_budget * IF(cc_delta&gt;0, cc_delta, 0)</f>
        <v>2900</v>
      </c>
      <c r="O72" s="106">
        <f ca="1">cc_in_focus * cc_show_type * IF(cc_delta&lt;0, ABS(cc_delta), 0)</f>
        <v>0</v>
      </c>
      <c r="P72" s="106">
        <f ca="1">NOT(cc_in_focus) * cc_show_type * MIN(cc_tracked, cc_budget)</f>
        <v>0</v>
      </c>
      <c r="Q72" s="106">
        <f ca="1">NOT(cc_in_focus) * cc_show_type * cc_show_remenaing_budget * IF(cc_delta&gt;0, cc_delta, 0)</f>
        <v>0</v>
      </c>
      <c r="R72" s="106">
        <f ca="1">NOT(cc_in_focus) * cc_show_type * IF(cc_delta&lt;0, ABS(cc_delta), 0)</f>
        <v>0</v>
      </c>
    </row>
    <row r="73" spans="4:18" x14ac:dyDescent="0.3">
      <c r="D73" s="104"/>
      <c r="E73" s="2" t="s">
        <v>16</v>
      </c>
      <c r="F73" s="109">
        <f>MONTH(D71)</f>
        <v>5</v>
      </c>
      <c r="G73" s="109">
        <f ca="1">IF(selected_period="Total Year", 1, IF(selected_period=cc_month_number,1, 0))</f>
        <v>1</v>
      </c>
      <c r="H73" s="109">
        <f t="shared" ref="H73:H102" si="18">1*$E$51</f>
        <v>1</v>
      </c>
      <c r="I73" s="109">
        <f t="shared" si="16"/>
        <v>1</v>
      </c>
      <c r="J73" s="106" cm="1">
        <f t="array" ref="J73">SUM(Tracking[Amount] * (Tracking[Type]=cc_type) * (YEAR(Tracking[Effective Date])=selected_year) * (MONTH(Tracking[Effective Date])=cc_month_number))</f>
        <v>0</v>
      </c>
      <c r="K73" s="106" cm="1">
        <f t="array" aca="1" ref="K73" ca="1">INDEX('Budget Planning'!$E:$EM, savings_total_row, MATCH(DATE(selected_year, cc_month_number, 1),'Budget Planning'!$E$9:$EM$9, 0)  )</f>
        <v>2650</v>
      </c>
      <c r="L73" s="106">
        <f ca="1">cc_budget-cc_tracked</f>
        <v>2650</v>
      </c>
      <c r="M73" s="106">
        <f ca="1">cc_in_focus * cc_show_type * MIN(cc_tracked, cc_budget)</f>
        <v>0</v>
      </c>
      <c r="N73" s="106">
        <f ca="1">cc_in_focus * cc_show_type * cc_show_remenaing_budget * IF(cc_delta&gt;0, cc_delta, 0)</f>
        <v>2650</v>
      </c>
      <c r="O73" s="106">
        <f ca="1">cc_in_focus * cc_show_type * IF(cc_delta&lt;0, ABS(cc_delta), 0)</f>
        <v>0</v>
      </c>
      <c r="P73" s="106">
        <f ca="1">NOT(cc_in_focus) * cc_show_type * MIN(cc_tracked, cc_budget)</f>
        <v>0</v>
      </c>
      <c r="Q73" s="106">
        <f ca="1">NOT(cc_in_focus) * cc_show_type * cc_show_remenaing_budget * IF(cc_delta&gt;0, cc_delta, 0)</f>
        <v>0</v>
      </c>
      <c r="R73" s="106">
        <f ca="1">NOT(cc_in_focus) * cc_show_type * IF(cc_delta&lt;0, ABS(cc_delta), 0)</f>
        <v>0</v>
      </c>
    </row>
    <row r="74" spans="4:18" x14ac:dyDescent="0.3">
      <c r="D74" s="105"/>
      <c r="E74" s="102"/>
      <c r="F74" s="110"/>
      <c r="G74" s="110"/>
      <c r="H74" s="110"/>
      <c r="I74" s="110"/>
      <c r="J74" s="108"/>
      <c r="K74" s="108"/>
      <c r="L74" s="108"/>
      <c r="M74" s="102"/>
      <c r="N74" s="102"/>
      <c r="O74" s="102"/>
      <c r="P74" s="108"/>
      <c r="Q74" s="108"/>
      <c r="R74" s="108"/>
    </row>
    <row r="75" spans="4:18" x14ac:dyDescent="0.3">
      <c r="D75" s="103">
        <f>DATE(selected_year,6,1)</f>
        <v>44713</v>
      </c>
      <c r="E75" s="101" t="s">
        <v>5</v>
      </c>
      <c r="F75" s="109">
        <f>MONTH(D75)</f>
        <v>6</v>
      </c>
      <c r="G75" s="109">
        <f ca="1">IF(selected_period="Total Year", 1, IF(selected_period=cc_month_number,1, 0))</f>
        <v>1</v>
      </c>
      <c r="H75" s="109">
        <f t="shared" ref="H75:H102" si="19">1*$E$49</f>
        <v>1</v>
      </c>
      <c r="I75" s="109">
        <f t="shared" ref="I75:I102" si="20">1*$E$52</f>
        <v>1</v>
      </c>
      <c r="J75" s="106" cm="1">
        <f t="array" ref="J75">SUM(Tracking[Amount] * (Tracking[Type]=cc_type) * (YEAR(Tracking[Effective Date])=selected_year) * (MONTH(Tracking[Effective Date])=cc_month_number))</f>
        <v>0</v>
      </c>
      <c r="K75" s="106" cm="1">
        <f t="array" aca="1" ref="K75" ca="1">INDEX('Budget Planning'!$E:$EM, income_total_row, MATCH(DATE(selected_year, cc_month_number, 1),'Budget Planning'!$E$9:$EM$9, 0)  )</f>
        <v>5600</v>
      </c>
      <c r="L75" s="106">
        <f ca="1">cc_budget-cc_tracked</f>
        <v>5600</v>
      </c>
      <c r="M75" s="106">
        <f ca="1">cc_in_focus * cc_show_type * MIN(cc_tracked, cc_budget)</f>
        <v>0</v>
      </c>
      <c r="N75" s="106">
        <f ca="1">cc_in_focus * cc_show_type * cc_show_remenaing_budget * IF(cc_delta&gt;0, cc_delta, 0)</f>
        <v>5600</v>
      </c>
      <c r="O75" s="106">
        <f ca="1">cc_in_focus * cc_show_type * IF(cc_delta&lt;0, ABS(cc_delta), 0)</f>
        <v>0</v>
      </c>
      <c r="P75" s="106">
        <f ca="1">NOT(cc_in_focus) * cc_show_type * MIN(cc_tracked, cc_budget)</f>
        <v>0</v>
      </c>
      <c r="Q75" s="106">
        <f ca="1">NOT(cc_in_focus) * cc_show_type * cc_show_remenaing_budget * IF(cc_delta&gt;0, cc_delta, 0)</f>
        <v>0</v>
      </c>
      <c r="R75" s="106">
        <f ca="1">NOT(cc_in_focus) * cc_show_type * IF(cc_delta&lt;0, ABS(cc_delta), 0)</f>
        <v>0</v>
      </c>
    </row>
    <row r="76" spans="4:18" x14ac:dyDescent="0.3">
      <c r="D76" s="104"/>
      <c r="E76" s="2" t="s">
        <v>11</v>
      </c>
      <c r="F76" s="109">
        <f>MONTH(D75)</f>
        <v>6</v>
      </c>
      <c r="G76" s="109">
        <f ca="1">IF(selected_period="Total Year", 1, IF(selected_period=cc_month_number,1, 0))</f>
        <v>1</v>
      </c>
      <c r="H76" s="109">
        <f t="shared" ref="H76:H102" si="21">1*$E$50</f>
        <v>1</v>
      </c>
      <c r="I76" s="109">
        <f t="shared" si="20"/>
        <v>1</v>
      </c>
      <c r="J76" s="106" cm="1">
        <f t="array" ref="J76">SUM(Tracking[Amount] * (Tracking[Type]=cc_type) * (YEAR(Tracking[Effective Date])=selected_year) * (MONTH(Tracking[Effective Date])=cc_month_number))</f>
        <v>0</v>
      </c>
      <c r="K76" s="106" cm="1">
        <f t="array" aca="1" ref="K76" ca="1">INDEX('Budget Planning'!$E:$EM, expenses_row_total, MATCH(DATE(selected_year, cc_month_number, 1),'Budget Planning'!$E$9:$EM$9, 0)  )</f>
        <v>3050</v>
      </c>
      <c r="L76" s="106">
        <f ca="1">cc_budget-cc_tracked</f>
        <v>3050</v>
      </c>
      <c r="M76" s="106">
        <f ca="1">cc_in_focus * cc_show_type * MIN(cc_tracked, cc_budget)</f>
        <v>0</v>
      </c>
      <c r="N76" s="106">
        <f ca="1">cc_in_focus * cc_show_type * cc_show_remenaing_budget * IF(cc_delta&gt;0, cc_delta, 0)</f>
        <v>3050</v>
      </c>
      <c r="O76" s="106">
        <f ca="1">cc_in_focus * cc_show_type * IF(cc_delta&lt;0, ABS(cc_delta), 0)</f>
        <v>0</v>
      </c>
      <c r="P76" s="106">
        <f ca="1">NOT(cc_in_focus) * cc_show_type * MIN(cc_tracked, cc_budget)</f>
        <v>0</v>
      </c>
      <c r="Q76" s="106">
        <f ca="1">NOT(cc_in_focus) * cc_show_type * cc_show_remenaing_budget * IF(cc_delta&gt;0, cc_delta, 0)</f>
        <v>0</v>
      </c>
      <c r="R76" s="106">
        <f ca="1">NOT(cc_in_focus) * cc_show_type * IF(cc_delta&lt;0, ABS(cc_delta), 0)</f>
        <v>0</v>
      </c>
    </row>
    <row r="77" spans="4:18" x14ac:dyDescent="0.3">
      <c r="D77" s="104"/>
      <c r="E77" s="2" t="s">
        <v>16</v>
      </c>
      <c r="F77" s="109">
        <f>MONTH(D75)</f>
        <v>6</v>
      </c>
      <c r="G77" s="109">
        <f ca="1">IF(selected_period="Total Year", 1, IF(selected_period=cc_month_number,1, 0))</f>
        <v>1</v>
      </c>
      <c r="H77" s="109">
        <f t="shared" ref="H77:H102" si="22">1*$E$51</f>
        <v>1</v>
      </c>
      <c r="I77" s="109">
        <f t="shared" si="20"/>
        <v>1</v>
      </c>
      <c r="J77" s="106" cm="1">
        <f t="array" ref="J77">SUM(Tracking[Amount] * (Tracking[Type]=cc_type) * (YEAR(Tracking[Effective Date])=selected_year) * (MONTH(Tracking[Effective Date])=cc_month_number))</f>
        <v>0</v>
      </c>
      <c r="K77" s="106" cm="1">
        <f t="array" aca="1" ref="K77" ca="1">INDEX('Budget Planning'!$E:$EM, savings_total_row, MATCH(DATE(selected_year, cc_month_number, 1),'Budget Planning'!$E$9:$EM$9, 0)  )</f>
        <v>2550</v>
      </c>
      <c r="L77" s="106">
        <f ca="1">cc_budget-cc_tracked</f>
        <v>2550</v>
      </c>
      <c r="M77" s="106">
        <f ca="1">cc_in_focus * cc_show_type * MIN(cc_tracked, cc_budget)</f>
        <v>0</v>
      </c>
      <c r="N77" s="106">
        <f ca="1">cc_in_focus * cc_show_type * cc_show_remenaing_budget * IF(cc_delta&gt;0, cc_delta, 0)</f>
        <v>2550</v>
      </c>
      <c r="O77" s="106">
        <f ca="1">cc_in_focus * cc_show_type * IF(cc_delta&lt;0, ABS(cc_delta), 0)</f>
        <v>0</v>
      </c>
      <c r="P77" s="106">
        <f ca="1">NOT(cc_in_focus) * cc_show_type * MIN(cc_tracked, cc_budget)</f>
        <v>0</v>
      </c>
      <c r="Q77" s="106">
        <f ca="1">NOT(cc_in_focus) * cc_show_type * cc_show_remenaing_budget * IF(cc_delta&gt;0, cc_delta, 0)</f>
        <v>0</v>
      </c>
      <c r="R77" s="106">
        <f ca="1">NOT(cc_in_focus) * cc_show_type * IF(cc_delta&lt;0, ABS(cc_delta), 0)</f>
        <v>0</v>
      </c>
    </row>
    <row r="78" spans="4:18" x14ac:dyDescent="0.3">
      <c r="D78" s="105"/>
      <c r="E78" s="102"/>
      <c r="F78" s="110"/>
      <c r="G78" s="110"/>
      <c r="H78" s="110"/>
      <c r="I78" s="110"/>
      <c r="J78" s="108"/>
      <c r="K78" s="108"/>
      <c r="L78" s="108"/>
      <c r="M78" s="102"/>
      <c r="N78" s="102"/>
      <c r="O78" s="102"/>
      <c r="P78" s="108"/>
      <c r="Q78" s="108"/>
      <c r="R78" s="108"/>
    </row>
    <row r="79" spans="4:18" x14ac:dyDescent="0.3">
      <c r="D79" s="103">
        <f>DATE(selected_year,7,1)</f>
        <v>44743</v>
      </c>
      <c r="E79" s="101" t="s">
        <v>5</v>
      </c>
      <c r="F79" s="109">
        <f>MONTH(D79)</f>
        <v>7</v>
      </c>
      <c r="G79" s="109">
        <f ca="1">IF(selected_period="Total Year", 1, IF(selected_period=cc_month_number,1, 0))</f>
        <v>1</v>
      </c>
      <c r="H79" s="109">
        <f t="shared" ref="H79:H102" si="23">1*$E$49</f>
        <v>1</v>
      </c>
      <c r="I79" s="109">
        <f t="shared" ref="I79:I102" si="24">1*$E$52</f>
        <v>1</v>
      </c>
      <c r="J79" s="106" cm="1">
        <f t="array" ref="J79">SUM(Tracking[Amount] * (Tracking[Type]=cc_type) * (YEAR(Tracking[Effective Date])=selected_year) * (MONTH(Tracking[Effective Date])=cc_month_number))</f>
        <v>0</v>
      </c>
      <c r="K79" s="106" cm="1">
        <f t="array" aca="1" ref="K79" ca="1">INDEX('Budget Planning'!$E:$EM, income_total_row, MATCH(DATE(selected_year, cc_month_number, 1),'Budget Planning'!$E$9:$EM$9, 0)  )</f>
        <v>5650</v>
      </c>
      <c r="L79" s="106">
        <f ca="1">cc_budget-cc_tracked</f>
        <v>5650</v>
      </c>
      <c r="M79" s="106">
        <f ca="1">cc_in_focus * cc_show_type * MIN(cc_tracked, cc_budget)</f>
        <v>0</v>
      </c>
      <c r="N79" s="106">
        <f ca="1">cc_in_focus * cc_show_type * cc_show_remenaing_budget * IF(cc_delta&gt;0, cc_delta, 0)</f>
        <v>5650</v>
      </c>
      <c r="O79" s="106">
        <f ca="1">cc_in_focus * cc_show_type * IF(cc_delta&lt;0, ABS(cc_delta), 0)</f>
        <v>0</v>
      </c>
      <c r="P79" s="106">
        <f ca="1">NOT(cc_in_focus) * cc_show_type * MIN(cc_tracked, cc_budget)</f>
        <v>0</v>
      </c>
      <c r="Q79" s="106">
        <f ca="1">NOT(cc_in_focus) * cc_show_type * cc_show_remenaing_budget * IF(cc_delta&gt;0, cc_delta, 0)</f>
        <v>0</v>
      </c>
      <c r="R79" s="106">
        <f ca="1">NOT(cc_in_focus) * cc_show_type * IF(cc_delta&lt;0, ABS(cc_delta), 0)</f>
        <v>0</v>
      </c>
    </row>
    <row r="80" spans="4:18" x14ac:dyDescent="0.3">
      <c r="D80" s="104"/>
      <c r="E80" s="2" t="s">
        <v>11</v>
      </c>
      <c r="F80" s="109">
        <f>MONTH(D79)</f>
        <v>7</v>
      </c>
      <c r="G80" s="109">
        <f ca="1">IF(selected_period="Total Year", 1, IF(selected_period=cc_month_number,1, 0))</f>
        <v>1</v>
      </c>
      <c r="H80" s="109">
        <f t="shared" ref="H80:H102" si="25">1*$E$50</f>
        <v>1</v>
      </c>
      <c r="I80" s="109">
        <f t="shared" si="24"/>
        <v>1</v>
      </c>
      <c r="J80" s="106" cm="1">
        <f t="array" ref="J80">SUM(Tracking[Amount] * (Tracking[Type]=cc_type) * (YEAR(Tracking[Effective Date])=selected_year) * (MONTH(Tracking[Effective Date])=cc_month_number))</f>
        <v>0</v>
      </c>
      <c r="K80" s="106" cm="1">
        <f t="array" aca="1" ref="K80" ca="1">INDEX('Budget Planning'!$E:$EM, expenses_row_total, MATCH(DATE(selected_year, cc_month_number, 1),'Budget Planning'!$E$9:$EM$9, 0)  )</f>
        <v>2900</v>
      </c>
      <c r="L80" s="106">
        <f ca="1">cc_budget-cc_tracked</f>
        <v>2900</v>
      </c>
      <c r="M80" s="106">
        <f ca="1">cc_in_focus * cc_show_type * MIN(cc_tracked, cc_budget)</f>
        <v>0</v>
      </c>
      <c r="N80" s="106">
        <f ca="1">cc_in_focus * cc_show_type * cc_show_remenaing_budget * IF(cc_delta&gt;0, cc_delta, 0)</f>
        <v>2900</v>
      </c>
      <c r="O80" s="106">
        <f ca="1">cc_in_focus * cc_show_type * IF(cc_delta&lt;0, ABS(cc_delta), 0)</f>
        <v>0</v>
      </c>
      <c r="P80" s="106">
        <f ca="1">NOT(cc_in_focus) * cc_show_type * MIN(cc_tracked, cc_budget)</f>
        <v>0</v>
      </c>
      <c r="Q80" s="106">
        <f ca="1">NOT(cc_in_focus) * cc_show_type * cc_show_remenaing_budget * IF(cc_delta&gt;0, cc_delta, 0)</f>
        <v>0</v>
      </c>
      <c r="R80" s="106">
        <f ca="1">NOT(cc_in_focus) * cc_show_type * IF(cc_delta&lt;0, ABS(cc_delta), 0)</f>
        <v>0</v>
      </c>
    </row>
    <row r="81" spans="4:18" x14ac:dyDescent="0.3">
      <c r="D81" s="104"/>
      <c r="E81" s="2" t="s">
        <v>16</v>
      </c>
      <c r="F81" s="109">
        <f>MONTH(D79)</f>
        <v>7</v>
      </c>
      <c r="G81" s="109">
        <f ca="1">IF(selected_period="Total Year", 1, IF(selected_period=cc_month_number,1, 0))</f>
        <v>1</v>
      </c>
      <c r="H81" s="109">
        <f t="shared" ref="H81:H102" si="26">1*$E$51</f>
        <v>1</v>
      </c>
      <c r="I81" s="109">
        <f t="shared" si="24"/>
        <v>1</v>
      </c>
      <c r="J81" s="106" cm="1">
        <f t="array" ref="J81">SUM(Tracking[Amount] * (Tracking[Type]=cc_type) * (YEAR(Tracking[Effective Date])=selected_year) * (MONTH(Tracking[Effective Date])=cc_month_number))</f>
        <v>0</v>
      </c>
      <c r="K81" s="106" cm="1">
        <f t="array" aca="1" ref="K81" ca="1">INDEX('Budget Planning'!$E:$EM, savings_total_row, MATCH(DATE(selected_year, cc_month_number, 1),'Budget Planning'!$E$9:$EM$9, 0)  )</f>
        <v>2750</v>
      </c>
      <c r="L81" s="106">
        <f ca="1">cc_budget-cc_tracked</f>
        <v>2750</v>
      </c>
      <c r="M81" s="106">
        <f ca="1">cc_in_focus * cc_show_type * MIN(cc_tracked, cc_budget)</f>
        <v>0</v>
      </c>
      <c r="N81" s="106">
        <f ca="1">cc_in_focus * cc_show_type * cc_show_remenaing_budget * IF(cc_delta&gt;0, cc_delta, 0)</f>
        <v>2750</v>
      </c>
      <c r="O81" s="106">
        <f ca="1">cc_in_focus * cc_show_type * IF(cc_delta&lt;0, ABS(cc_delta), 0)</f>
        <v>0</v>
      </c>
      <c r="P81" s="106">
        <f ca="1">NOT(cc_in_focus) * cc_show_type * MIN(cc_tracked, cc_budget)</f>
        <v>0</v>
      </c>
      <c r="Q81" s="106">
        <f ca="1">NOT(cc_in_focus) * cc_show_type * cc_show_remenaing_budget * IF(cc_delta&gt;0, cc_delta, 0)</f>
        <v>0</v>
      </c>
      <c r="R81" s="106">
        <f ca="1">NOT(cc_in_focus) * cc_show_type * IF(cc_delta&lt;0, ABS(cc_delta), 0)</f>
        <v>0</v>
      </c>
    </row>
    <row r="82" spans="4:18" x14ac:dyDescent="0.3">
      <c r="D82" s="105"/>
      <c r="E82" s="102"/>
      <c r="F82" s="110"/>
      <c r="G82" s="110"/>
      <c r="H82" s="110"/>
      <c r="I82" s="110"/>
      <c r="J82" s="108"/>
      <c r="K82" s="108"/>
      <c r="L82" s="108"/>
      <c r="M82" s="102"/>
      <c r="N82" s="102"/>
      <c r="O82" s="102"/>
      <c r="P82" s="108"/>
      <c r="Q82" s="108"/>
      <c r="R82" s="108"/>
    </row>
    <row r="83" spans="4:18" x14ac:dyDescent="0.3">
      <c r="D83" s="103">
        <f>DATE(selected_year,8,1)</f>
        <v>44774</v>
      </c>
      <c r="E83" s="101" t="s">
        <v>5</v>
      </c>
      <c r="F83" s="109">
        <f>MONTH(D83)</f>
        <v>8</v>
      </c>
      <c r="G83" s="109">
        <f ca="1">IF(selected_period="Total Year", 1, IF(selected_period=cc_month_number,1, 0))</f>
        <v>1</v>
      </c>
      <c r="H83" s="109">
        <f t="shared" ref="H83:H102" si="27">1*$E$49</f>
        <v>1</v>
      </c>
      <c r="I83" s="109">
        <f t="shared" ref="I83:I102" si="28">1*$E$52</f>
        <v>1</v>
      </c>
      <c r="J83" s="106" cm="1">
        <f t="array" ref="J83">SUM(Tracking[Amount] * (Tracking[Type]=cc_type) * (YEAR(Tracking[Effective Date])=selected_year) * (MONTH(Tracking[Effective Date])=cc_month_number))</f>
        <v>0</v>
      </c>
      <c r="K83" s="106" cm="1">
        <f t="array" aca="1" ref="K83" ca="1">INDEX('Budget Planning'!$E:$EM, income_total_row, MATCH(DATE(selected_year, cc_month_number, 1),'Budget Planning'!$E$9:$EM$9, 0)  )</f>
        <v>5550</v>
      </c>
      <c r="L83" s="106">
        <f ca="1">cc_budget-cc_tracked</f>
        <v>5550</v>
      </c>
      <c r="M83" s="106">
        <f ca="1">cc_in_focus * cc_show_type * MIN(cc_tracked, cc_budget)</f>
        <v>0</v>
      </c>
      <c r="N83" s="106">
        <f ca="1">cc_in_focus * cc_show_type * cc_show_remenaing_budget * IF(cc_delta&gt;0, cc_delta, 0)</f>
        <v>5550</v>
      </c>
      <c r="O83" s="106">
        <f ca="1">cc_in_focus * cc_show_type * IF(cc_delta&lt;0, ABS(cc_delta), 0)</f>
        <v>0</v>
      </c>
      <c r="P83" s="106">
        <f ca="1">NOT(cc_in_focus) * cc_show_type * MIN(cc_tracked, cc_budget)</f>
        <v>0</v>
      </c>
      <c r="Q83" s="106">
        <f ca="1">NOT(cc_in_focus) * cc_show_type * cc_show_remenaing_budget * IF(cc_delta&gt;0, cc_delta, 0)</f>
        <v>0</v>
      </c>
      <c r="R83" s="106">
        <f ca="1">NOT(cc_in_focus) * cc_show_type * IF(cc_delta&lt;0, ABS(cc_delta), 0)</f>
        <v>0</v>
      </c>
    </row>
    <row r="84" spans="4:18" x14ac:dyDescent="0.3">
      <c r="D84" s="104"/>
      <c r="E84" s="2" t="s">
        <v>11</v>
      </c>
      <c r="F84" s="109">
        <f>MONTH(D83)</f>
        <v>8</v>
      </c>
      <c r="G84" s="109">
        <f ca="1">IF(selected_period="Total Year", 1, IF(selected_period=cc_month_number,1, 0))</f>
        <v>1</v>
      </c>
      <c r="H84" s="109">
        <f t="shared" ref="H84:H102" si="29">1*$E$50</f>
        <v>1</v>
      </c>
      <c r="I84" s="109">
        <f t="shared" si="28"/>
        <v>1</v>
      </c>
      <c r="J84" s="106" cm="1">
        <f t="array" ref="J84">SUM(Tracking[Amount] * (Tracking[Type]=cc_type) * (YEAR(Tracking[Effective Date])=selected_year) * (MONTH(Tracking[Effective Date])=cc_month_number))</f>
        <v>0</v>
      </c>
      <c r="K84" s="106" cm="1">
        <f t="array" aca="1" ref="K84" ca="1">INDEX('Budget Planning'!$E:$EM, expenses_row_total, MATCH(DATE(selected_year, cc_month_number, 1),'Budget Planning'!$E$9:$EM$9, 0)  )</f>
        <v>4100</v>
      </c>
      <c r="L84" s="106">
        <f ca="1">cc_budget-cc_tracked</f>
        <v>4100</v>
      </c>
      <c r="M84" s="106">
        <f ca="1">cc_in_focus * cc_show_type * MIN(cc_tracked, cc_budget)</f>
        <v>0</v>
      </c>
      <c r="N84" s="106">
        <f ca="1">cc_in_focus * cc_show_type * cc_show_remenaing_budget * IF(cc_delta&gt;0, cc_delta, 0)</f>
        <v>4100</v>
      </c>
      <c r="O84" s="106">
        <f ca="1">cc_in_focus * cc_show_type * IF(cc_delta&lt;0, ABS(cc_delta), 0)</f>
        <v>0</v>
      </c>
      <c r="P84" s="106">
        <f ca="1">NOT(cc_in_focus) * cc_show_type * MIN(cc_tracked, cc_budget)</f>
        <v>0</v>
      </c>
      <c r="Q84" s="106">
        <f ca="1">NOT(cc_in_focus) * cc_show_type * cc_show_remenaing_budget * IF(cc_delta&gt;0, cc_delta, 0)</f>
        <v>0</v>
      </c>
      <c r="R84" s="106">
        <f ca="1">NOT(cc_in_focus) * cc_show_type * IF(cc_delta&lt;0, ABS(cc_delta), 0)</f>
        <v>0</v>
      </c>
    </row>
    <row r="85" spans="4:18" x14ac:dyDescent="0.3">
      <c r="D85" s="104"/>
      <c r="E85" s="2" t="s">
        <v>16</v>
      </c>
      <c r="F85" s="109">
        <f>MONTH(D83)</f>
        <v>8</v>
      </c>
      <c r="G85" s="109">
        <f ca="1">IF(selected_period="Total Year", 1, IF(selected_period=cc_month_number,1, 0))</f>
        <v>1</v>
      </c>
      <c r="H85" s="109">
        <f t="shared" ref="H85:H102" si="30">1*$E$51</f>
        <v>1</v>
      </c>
      <c r="I85" s="109">
        <f t="shared" si="28"/>
        <v>1</v>
      </c>
      <c r="J85" s="106" cm="1">
        <f t="array" ref="J85">SUM(Tracking[Amount] * (Tracking[Type]=cc_type) * (YEAR(Tracking[Effective Date])=selected_year) * (MONTH(Tracking[Effective Date])=cc_month_number))</f>
        <v>0</v>
      </c>
      <c r="K85" s="106" cm="1">
        <f t="array" aca="1" ref="K85" ca="1">INDEX('Budget Planning'!$E:$EM, savings_total_row, MATCH(DATE(selected_year, cc_month_number, 1),'Budget Planning'!$E$9:$EM$9, 0)  )</f>
        <v>1450</v>
      </c>
      <c r="L85" s="106">
        <f ca="1">cc_budget-cc_tracked</f>
        <v>1450</v>
      </c>
      <c r="M85" s="106">
        <f ca="1">cc_in_focus * cc_show_type * MIN(cc_tracked, cc_budget)</f>
        <v>0</v>
      </c>
      <c r="N85" s="106">
        <f ca="1">cc_in_focus * cc_show_type * cc_show_remenaing_budget * IF(cc_delta&gt;0, cc_delta, 0)</f>
        <v>1450</v>
      </c>
      <c r="O85" s="106">
        <f ca="1">cc_in_focus * cc_show_type * IF(cc_delta&lt;0, ABS(cc_delta), 0)</f>
        <v>0</v>
      </c>
      <c r="P85" s="106">
        <f ca="1">NOT(cc_in_focus) * cc_show_type * MIN(cc_tracked, cc_budget)</f>
        <v>0</v>
      </c>
      <c r="Q85" s="106">
        <f ca="1">NOT(cc_in_focus) * cc_show_type * cc_show_remenaing_budget * IF(cc_delta&gt;0, cc_delta, 0)</f>
        <v>0</v>
      </c>
      <c r="R85" s="106">
        <f ca="1">NOT(cc_in_focus) * cc_show_type * IF(cc_delta&lt;0, ABS(cc_delta), 0)</f>
        <v>0</v>
      </c>
    </row>
    <row r="86" spans="4:18" x14ac:dyDescent="0.3">
      <c r="D86" s="105"/>
      <c r="E86" s="102"/>
      <c r="F86" s="110"/>
      <c r="G86" s="110"/>
      <c r="H86" s="110"/>
      <c r="I86" s="110"/>
      <c r="J86" s="108"/>
      <c r="K86" s="108"/>
      <c r="L86" s="108"/>
      <c r="M86" s="102"/>
      <c r="N86" s="102"/>
      <c r="O86" s="102"/>
      <c r="P86" s="108"/>
      <c r="Q86" s="108"/>
      <c r="R86" s="108"/>
    </row>
    <row r="87" spans="4:18" x14ac:dyDescent="0.3">
      <c r="D87" s="103">
        <f>DATE(selected_year,9,1)</f>
        <v>44805</v>
      </c>
      <c r="E87" s="101" t="s">
        <v>5</v>
      </c>
      <c r="F87" s="109">
        <f>MONTH(D87)</f>
        <v>9</v>
      </c>
      <c r="G87" s="109">
        <f ca="1">IF(selected_period="Total Year", 1, IF(selected_period=cc_month_number,1, 0))</f>
        <v>1</v>
      </c>
      <c r="H87" s="109">
        <f t="shared" ref="H87:H102" si="31">1*$E$49</f>
        <v>1</v>
      </c>
      <c r="I87" s="109">
        <f t="shared" ref="I87:I102" si="32">1*$E$52</f>
        <v>1</v>
      </c>
      <c r="J87" s="106" cm="1">
        <f t="array" ref="J87">SUM(Tracking[Amount] * (Tracking[Type]=cc_type) * (YEAR(Tracking[Effective Date])=selected_year) * (MONTH(Tracking[Effective Date])=cc_month_number))</f>
        <v>0</v>
      </c>
      <c r="K87" s="106" cm="1">
        <f t="array" aca="1" ref="K87" ca="1">INDEX('Budget Planning'!$E:$EM, income_total_row, MATCH(DATE(selected_year, cc_month_number, 1),'Budget Planning'!$E$9:$EM$9, 0)  )</f>
        <v>5600</v>
      </c>
      <c r="L87" s="106">
        <f ca="1">cc_budget-cc_tracked</f>
        <v>5600</v>
      </c>
      <c r="M87" s="106">
        <f ca="1">cc_in_focus * cc_show_type * MIN(cc_tracked, cc_budget)</f>
        <v>0</v>
      </c>
      <c r="N87" s="106">
        <f ca="1">cc_in_focus * cc_show_type * cc_show_remenaing_budget * IF(cc_delta&gt;0, cc_delta, 0)</f>
        <v>5600</v>
      </c>
      <c r="O87" s="106">
        <f ca="1">cc_in_focus * cc_show_type * IF(cc_delta&lt;0, ABS(cc_delta), 0)</f>
        <v>0</v>
      </c>
      <c r="P87" s="106">
        <f ca="1">NOT(cc_in_focus) * cc_show_type * MIN(cc_tracked, cc_budget)</f>
        <v>0</v>
      </c>
      <c r="Q87" s="106">
        <f ca="1">NOT(cc_in_focus) * cc_show_type * cc_show_remenaing_budget * IF(cc_delta&gt;0, cc_delta, 0)</f>
        <v>0</v>
      </c>
      <c r="R87" s="106">
        <f ca="1">NOT(cc_in_focus) * cc_show_type * IF(cc_delta&lt;0, ABS(cc_delta), 0)</f>
        <v>0</v>
      </c>
    </row>
    <row r="88" spans="4:18" x14ac:dyDescent="0.3">
      <c r="D88" s="104"/>
      <c r="E88" s="2" t="s">
        <v>11</v>
      </c>
      <c r="F88" s="109">
        <f>MONTH(D87)</f>
        <v>9</v>
      </c>
      <c r="G88" s="109">
        <f ca="1">IF(selected_period="Total Year", 1, IF(selected_period=cc_month_number,1, 0))</f>
        <v>1</v>
      </c>
      <c r="H88" s="109">
        <f t="shared" ref="H88:H102" si="33">1*$E$50</f>
        <v>1</v>
      </c>
      <c r="I88" s="109">
        <f t="shared" si="32"/>
        <v>1</v>
      </c>
      <c r="J88" s="106" cm="1">
        <f t="array" ref="J88">SUM(Tracking[Amount] * (Tracking[Type]=cc_type) * (YEAR(Tracking[Effective Date])=selected_year) * (MONTH(Tracking[Effective Date])=cc_month_number))</f>
        <v>0</v>
      </c>
      <c r="K88" s="106" cm="1">
        <f t="array" aca="1" ref="K88" ca="1">INDEX('Budget Planning'!$E:$EM, expenses_row_total, MATCH(DATE(selected_year, cc_month_number, 1),'Budget Planning'!$E$9:$EM$9, 0)  )</f>
        <v>3050</v>
      </c>
      <c r="L88" s="106">
        <f ca="1">cc_budget-cc_tracked</f>
        <v>3050</v>
      </c>
      <c r="M88" s="106">
        <f ca="1">cc_in_focus * cc_show_type * MIN(cc_tracked, cc_budget)</f>
        <v>0</v>
      </c>
      <c r="N88" s="106">
        <f ca="1">cc_in_focus * cc_show_type * cc_show_remenaing_budget * IF(cc_delta&gt;0, cc_delta, 0)</f>
        <v>3050</v>
      </c>
      <c r="O88" s="106">
        <f ca="1">cc_in_focus * cc_show_type * IF(cc_delta&lt;0, ABS(cc_delta), 0)</f>
        <v>0</v>
      </c>
      <c r="P88" s="106">
        <f ca="1">NOT(cc_in_focus) * cc_show_type * MIN(cc_tracked, cc_budget)</f>
        <v>0</v>
      </c>
      <c r="Q88" s="106">
        <f ca="1">NOT(cc_in_focus) * cc_show_type * cc_show_remenaing_budget * IF(cc_delta&gt;0, cc_delta, 0)</f>
        <v>0</v>
      </c>
      <c r="R88" s="106">
        <f ca="1">NOT(cc_in_focus) * cc_show_type * IF(cc_delta&lt;0, ABS(cc_delta), 0)</f>
        <v>0</v>
      </c>
    </row>
    <row r="89" spans="4:18" x14ac:dyDescent="0.3">
      <c r="D89" s="104"/>
      <c r="E89" s="2" t="s">
        <v>16</v>
      </c>
      <c r="F89" s="109">
        <f>MONTH(D87)</f>
        <v>9</v>
      </c>
      <c r="G89" s="109">
        <f ca="1">IF(selected_period="Total Year", 1, IF(selected_period=cc_month_number,1, 0))</f>
        <v>1</v>
      </c>
      <c r="H89" s="109">
        <f t="shared" ref="H89:H102" si="34">1*$E$51</f>
        <v>1</v>
      </c>
      <c r="I89" s="109">
        <f t="shared" si="32"/>
        <v>1</v>
      </c>
      <c r="J89" s="106" cm="1">
        <f t="array" ref="J89">SUM(Tracking[Amount] * (Tracking[Type]=cc_type) * (YEAR(Tracking[Effective Date])=selected_year) * (MONTH(Tracking[Effective Date])=cc_month_number))</f>
        <v>0</v>
      </c>
      <c r="K89" s="106" cm="1">
        <f t="array" aca="1" ref="K89" ca="1">INDEX('Budget Planning'!$E:$EM, savings_total_row, MATCH(DATE(selected_year, cc_month_number, 1),'Budget Planning'!$E$9:$EM$9, 0)  )</f>
        <v>2550</v>
      </c>
      <c r="L89" s="106">
        <f ca="1">cc_budget-cc_tracked</f>
        <v>2550</v>
      </c>
      <c r="M89" s="106">
        <f ca="1">cc_in_focus * cc_show_type * MIN(cc_tracked, cc_budget)</f>
        <v>0</v>
      </c>
      <c r="N89" s="106">
        <f ca="1">cc_in_focus * cc_show_type * cc_show_remenaing_budget * IF(cc_delta&gt;0, cc_delta, 0)</f>
        <v>2550</v>
      </c>
      <c r="O89" s="106">
        <f ca="1">cc_in_focus * cc_show_type * IF(cc_delta&lt;0, ABS(cc_delta), 0)</f>
        <v>0</v>
      </c>
      <c r="P89" s="106">
        <f ca="1">NOT(cc_in_focus) * cc_show_type * MIN(cc_tracked, cc_budget)</f>
        <v>0</v>
      </c>
      <c r="Q89" s="106">
        <f ca="1">NOT(cc_in_focus) * cc_show_type * cc_show_remenaing_budget * IF(cc_delta&gt;0, cc_delta, 0)</f>
        <v>0</v>
      </c>
      <c r="R89" s="106">
        <f ca="1">NOT(cc_in_focus) * cc_show_type * IF(cc_delta&lt;0, ABS(cc_delta), 0)</f>
        <v>0</v>
      </c>
    </row>
    <row r="90" spans="4:18" x14ac:dyDescent="0.3">
      <c r="D90" s="105"/>
      <c r="E90" s="102"/>
      <c r="F90" s="110"/>
      <c r="G90" s="110"/>
      <c r="H90" s="110"/>
      <c r="I90" s="110"/>
      <c r="J90" s="108"/>
      <c r="K90" s="108"/>
      <c r="L90" s="108"/>
      <c r="M90" s="102"/>
      <c r="N90" s="102"/>
      <c r="O90" s="102"/>
      <c r="P90" s="108"/>
      <c r="Q90" s="108"/>
      <c r="R90" s="108"/>
    </row>
    <row r="91" spans="4:18" x14ac:dyDescent="0.3">
      <c r="D91" s="103">
        <f>DATE(selected_year,10,1)</f>
        <v>44835</v>
      </c>
      <c r="E91" s="101" t="s">
        <v>5</v>
      </c>
      <c r="F91" s="109">
        <f>MONTH(D91)</f>
        <v>10</v>
      </c>
      <c r="G91" s="109">
        <f ca="1">IF(selected_period="Total Year", 1, IF(selected_period=cc_month_number,1, 0))</f>
        <v>1</v>
      </c>
      <c r="H91" s="109">
        <f t="shared" ref="H91:H102" si="35">1*$E$49</f>
        <v>1</v>
      </c>
      <c r="I91" s="109">
        <f t="shared" ref="I91:I102" si="36">1*$E$52</f>
        <v>1</v>
      </c>
      <c r="J91" s="106" cm="1">
        <f t="array" ref="J91">SUM(Tracking[Amount] * (Tracking[Type]=cc_type) * (YEAR(Tracking[Effective Date])=selected_year) * (MONTH(Tracking[Effective Date])=cc_month_number))</f>
        <v>0</v>
      </c>
      <c r="K91" s="106" cm="1">
        <f t="array" aca="1" ref="K91" ca="1">INDEX('Budget Planning'!$E:$EM, income_total_row, MATCH(DATE(selected_year, cc_month_number, 1),'Budget Planning'!$E$9:$EM$9, 0)  )</f>
        <v>5650</v>
      </c>
      <c r="L91" s="106">
        <f ca="1">cc_budget-cc_tracked</f>
        <v>5650</v>
      </c>
      <c r="M91" s="106">
        <f ca="1">cc_in_focus * cc_show_type * MIN(cc_tracked, cc_budget)</f>
        <v>0</v>
      </c>
      <c r="N91" s="106">
        <f ca="1">cc_in_focus * cc_show_type * cc_show_remenaing_budget * IF(cc_delta&gt;0, cc_delta, 0)</f>
        <v>5650</v>
      </c>
      <c r="O91" s="106">
        <f ca="1">cc_in_focus * cc_show_type * IF(cc_delta&lt;0, ABS(cc_delta), 0)</f>
        <v>0</v>
      </c>
      <c r="P91" s="106">
        <f ca="1">NOT(cc_in_focus) * cc_show_type * MIN(cc_tracked, cc_budget)</f>
        <v>0</v>
      </c>
      <c r="Q91" s="106">
        <f ca="1">NOT(cc_in_focus) * cc_show_type * cc_show_remenaing_budget * IF(cc_delta&gt;0, cc_delta, 0)</f>
        <v>0</v>
      </c>
      <c r="R91" s="106">
        <f ca="1">NOT(cc_in_focus) * cc_show_type * IF(cc_delta&lt;0, ABS(cc_delta), 0)</f>
        <v>0</v>
      </c>
    </row>
    <row r="92" spans="4:18" x14ac:dyDescent="0.3">
      <c r="D92" s="104"/>
      <c r="E92" s="2" t="s">
        <v>11</v>
      </c>
      <c r="F92" s="109">
        <f>MONTH(D91)</f>
        <v>10</v>
      </c>
      <c r="G92" s="109">
        <f ca="1">IF(selected_period="Total Year", 1, IF(selected_period=cc_month_number,1, 0))</f>
        <v>1</v>
      </c>
      <c r="H92" s="109">
        <f t="shared" ref="H92:H102" si="37">1*$E$50</f>
        <v>1</v>
      </c>
      <c r="I92" s="109">
        <f t="shared" si="36"/>
        <v>1</v>
      </c>
      <c r="J92" s="106" cm="1">
        <f t="array" ref="J92">SUM(Tracking[Amount] * (Tracking[Type]=cc_type) * (YEAR(Tracking[Effective Date])=selected_year) * (MONTH(Tracking[Effective Date])=cc_month_number))</f>
        <v>0</v>
      </c>
      <c r="K92" s="106" cm="1">
        <f t="array" aca="1" ref="K92" ca="1">INDEX('Budget Planning'!$E:$EM, expenses_row_total, MATCH(DATE(selected_year, cc_month_number, 1),'Budget Planning'!$E$9:$EM$9, 0)  )</f>
        <v>2900</v>
      </c>
      <c r="L92" s="106">
        <f ca="1">cc_budget-cc_tracked</f>
        <v>2900</v>
      </c>
      <c r="M92" s="106">
        <f ca="1">cc_in_focus * cc_show_type * MIN(cc_tracked, cc_budget)</f>
        <v>0</v>
      </c>
      <c r="N92" s="106">
        <f ca="1">cc_in_focus * cc_show_type * cc_show_remenaing_budget * IF(cc_delta&gt;0, cc_delta, 0)</f>
        <v>2900</v>
      </c>
      <c r="O92" s="106">
        <f ca="1">cc_in_focus * cc_show_type * IF(cc_delta&lt;0, ABS(cc_delta), 0)</f>
        <v>0</v>
      </c>
      <c r="P92" s="106">
        <f ca="1">NOT(cc_in_focus) * cc_show_type * MIN(cc_tracked, cc_budget)</f>
        <v>0</v>
      </c>
      <c r="Q92" s="106">
        <f ca="1">NOT(cc_in_focus) * cc_show_type * cc_show_remenaing_budget * IF(cc_delta&gt;0, cc_delta, 0)</f>
        <v>0</v>
      </c>
      <c r="R92" s="106">
        <f ca="1">NOT(cc_in_focus) * cc_show_type * IF(cc_delta&lt;0, ABS(cc_delta), 0)</f>
        <v>0</v>
      </c>
    </row>
    <row r="93" spans="4:18" x14ac:dyDescent="0.3">
      <c r="D93" s="104"/>
      <c r="E93" s="2" t="s">
        <v>16</v>
      </c>
      <c r="F93" s="109">
        <f>MONTH(D91)</f>
        <v>10</v>
      </c>
      <c r="G93" s="109">
        <f ca="1">IF(selected_period="Total Year", 1, IF(selected_period=cc_month_number,1, 0))</f>
        <v>1</v>
      </c>
      <c r="H93" s="109">
        <f t="shared" ref="H93:H102" si="38">1*$E$51</f>
        <v>1</v>
      </c>
      <c r="I93" s="109">
        <f t="shared" si="36"/>
        <v>1</v>
      </c>
      <c r="J93" s="106" cm="1">
        <f t="array" ref="J93">SUM(Tracking[Amount] * (Tracking[Type]=cc_type) * (YEAR(Tracking[Effective Date])=selected_year) * (MONTH(Tracking[Effective Date])=cc_month_number))</f>
        <v>0</v>
      </c>
      <c r="K93" s="106" cm="1">
        <f t="array" aca="1" ref="K93" ca="1">INDEX('Budget Planning'!$E:$EM, savings_total_row, MATCH(DATE(selected_year, cc_month_number, 1),'Budget Planning'!$E$9:$EM$9, 0)  )</f>
        <v>2750</v>
      </c>
      <c r="L93" s="106">
        <f ca="1">cc_budget-cc_tracked</f>
        <v>2750</v>
      </c>
      <c r="M93" s="106">
        <f ca="1">cc_in_focus * cc_show_type * MIN(cc_tracked, cc_budget)</f>
        <v>0</v>
      </c>
      <c r="N93" s="106">
        <f ca="1">cc_in_focus * cc_show_type * cc_show_remenaing_budget * IF(cc_delta&gt;0, cc_delta, 0)</f>
        <v>2750</v>
      </c>
      <c r="O93" s="106">
        <f ca="1">cc_in_focus * cc_show_type * IF(cc_delta&lt;0, ABS(cc_delta), 0)</f>
        <v>0</v>
      </c>
      <c r="P93" s="106">
        <f ca="1">NOT(cc_in_focus) * cc_show_type * MIN(cc_tracked, cc_budget)</f>
        <v>0</v>
      </c>
      <c r="Q93" s="106">
        <f ca="1">NOT(cc_in_focus) * cc_show_type * cc_show_remenaing_budget * IF(cc_delta&gt;0, cc_delta, 0)</f>
        <v>0</v>
      </c>
      <c r="R93" s="106">
        <f ca="1">NOT(cc_in_focus) * cc_show_type * IF(cc_delta&lt;0, ABS(cc_delta), 0)</f>
        <v>0</v>
      </c>
    </row>
    <row r="94" spans="4:18" x14ac:dyDescent="0.3">
      <c r="D94" s="105"/>
      <c r="E94" s="102"/>
      <c r="F94" s="110"/>
      <c r="G94" s="110"/>
      <c r="H94" s="110"/>
      <c r="I94" s="110"/>
      <c r="J94" s="108"/>
      <c r="K94" s="108"/>
      <c r="L94" s="108"/>
      <c r="M94" s="102"/>
      <c r="N94" s="102"/>
      <c r="O94" s="102"/>
      <c r="P94" s="108"/>
      <c r="Q94" s="108"/>
      <c r="R94" s="108"/>
    </row>
    <row r="95" spans="4:18" x14ac:dyDescent="0.3">
      <c r="D95" s="103">
        <f>DATE(selected_year,11,1)</f>
        <v>44866</v>
      </c>
      <c r="E95" s="101" t="s">
        <v>5</v>
      </c>
      <c r="F95" s="109">
        <f>MONTH(D95)</f>
        <v>11</v>
      </c>
      <c r="G95" s="109">
        <f ca="1">IF(selected_period="Total Year", 1, IF(selected_period=cc_month_number,1, 0))</f>
        <v>1</v>
      </c>
      <c r="H95" s="109">
        <f t="shared" ref="H95:H102" si="39">1*$E$49</f>
        <v>1</v>
      </c>
      <c r="I95" s="109">
        <f t="shared" ref="I95:I102" si="40">1*$E$52</f>
        <v>1</v>
      </c>
      <c r="J95" s="106" cm="1">
        <f t="array" ref="J95">SUM(Tracking[Amount] * (Tracking[Type]=cc_type) * (YEAR(Tracking[Effective Date])=selected_year) * (MONTH(Tracking[Effective Date])=cc_month_number))</f>
        <v>0</v>
      </c>
      <c r="K95" s="106" cm="1">
        <f t="array" aca="1" ref="K95" ca="1">INDEX('Budget Planning'!$E:$EM, income_total_row, MATCH(DATE(selected_year, cc_month_number, 1),'Budget Planning'!$E$9:$EM$9, 0)  )</f>
        <v>5550</v>
      </c>
      <c r="L95" s="106">
        <f ca="1">cc_budget-cc_tracked</f>
        <v>5550</v>
      </c>
      <c r="M95" s="106">
        <f ca="1">cc_in_focus * cc_show_type * MIN(cc_tracked, cc_budget)</f>
        <v>0</v>
      </c>
      <c r="N95" s="106">
        <f ca="1">cc_in_focus * cc_show_type * cc_show_remenaing_budget * IF(cc_delta&gt;0, cc_delta, 0)</f>
        <v>5550</v>
      </c>
      <c r="O95" s="106">
        <f ca="1">cc_in_focus * cc_show_type * IF(cc_delta&lt;0, ABS(cc_delta), 0)</f>
        <v>0</v>
      </c>
      <c r="P95" s="106">
        <f ca="1">NOT(cc_in_focus) * cc_show_type * MIN(cc_tracked, cc_budget)</f>
        <v>0</v>
      </c>
      <c r="Q95" s="106">
        <f ca="1">NOT(cc_in_focus) * cc_show_type * cc_show_remenaing_budget * IF(cc_delta&gt;0, cc_delta, 0)</f>
        <v>0</v>
      </c>
      <c r="R95" s="106">
        <f ca="1">NOT(cc_in_focus) * cc_show_type * IF(cc_delta&lt;0, ABS(cc_delta), 0)</f>
        <v>0</v>
      </c>
    </row>
    <row r="96" spans="4:18" x14ac:dyDescent="0.3">
      <c r="D96" s="104"/>
      <c r="E96" s="2" t="s">
        <v>11</v>
      </c>
      <c r="F96" s="109">
        <f>MONTH(D95)</f>
        <v>11</v>
      </c>
      <c r="G96" s="109">
        <f ca="1">IF(selected_period="Total Year", 1, IF(selected_period=cc_month_number,1, 0))</f>
        <v>1</v>
      </c>
      <c r="H96" s="109">
        <f t="shared" ref="H96:H102" si="41">1*$E$50</f>
        <v>1</v>
      </c>
      <c r="I96" s="109">
        <f t="shared" si="40"/>
        <v>1</v>
      </c>
      <c r="J96" s="106" cm="1">
        <f t="array" ref="J96">SUM(Tracking[Amount] * (Tracking[Type]=cc_type) * (YEAR(Tracking[Effective Date])=selected_year) * (MONTH(Tracking[Effective Date])=cc_month_number))</f>
        <v>0</v>
      </c>
      <c r="K96" s="106" cm="1">
        <f t="array" aca="1" ref="K96" ca="1">INDEX('Budget Planning'!$E:$EM, expenses_row_total, MATCH(DATE(selected_year, cc_month_number, 1),'Budget Planning'!$E$9:$EM$9, 0)  )</f>
        <v>2900</v>
      </c>
      <c r="L96" s="106">
        <f ca="1">cc_budget-cc_tracked</f>
        <v>2900</v>
      </c>
      <c r="M96" s="106">
        <f ca="1">cc_in_focus * cc_show_type * MIN(cc_tracked, cc_budget)</f>
        <v>0</v>
      </c>
      <c r="N96" s="106">
        <f ca="1">cc_in_focus * cc_show_type * cc_show_remenaing_budget * IF(cc_delta&gt;0, cc_delta, 0)</f>
        <v>2900</v>
      </c>
      <c r="O96" s="106">
        <f ca="1">cc_in_focus * cc_show_type * IF(cc_delta&lt;0, ABS(cc_delta), 0)</f>
        <v>0</v>
      </c>
      <c r="P96" s="106">
        <f ca="1">NOT(cc_in_focus) * cc_show_type * MIN(cc_tracked, cc_budget)</f>
        <v>0</v>
      </c>
      <c r="Q96" s="106">
        <f ca="1">NOT(cc_in_focus) * cc_show_type * cc_show_remenaing_budget * IF(cc_delta&gt;0, cc_delta, 0)</f>
        <v>0</v>
      </c>
      <c r="R96" s="106">
        <f ca="1">NOT(cc_in_focus) * cc_show_type * IF(cc_delta&lt;0, ABS(cc_delta), 0)</f>
        <v>0</v>
      </c>
    </row>
    <row r="97" spans="4:18" x14ac:dyDescent="0.3">
      <c r="D97" s="104"/>
      <c r="E97" s="2" t="s">
        <v>16</v>
      </c>
      <c r="F97" s="109">
        <f>MONTH(D95)</f>
        <v>11</v>
      </c>
      <c r="G97" s="109">
        <f ca="1">IF(selected_period="Total Year", 1, IF(selected_period=cc_month_number,1, 0))</f>
        <v>1</v>
      </c>
      <c r="H97" s="109">
        <f t="shared" ref="H97:H102" si="42">1*$E$51</f>
        <v>1</v>
      </c>
      <c r="I97" s="109">
        <f t="shared" si="40"/>
        <v>1</v>
      </c>
      <c r="J97" s="106" cm="1">
        <f t="array" ref="J97">SUM(Tracking[Amount] * (Tracking[Type]=cc_type) * (YEAR(Tracking[Effective Date])=selected_year) * (MONTH(Tracking[Effective Date])=cc_month_number))</f>
        <v>0</v>
      </c>
      <c r="K97" s="106" cm="1">
        <f t="array" aca="1" ref="K97" ca="1">INDEX('Budget Planning'!$E:$EM, savings_total_row, MATCH(DATE(selected_year, cc_month_number, 1),'Budget Planning'!$E$9:$EM$9, 0)  )</f>
        <v>2650</v>
      </c>
      <c r="L97" s="106">
        <f ca="1">cc_budget-cc_tracked</f>
        <v>2650</v>
      </c>
      <c r="M97" s="106">
        <f ca="1">cc_in_focus * cc_show_type * MIN(cc_tracked, cc_budget)</f>
        <v>0</v>
      </c>
      <c r="N97" s="106">
        <f ca="1">cc_in_focus * cc_show_type * cc_show_remenaing_budget * IF(cc_delta&gt;0, cc_delta, 0)</f>
        <v>2650</v>
      </c>
      <c r="O97" s="106">
        <f ca="1">cc_in_focus * cc_show_type * IF(cc_delta&lt;0, ABS(cc_delta), 0)</f>
        <v>0</v>
      </c>
      <c r="P97" s="106">
        <f ca="1">NOT(cc_in_focus) * cc_show_type * MIN(cc_tracked, cc_budget)</f>
        <v>0</v>
      </c>
      <c r="Q97" s="106">
        <f ca="1">NOT(cc_in_focus) * cc_show_type * cc_show_remenaing_budget * IF(cc_delta&gt;0, cc_delta, 0)</f>
        <v>0</v>
      </c>
      <c r="R97" s="106">
        <f ca="1">NOT(cc_in_focus) * cc_show_type * IF(cc_delta&lt;0, ABS(cc_delta), 0)</f>
        <v>0</v>
      </c>
    </row>
    <row r="98" spans="4:18" x14ac:dyDescent="0.3">
      <c r="D98" s="105"/>
      <c r="E98" s="102"/>
      <c r="F98" s="110"/>
      <c r="G98" s="110"/>
      <c r="H98" s="110"/>
      <c r="I98" s="110"/>
      <c r="J98" s="108"/>
      <c r="K98" s="108"/>
      <c r="L98" s="108"/>
      <c r="M98" s="102"/>
      <c r="N98" s="102"/>
      <c r="O98" s="102"/>
      <c r="P98" s="108"/>
      <c r="Q98" s="108"/>
      <c r="R98" s="108"/>
    </row>
    <row r="99" spans="4:18" x14ac:dyDescent="0.3">
      <c r="D99" s="103">
        <f>DATE(selected_year,12,1)</f>
        <v>44896</v>
      </c>
      <c r="E99" s="101" t="s">
        <v>5</v>
      </c>
      <c r="F99" s="109">
        <f>MONTH(D99)</f>
        <v>12</v>
      </c>
      <c r="G99" s="109">
        <f ca="1">IF(selected_period="Total Year", 1, IF(selected_period=cc_month_number,1, 0))</f>
        <v>1</v>
      </c>
      <c r="H99" s="109">
        <f t="shared" ref="H99:H102" si="43">1*$E$49</f>
        <v>1</v>
      </c>
      <c r="I99" s="109">
        <f t="shared" ref="I99:I102" si="44">1*$E$52</f>
        <v>1</v>
      </c>
      <c r="J99" s="106" cm="1">
        <f t="array" ref="J99">SUM(Tracking[Amount] * (Tracking[Type]=cc_type) * (YEAR(Tracking[Effective Date])=selected_year) * (MONTH(Tracking[Effective Date])=cc_month_number))</f>
        <v>0</v>
      </c>
      <c r="K99" s="106" cm="1">
        <f t="array" aca="1" ref="K99" ca="1">INDEX('Budget Planning'!$E:$EM, income_total_row, MATCH(DATE(selected_year, cc_month_number, 1),'Budget Planning'!$E$9:$EM$9, 0)  )</f>
        <v>5600</v>
      </c>
      <c r="L99" s="106">
        <f ca="1">cc_budget-cc_tracked</f>
        <v>5600</v>
      </c>
      <c r="M99" s="106">
        <f ca="1">cc_in_focus * cc_show_type * MIN(cc_tracked, cc_budget)</f>
        <v>0</v>
      </c>
      <c r="N99" s="106">
        <f ca="1">cc_in_focus * cc_show_type * cc_show_remenaing_budget * IF(cc_delta&gt;0, cc_delta, 0)</f>
        <v>5600</v>
      </c>
      <c r="O99" s="106">
        <f ca="1">cc_in_focus * cc_show_type * IF(cc_delta&lt;0, ABS(cc_delta), 0)</f>
        <v>0</v>
      </c>
      <c r="P99" s="106">
        <f ca="1">NOT(cc_in_focus) * cc_show_type * MIN(cc_tracked, cc_budget)</f>
        <v>0</v>
      </c>
      <c r="Q99" s="106">
        <f ca="1">NOT(cc_in_focus) * cc_show_type * cc_show_remenaing_budget * IF(cc_delta&gt;0, cc_delta, 0)</f>
        <v>0</v>
      </c>
      <c r="R99" s="106">
        <f ca="1">NOT(cc_in_focus) * cc_show_type * IF(cc_delta&lt;0, ABS(cc_delta), 0)</f>
        <v>0</v>
      </c>
    </row>
    <row r="100" spans="4:18" x14ac:dyDescent="0.3">
      <c r="D100" s="104"/>
      <c r="E100" s="2" t="s">
        <v>11</v>
      </c>
      <c r="F100" s="109">
        <f>MONTH(D99)</f>
        <v>12</v>
      </c>
      <c r="G100" s="109">
        <f ca="1">IF(selected_period="Total Year", 1, IF(selected_period=cc_month_number,1, 0))</f>
        <v>1</v>
      </c>
      <c r="H100" s="109">
        <f t="shared" ref="H100:H102" si="45">1*$E$50</f>
        <v>1</v>
      </c>
      <c r="I100" s="109">
        <f t="shared" si="44"/>
        <v>1</v>
      </c>
      <c r="J100" s="106" cm="1">
        <f t="array" ref="J100">SUM(Tracking[Amount] * (Tracking[Type]=cc_type) * (YEAR(Tracking[Effective Date])=selected_year) * (MONTH(Tracking[Effective Date])=cc_month_number))</f>
        <v>0</v>
      </c>
      <c r="K100" s="106" cm="1">
        <f t="array" aca="1" ref="K100" ca="1">INDEX('Budget Planning'!$E:$EM, expenses_row_total, MATCH(DATE(selected_year, cc_month_number, 1),'Budget Planning'!$E$9:$EM$9, 0)  )</f>
        <v>3350</v>
      </c>
      <c r="L100" s="106">
        <f ca="1">cc_budget-cc_tracked</f>
        <v>3350</v>
      </c>
      <c r="M100" s="106">
        <f ca="1">cc_in_focus * cc_show_type * MIN(cc_tracked, cc_budget)</f>
        <v>0</v>
      </c>
      <c r="N100" s="106">
        <f ca="1">cc_in_focus * cc_show_type * cc_show_remenaing_budget * IF(cc_delta&gt;0, cc_delta, 0)</f>
        <v>3350</v>
      </c>
      <c r="O100" s="106">
        <f ca="1">cc_in_focus * cc_show_type * IF(cc_delta&lt;0, ABS(cc_delta), 0)</f>
        <v>0</v>
      </c>
      <c r="P100" s="106">
        <f ca="1">NOT(cc_in_focus) * cc_show_type * MIN(cc_tracked, cc_budget)</f>
        <v>0</v>
      </c>
      <c r="Q100" s="106">
        <f ca="1">NOT(cc_in_focus) * cc_show_type * cc_show_remenaing_budget * IF(cc_delta&gt;0, cc_delta, 0)</f>
        <v>0</v>
      </c>
      <c r="R100" s="106">
        <f ca="1">NOT(cc_in_focus) * cc_show_type * IF(cc_delta&lt;0, ABS(cc_delta), 0)</f>
        <v>0</v>
      </c>
    </row>
    <row r="101" spans="4:18" x14ac:dyDescent="0.3">
      <c r="D101" s="104"/>
      <c r="E101" s="2" t="s">
        <v>16</v>
      </c>
      <c r="F101" s="109">
        <f>MONTH(D99)</f>
        <v>12</v>
      </c>
      <c r="G101" s="109">
        <f ca="1">IF(selected_period="Total Year", 1, IF(selected_period=cc_month_number,1, 0))</f>
        <v>1</v>
      </c>
      <c r="H101" s="109">
        <f t="shared" ref="H101:H102" si="46">1*$E$51</f>
        <v>1</v>
      </c>
      <c r="I101" s="109">
        <f t="shared" si="44"/>
        <v>1</v>
      </c>
      <c r="J101" s="106" cm="1">
        <f t="array" ref="J101">SUM(Tracking[Amount] * (Tracking[Type]=cc_type) * (YEAR(Tracking[Effective Date])=selected_year) * (MONTH(Tracking[Effective Date])=cc_month_number))</f>
        <v>0</v>
      </c>
      <c r="K101" s="106" cm="1">
        <f t="array" aca="1" ref="K101" ca="1">INDEX('Budget Planning'!$E:$EM, savings_total_row, MATCH(DATE(selected_year, cc_month_number, 1),'Budget Planning'!$E$9:$EM$9, 0)  )</f>
        <v>2250</v>
      </c>
      <c r="L101" s="106">
        <f ca="1">cc_budget-cc_tracked</f>
        <v>2250</v>
      </c>
      <c r="M101" s="106">
        <f ca="1">cc_in_focus * cc_show_type * MIN(cc_tracked, cc_budget)</f>
        <v>0</v>
      </c>
      <c r="N101" s="106">
        <f ca="1">cc_in_focus * cc_show_type * cc_show_remenaing_budget * IF(cc_delta&gt;0, cc_delta, 0)</f>
        <v>2250</v>
      </c>
      <c r="O101" s="106">
        <f ca="1">cc_in_focus * cc_show_type * IF(cc_delta&lt;0, ABS(cc_delta), 0)</f>
        <v>0</v>
      </c>
      <c r="P101" s="106">
        <f ca="1">NOT(cc_in_focus) * cc_show_type * MIN(cc_tracked, cc_budget)</f>
        <v>0</v>
      </c>
      <c r="Q101" s="106">
        <f ca="1">NOT(cc_in_focus) * cc_show_type * cc_show_remenaing_budget * IF(cc_delta&gt;0, cc_delta, 0)</f>
        <v>0</v>
      </c>
      <c r="R101" s="106">
        <f ca="1">NOT(cc_in_focus) * cc_show_type * IF(cc_delta&lt;0, ABS(cc_delta), 0)</f>
        <v>0</v>
      </c>
    </row>
    <row r="102" spans="4:18" x14ac:dyDescent="0.3">
      <c r="D102" s="105"/>
      <c r="E102" s="102"/>
      <c r="F102" s="110"/>
      <c r="G102" s="110"/>
      <c r="H102" s="110"/>
      <c r="I102" s="110"/>
      <c r="J102" s="108"/>
      <c r="K102" s="108"/>
      <c r="L102" s="108"/>
      <c r="M102" s="102"/>
      <c r="N102" s="102"/>
      <c r="O102" s="102"/>
      <c r="P102" s="108"/>
      <c r="Q102" s="108"/>
      <c r="R102" s="108"/>
    </row>
  </sheetData>
  <mergeCells count="17">
    <mergeCell ref="D95:D98"/>
    <mergeCell ref="D99:D102"/>
    <mergeCell ref="D75:D78"/>
    <mergeCell ref="D79:D82"/>
    <mergeCell ref="D83:D86"/>
    <mergeCell ref="D87:D90"/>
    <mergeCell ref="D91:D94"/>
    <mergeCell ref="D55:D58"/>
    <mergeCell ref="D59:D62"/>
    <mergeCell ref="D63:D66"/>
    <mergeCell ref="D67:D70"/>
    <mergeCell ref="D71:D74"/>
    <mergeCell ref="A1:W3"/>
    <mergeCell ref="C6:F6"/>
    <mergeCell ref="C17:F17"/>
    <mergeCell ref="M53:O53"/>
    <mergeCell ref="P53:R53"/>
  </mergeCells>
  <phoneticPr fontId="24" type="noConversion"/>
  <pageMargins left="0.7" right="0.7" top="0.75" bottom="0.75" header="0.3" footer="0.3"/>
  <ignoredErrors>
    <ignoredError sqref="F56" formula="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6DF925-2AAA-416A-8B29-F0F3E79A1AFB}">
  <sheetPr codeName="Sheet5"/>
  <dimension ref="A1:E21"/>
  <sheetViews>
    <sheetView showGridLines="0" workbookViewId="0">
      <selection sqref="A1:XFD3"/>
    </sheetView>
  </sheetViews>
  <sheetFormatPr defaultRowHeight="14.4" x14ac:dyDescent="0.3"/>
  <cols>
    <col min="1" max="1" width="3.88671875" customWidth="1"/>
    <col min="2" max="2" width="3.21875" customWidth="1"/>
    <col min="3" max="3" width="24.77734375" customWidth="1"/>
    <col min="5" max="5" width="17" customWidth="1"/>
  </cols>
  <sheetData>
    <row r="1" spans="1:5" s="80" customFormat="1" ht="14.4" customHeight="1" x14ac:dyDescent="0.3">
      <c r="A1" s="80" t="s">
        <v>58</v>
      </c>
    </row>
    <row r="2" spans="1:5" s="80" customFormat="1" ht="14.4" customHeight="1" x14ac:dyDescent="0.3"/>
    <row r="3" spans="1:5" s="80" customFormat="1" ht="14.4" customHeight="1" x14ac:dyDescent="0.3"/>
    <row r="7" spans="1:5" x14ac:dyDescent="0.3">
      <c r="C7" s="44" t="s">
        <v>59</v>
      </c>
      <c r="E7" s="44" t="s">
        <v>61</v>
      </c>
    </row>
    <row r="8" spans="1:5" x14ac:dyDescent="0.3">
      <c r="C8" s="45" t="s">
        <v>60</v>
      </c>
      <c r="E8" s="48" t="s">
        <v>62</v>
      </c>
    </row>
    <row r="9" spans="1:5" x14ac:dyDescent="0.3">
      <c r="C9" s="46">
        <f>starting_year</f>
        <v>2022</v>
      </c>
      <c r="E9" s="49" t="s">
        <v>63</v>
      </c>
    </row>
    <row r="10" spans="1:5" x14ac:dyDescent="0.3">
      <c r="C10" s="46">
        <f>C9+1</f>
        <v>2023</v>
      </c>
      <c r="E10" s="50">
        <v>36526</v>
      </c>
    </row>
    <row r="11" spans="1:5" x14ac:dyDescent="0.3">
      <c r="C11" s="46">
        <f t="shared" ref="C11:C18" si="0">C10+1</f>
        <v>2024</v>
      </c>
      <c r="E11" s="50">
        <v>36557</v>
      </c>
    </row>
    <row r="12" spans="1:5" x14ac:dyDescent="0.3">
      <c r="C12" s="46">
        <f t="shared" si="0"/>
        <v>2025</v>
      </c>
      <c r="E12" s="50">
        <v>36586</v>
      </c>
    </row>
    <row r="13" spans="1:5" x14ac:dyDescent="0.3">
      <c r="C13" s="46">
        <f t="shared" si="0"/>
        <v>2026</v>
      </c>
      <c r="E13" s="50">
        <v>36617</v>
      </c>
    </row>
    <row r="14" spans="1:5" x14ac:dyDescent="0.3">
      <c r="C14" s="46">
        <f t="shared" si="0"/>
        <v>2027</v>
      </c>
      <c r="E14" s="50">
        <v>36647</v>
      </c>
    </row>
    <row r="15" spans="1:5" x14ac:dyDescent="0.3">
      <c r="C15" s="46">
        <f t="shared" si="0"/>
        <v>2028</v>
      </c>
      <c r="E15" s="50">
        <v>36678</v>
      </c>
    </row>
    <row r="16" spans="1:5" x14ac:dyDescent="0.3">
      <c r="C16" s="46">
        <f t="shared" si="0"/>
        <v>2029</v>
      </c>
      <c r="E16" s="50">
        <v>36708</v>
      </c>
    </row>
    <row r="17" spans="3:5" x14ac:dyDescent="0.3">
      <c r="C17" s="46">
        <f t="shared" si="0"/>
        <v>2030</v>
      </c>
      <c r="E17" s="50">
        <v>36739</v>
      </c>
    </row>
    <row r="18" spans="3:5" x14ac:dyDescent="0.3">
      <c r="C18" s="47">
        <f t="shared" si="0"/>
        <v>2031</v>
      </c>
      <c r="E18" s="50">
        <v>36770</v>
      </c>
    </row>
    <row r="19" spans="3:5" x14ac:dyDescent="0.3">
      <c r="E19" s="50">
        <v>36800</v>
      </c>
    </row>
    <row r="20" spans="3:5" x14ac:dyDescent="0.3">
      <c r="E20" s="50">
        <v>36831</v>
      </c>
    </row>
    <row r="21" spans="3:5" x14ac:dyDescent="0.3">
      <c r="E21" s="51">
        <v>36861</v>
      </c>
    </row>
  </sheetData>
  <mergeCells count="1">
    <mergeCell ref="A1:XFD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5D978E-8FB6-4498-8D78-F88448AC2E3E}">
  <sheetPr codeName="Sheet6"/>
  <dimension ref="A1:H25"/>
  <sheetViews>
    <sheetView showGridLines="0" tabSelected="1" workbookViewId="0">
      <selection sqref="A1:XFD2"/>
    </sheetView>
  </sheetViews>
  <sheetFormatPr defaultRowHeight="14.4" x14ac:dyDescent="0.3"/>
  <cols>
    <col min="2" max="2" width="3.77734375" customWidth="1"/>
    <col min="3" max="3" width="2.109375" customWidth="1"/>
    <col min="4" max="4" width="27.88671875" customWidth="1"/>
    <col min="5" max="5" width="27.44140625" customWidth="1"/>
    <col min="6" max="6" width="2.5546875" customWidth="1"/>
    <col min="7" max="7" width="78.33203125" customWidth="1"/>
    <col min="8" max="8" width="3.109375" customWidth="1"/>
  </cols>
  <sheetData>
    <row r="1" spans="1:8" s="117" customFormat="1" ht="19.8" customHeight="1" x14ac:dyDescent="0.3">
      <c r="A1" s="117" t="s">
        <v>1</v>
      </c>
    </row>
    <row r="2" spans="1:8" s="117" customFormat="1" ht="19.8" customHeight="1" x14ac:dyDescent="0.3"/>
    <row r="5" spans="1:8" x14ac:dyDescent="0.3">
      <c r="C5" s="81" t="s">
        <v>2</v>
      </c>
      <c r="D5" s="82"/>
      <c r="E5" s="82"/>
      <c r="F5" s="82"/>
      <c r="G5" s="82"/>
      <c r="H5" s="83"/>
    </row>
    <row r="6" spans="1:8" x14ac:dyDescent="0.3">
      <c r="C6" s="32"/>
      <c r="D6" s="33"/>
      <c r="E6" s="33"/>
      <c r="F6" s="33"/>
      <c r="G6" s="33"/>
      <c r="H6" s="34"/>
    </row>
    <row r="7" spans="1:8" x14ac:dyDescent="0.3">
      <c r="C7" s="1"/>
      <c r="D7" s="37" t="s">
        <v>3</v>
      </c>
      <c r="E7" s="5">
        <v>2022</v>
      </c>
      <c r="F7" s="2"/>
      <c r="G7" s="6" t="s">
        <v>37</v>
      </c>
      <c r="H7" s="35"/>
    </row>
    <row r="8" spans="1:8" x14ac:dyDescent="0.3">
      <c r="C8" s="3"/>
      <c r="D8" s="4"/>
      <c r="E8" s="4"/>
      <c r="F8" s="4"/>
      <c r="G8" s="4"/>
      <c r="H8" s="36"/>
    </row>
    <row r="9" spans="1:8" x14ac:dyDescent="0.3">
      <c r="C9" s="2"/>
    </row>
    <row r="10" spans="1:8" x14ac:dyDescent="0.3">
      <c r="D10" s="2"/>
      <c r="E10" s="2"/>
      <c r="F10" s="2"/>
      <c r="G10" s="2"/>
      <c r="H10" s="2"/>
    </row>
    <row r="12" spans="1:8" x14ac:dyDescent="0.3">
      <c r="C12" s="81" t="s">
        <v>38</v>
      </c>
      <c r="D12" s="82"/>
      <c r="E12" s="82"/>
      <c r="F12" s="82"/>
      <c r="G12" s="82"/>
      <c r="H12" s="83"/>
    </row>
    <row r="13" spans="1:8" x14ac:dyDescent="0.3">
      <c r="C13" s="32"/>
      <c r="D13" s="33"/>
      <c r="E13" s="33"/>
      <c r="F13" s="33"/>
      <c r="G13" s="33"/>
      <c r="H13" s="34"/>
    </row>
    <row r="14" spans="1:8" x14ac:dyDescent="0.3">
      <c r="C14" s="1"/>
      <c r="D14" s="31" t="s">
        <v>39</v>
      </c>
      <c r="E14" s="2"/>
      <c r="F14" s="2"/>
      <c r="G14" s="2"/>
      <c r="H14" s="35"/>
    </row>
    <row r="15" spans="1:8" x14ac:dyDescent="0.3">
      <c r="C15" s="1"/>
      <c r="D15" s="2"/>
      <c r="E15" s="2"/>
      <c r="F15" s="2"/>
      <c r="G15" s="2"/>
      <c r="H15" s="35"/>
    </row>
    <row r="16" spans="1:8" x14ac:dyDescent="0.3">
      <c r="C16" s="1"/>
      <c r="D16" s="37" t="s">
        <v>40</v>
      </c>
      <c r="E16" s="5" t="s">
        <v>43</v>
      </c>
      <c r="F16" s="2"/>
      <c r="G16" s="84" t="s">
        <v>42</v>
      </c>
      <c r="H16" s="35"/>
    </row>
    <row r="17" spans="3:8" ht="8.4" customHeight="1" x14ac:dyDescent="0.3">
      <c r="C17" s="1"/>
      <c r="D17" s="2"/>
      <c r="E17" s="2"/>
      <c r="F17" s="2"/>
      <c r="G17" s="84"/>
      <c r="H17" s="35"/>
    </row>
    <row r="18" spans="3:8" ht="17.399999999999999" customHeight="1" x14ac:dyDescent="0.3">
      <c r="C18" s="1"/>
      <c r="D18" s="37" t="s">
        <v>41</v>
      </c>
      <c r="E18" s="5">
        <v>20</v>
      </c>
      <c r="F18" s="2"/>
      <c r="G18" s="84"/>
      <c r="H18" s="35"/>
    </row>
    <row r="19" spans="3:8" x14ac:dyDescent="0.3">
      <c r="C19" s="1"/>
      <c r="D19" s="2"/>
      <c r="E19" s="2"/>
      <c r="F19" s="2"/>
      <c r="G19" s="2"/>
      <c r="H19" s="35"/>
    </row>
    <row r="20" spans="3:8" x14ac:dyDescent="0.3">
      <c r="C20" s="1"/>
      <c r="D20" s="31" t="s">
        <v>114</v>
      </c>
      <c r="E20" s="2"/>
      <c r="F20" s="2"/>
      <c r="G20" s="2"/>
      <c r="H20" s="35"/>
    </row>
    <row r="21" spans="3:8" x14ac:dyDescent="0.3">
      <c r="C21" s="1"/>
      <c r="D21" s="2"/>
      <c r="E21" s="2"/>
      <c r="F21" s="2"/>
      <c r="G21" s="2"/>
      <c r="H21" s="35"/>
    </row>
    <row r="22" spans="3:8" x14ac:dyDescent="0.3">
      <c r="C22" s="1"/>
      <c r="D22" s="37" t="s">
        <v>115</v>
      </c>
      <c r="E22" s="5" t="s">
        <v>117</v>
      </c>
      <c r="F22" s="2"/>
      <c r="G22" s="84" t="s">
        <v>116</v>
      </c>
      <c r="H22" s="35"/>
    </row>
    <row r="23" spans="3:8" x14ac:dyDescent="0.3">
      <c r="C23" s="1"/>
      <c r="D23" s="2"/>
      <c r="E23" s="2"/>
      <c r="F23" s="2"/>
      <c r="G23" s="84"/>
      <c r="H23" s="35"/>
    </row>
    <row r="24" spans="3:8" x14ac:dyDescent="0.3">
      <c r="C24" s="1"/>
      <c r="D24" s="2"/>
      <c r="E24" s="2"/>
      <c r="F24" s="2"/>
      <c r="G24" s="84"/>
      <c r="H24" s="35"/>
    </row>
    <row r="25" spans="3:8" x14ac:dyDescent="0.3">
      <c r="C25" s="3"/>
      <c r="D25" s="4"/>
      <c r="E25" s="4"/>
      <c r="F25" s="4"/>
      <c r="G25" s="4"/>
      <c r="H25" s="36"/>
    </row>
  </sheetData>
  <mergeCells count="5">
    <mergeCell ref="C5:H5"/>
    <mergeCell ref="C12:H12"/>
    <mergeCell ref="G16:G18"/>
    <mergeCell ref="G22:G24"/>
    <mergeCell ref="A1:XFD2"/>
  </mergeCells>
  <conditionalFormatting sqref="E18">
    <cfRule type="expression" dxfId="0" priority="1">
      <formula>shift_late_income_status="Inactive"</formula>
    </cfRule>
  </conditionalFormatting>
  <dataValidations count="2">
    <dataValidation type="list" allowBlank="1" showInputMessage="1" showErrorMessage="1" sqref="E16" xr:uid="{327C2324-263C-4D08-98E4-297F983C6917}">
      <formula1>"Active, Inactive"</formula1>
    </dataValidation>
    <dataValidation type="list" allowBlank="1" showInputMessage="1" showErrorMessage="1" sqref="E22" xr:uid="{E439DEB5-B31D-4A15-95C4-E2744ABB8376}">
      <formula1>"% allocated to Savings, % not allocated to Expenses"</formula1>
    </dataValidation>
  </dataValidations>
  <pageMargins left="0.7" right="0.7" top="0.75" bottom="0.75" header="0.3" footer="0.3"/>
</worksheet>
</file>

<file path=docMetadata/LabelInfo.xml><?xml version="1.0" encoding="utf-8"?>
<clbl:labelList xmlns:clbl="http://schemas.microsoft.com/office/2020/mipLabelMetadata">
  <clbl:label id="{e130eef0-b106-4be4-9041-04ed1aa09543}" enabled="1" method="Privileged" siteId="{dd29478d-624e-429e-b453-fffc969ac768}"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39</vt:i4>
      </vt:variant>
    </vt:vector>
  </HeadingPairs>
  <TitlesOfParts>
    <vt:vector size="45" baseType="lpstr">
      <vt:lpstr>Budget Planning</vt:lpstr>
      <vt:lpstr>Budget Tracker</vt:lpstr>
      <vt:lpstr>Dashboard</vt:lpstr>
      <vt:lpstr>Calculations</vt:lpstr>
      <vt:lpstr>Dropdown data</vt:lpstr>
      <vt:lpstr>Setting</vt:lpstr>
      <vt:lpstr>Dashboard!budget</vt:lpstr>
      <vt:lpstr>Dashboard!budget_range</vt:lpstr>
      <vt:lpstr>Dashboard!budget_rank</vt:lpstr>
      <vt:lpstr>Calculations!cc_budget</vt:lpstr>
      <vt:lpstr>Calculations!cc_delta</vt:lpstr>
      <vt:lpstr>Calculations!cc_in_focus</vt:lpstr>
      <vt:lpstr>Calculations!cc_month_number</vt:lpstr>
      <vt:lpstr>Calculations!cc_show_remenaing_budget</vt:lpstr>
      <vt:lpstr>Calculations!cc_show_type</vt:lpstr>
      <vt:lpstr>Calculations!cc_tracked</vt:lpstr>
      <vt:lpstr>Calculations!cc_type</vt:lpstr>
      <vt:lpstr>Dashboard!comb_rank</vt:lpstr>
      <vt:lpstr>Dashboard!comb_rank_norm</vt:lpstr>
      <vt:lpstr>Dashboard!comb_rank_norm_run_range</vt:lpstr>
      <vt:lpstr>Dashboard!comb_rank_range</vt:lpstr>
      <vt:lpstr>Dashboard!comb_rank_unqiue</vt:lpstr>
      <vt:lpstr>Dashboard!header_row_id</vt:lpstr>
      <vt:lpstr>Dashboard!is_cat</vt:lpstr>
      <vt:lpstr>Dashboard!is_empty</vt:lpstr>
      <vt:lpstr>Dashboard!is_header</vt:lpstr>
      <vt:lpstr>Dashboard!is_total</vt:lpstr>
      <vt:lpstr>Dashboard!item</vt:lpstr>
      <vt:lpstr>Dashboard!out_budget</vt:lpstr>
      <vt:lpstr>Dashboard!out_percentage_completed</vt:lpstr>
      <vt:lpstr>Dashboard!out_tracked</vt:lpstr>
      <vt:lpstr>Dashboard!row_id</vt:lpstr>
      <vt:lpstr>savings_rate_calculation_type</vt:lpstr>
      <vt:lpstr>selected_period</vt:lpstr>
      <vt:lpstr>selected_period_display</vt:lpstr>
      <vt:lpstr>selected_year</vt:lpstr>
      <vt:lpstr>shift_late_income_starting_day</vt:lpstr>
      <vt:lpstr>shift_late_income_status</vt:lpstr>
      <vt:lpstr>Dashboard!sort_max_row</vt:lpstr>
      <vt:lpstr>Dashboard!sort_min_row</vt:lpstr>
      <vt:lpstr>starting_year</vt:lpstr>
      <vt:lpstr>Dashboard!tracked</vt:lpstr>
      <vt:lpstr>Dashboard!tracked_range</vt:lpstr>
      <vt:lpstr>Dashboard!tracked_rank</vt:lpstr>
      <vt:lpstr>Dashboard!type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 Tezz Khan</dc:creator>
  <cp:lastModifiedBy>Le Tezz Khan</cp:lastModifiedBy>
  <dcterms:created xsi:type="dcterms:W3CDTF">2015-06-05T18:17:20Z</dcterms:created>
  <dcterms:modified xsi:type="dcterms:W3CDTF">2025-03-20T15:59:20Z</dcterms:modified>
</cp:coreProperties>
</file>