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5BF2E3F7-64AD-4462-B65B-0AA5B51C2F7E}" xr6:coauthVersionLast="44" xr6:coauthVersionMax="44" xr10:uidLastSave="{00000000-0000-0000-0000-000000000000}"/>
  <bookViews>
    <workbookView xWindow="-108" yWindow="-108" windowWidth="23256" windowHeight="12576" firstSheet="7" activeTab="15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H2 Steam Reforming" sheetId="3" r:id="rId5"/>
    <sheet name="Keipi_SMR" sheetId="5" r:id="rId6"/>
    <sheet name="Keipi_SMR+CCS" sheetId="9" r:id="rId7"/>
    <sheet name="Keipi_electrolysis" sheetId="8" r:id="rId8"/>
    <sheet name="PEMEC" sheetId="20" r:id="rId9"/>
    <sheet name="AEC" sheetId="21" r:id="rId10"/>
    <sheet name="SOEC" sheetId="18" r:id="rId11"/>
    <sheet name="Li-ion" sheetId="12" r:id="rId12"/>
    <sheet name="SOFC" sheetId="17" r:id="rId13"/>
    <sheet name="PEMFC" sheetId="19" r:id="rId14"/>
    <sheet name="EIA_LCOE_WND_SOLAR" sheetId="11" r:id="rId15"/>
    <sheet name="Photoconversion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C2" i="20"/>
  <c r="C9" i="21"/>
  <c r="C6" i="21"/>
  <c r="C2" i="21"/>
  <c r="I20" i="16"/>
  <c r="L20" i="16" s="1"/>
  <c r="F11" i="8"/>
  <c r="F20" i="9"/>
  <c r="F23" i="9"/>
  <c r="O12" i="9"/>
  <c r="O13" i="9" s="1"/>
  <c r="O14" i="9" s="1"/>
  <c r="O15" i="9" s="1"/>
  <c r="O16" i="9" s="1"/>
  <c r="O7" i="9"/>
  <c r="O9" i="9" s="1"/>
  <c r="B9" i="5"/>
  <c r="B10" i="5" s="1"/>
  <c r="B11" i="5" s="1"/>
  <c r="F26" i="5" s="1"/>
  <c r="B15" i="16"/>
  <c r="B13" i="16"/>
  <c r="D13" i="16"/>
  <c r="B21" i="16"/>
  <c r="D12" i="16"/>
  <c r="B22" i="16"/>
  <c r="J20" i="16"/>
  <c r="K20" i="16"/>
  <c r="F12" i="16"/>
  <c r="B9" i="17"/>
  <c r="B3" i="20"/>
  <c r="B6" i="20"/>
  <c r="B8" i="20" s="1"/>
  <c r="J15" i="8"/>
  <c r="L15" i="8"/>
  <c r="H11" i="8"/>
  <c r="D19" i="8"/>
  <c r="B30" i="8"/>
  <c r="D29" i="8"/>
  <c r="B29" i="8"/>
  <c r="B28" i="8"/>
  <c r="B27" i="8"/>
  <c r="D17" i="5"/>
  <c r="D18" i="5"/>
  <c r="B6" i="5"/>
  <c r="B4" i="5"/>
  <c r="D13" i="18"/>
  <c r="D11" i="18"/>
  <c r="D11" i="8"/>
  <c r="B26" i="8" s="1"/>
  <c r="H15" i="8"/>
  <c r="D15" i="8"/>
  <c r="P10" i="14"/>
  <c r="D30" i="14"/>
  <c r="D29" i="14"/>
  <c r="B7" i="20" l="1"/>
  <c r="F17" i="5"/>
  <c r="I17" i="5" s="1"/>
  <c r="B20" i="16"/>
  <c r="F15" i="8"/>
  <c r="D26" i="11" l="1"/>
  <c r="B9" i="12" l="1"/>
  <c r="C24" i="12" l="1"/>
  <c r="B24" i="12"/>
  <c r="C23" i="12"/>
  <c r="B23" i="12"/>
  <c r="D9" i="17"/>
  <c r="D8" i="17"/>
  <c r="D7" i="17"/>
  <c r="D14" i="18"/>
  <c r="B5" i="20"/>
  <c r="B2" i="20" l="1"/>
  <c r="B9" i="21"/>
  <c r="B18" i="16" l="1"/>
  <c r="B16" i="16" l="1"/>
  <c r="B19" i="16"/>
  <c r="M11" i="18"/>
  <c r="M12" i="18"/>
  <c r="M13" i="18"/>
  <c r="M10" i="18"/>
  <c r="D4" i="18"/>
  <c r="D5" i="18"/>
  <c r="D3" i="18"/>
  <c r="B12" i="18"/>
  <c r="D12" i="18" s="1"/>
  <c r="D19" i="18"/>
  <c r="F19" i="18" s="1"/>
  <c r="D20" i="18"/>
  <c r="F20" i="18" s="1"/>
  <c r="D21" i="18"/>
  <c r="F21" i="18"/>
  <c r="D24" i="18"/>
  <c r="K26" i="18"/>
  <c r="B27" i="18"/>
  <c r="C27" i="18"/>
  <c r="C29" i="18" s="1"/>
  <c r="D27" i="18"/>
  <c r="D29" i="18" s="1"/>
  <c r="E27" i="18"/>
  <c r="E29" i="18" s="1"/>
  <c r="F27" i="18"/>
  <c r="F29" i="18" s="1"/>
  <c r="K27" i="18"/>
  <c r="B28" i="18"/>
  <c r="K28" i="18"/>
  <c r="B11" i="18"/>
  <c r="B8" i="17"/>
  <c r="K10" i="17"/>
  <c r="K9" i="17"/>
  <c r="E10" i="19"/>
  <c r="E11" i="19"/>
  <c r="E9" i="19"/>
  <c r="C11" i="19"/>
  <c r="C10" i="19"/>
  <c r="C15" i="19"/>
  <c r="C14" i="19"/>
  <c r="B29" i="18" l="1"/>
  <c r="F30" i="18" s="1"/>
  <c r="L29" i="18"/>
  <c r="D25" i="11" l="1"/>
  <c r="D15" i="11" s="1"/>
  <c r="H15" i="11" s="1"/>
  <c r="I15" i="11" s="1"/>
  <c r="D24" i="11"/>
  <c r="D13" i="11" s="1"/>
  <c r="H13" i="11" s="1"/>
  <c r="H12" i="11"/>
  <c r="E5" i="11"/>
  <c r="D14" i="11" l="1"/>
  <c r="H14" i="11" s="1"/>
  <c r="I14" i="11" s="1"/>
  <c r="I13" i="11"/>
  <c r="E13" i="11" s="1"/>
  <c r="I12" i="11"/>
  <c r="E12" i="11" s="1"/>
  <c r="E15" i="11"/>
  <c r="D8" i="12"/>
  <c r="B8" i="12"/>
  <c r="D7" i="12"/>
  <c r="D6" i="12"/>
  <c r="B6" i="12"/>
  <c r="E14" i="11" l="1"/>
  <c r="B15" i="12"/>
  <c r="B18" i="12" l="1"/>
  <c r="B14" i="12"/>
  <c r="B10" i="12"/>
  <c r="B4" i="12"/>
  <c r="B5" i="12" s="1"/>
  <c r="D5" i="12" s="1"/>
  <c r="B6" i="16" l="1"/>
  <c r="D5" i="16"/>
  <c r="B14" i="16"/>
  <c r="B5" i="16"/>
  <c r="B4" i="16"/>
  <c r="P34" i="14" l="1"/>
  <c r="P35" i="14"/>
  <c r="P36" i="14"/>
  <c r="P37" i="14"/>
  <c r="P38" i="14"/>
  <c r="P39" i="14"/>
  <c r="P40" i="14"/>
  <c r="P41" i="14"/>
  <c r="P42" i="14"/>
  <c r="P43" i="14"/>
  <c r="P44" i="14"/>
  <c r="P33" i="14"/>
  <c r="B12" i="5"/>
  <c r="B13" i="5" l="1"/>
  <c r="F29" i="5"/>
  <c r="B17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M8" i="14"/>
  <c r="P8" i="14" s="1"/>
  <c r="M7" i="14"/>
  <c r="P7" i="14" s="1"/>
  <c r="M13" i="14"/>
  <c r="P13" i="14" s="1"/>
  <c r="M11" i="14"/>
  <c r="P11" i="14" s="1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B6" i="11"/>
  <c r="E7" i="11"/>
  <c r="E6" i="11"/>
  <c r="C7" i="11"/>
  <c r="G7" i="11" s="1"/>
  <c r="C6" i="11"/>
  <c r="G6" i="11" s="1"/>
  <c r="C5" i="11"/>
  <c r="H5" i="11" s="1"/>
  <c r="J3" i="8"/>
  <c r="J2" i="8"/>
  <c r="H6" i="11" l="1"/>
  <c r="G5" i="11"/>
  <c r="H7" i="11"/>
  <c r="M21" i="14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14" i="9"/>
  <c r="B10" i="9"/>
  <c r="H11" i="9" l="1"/>
  <c r="H10" i="9"/>
  <c r="B17" i="9"/>
  <c r="B18" i="9" s="1"/>
  <c r="D13" i="9"/>
  <c r="B23" i="9" s="1"/>
  <c r="D23" i="9" s="1"/>
  <c r="J10" i="9"/>
  <c r="J11" i="9"/>
  <c r="I3" i="9"/>
  <c r="E4" i="9" s="1"/>
  <c r="E3" i="9"/>
  <c r="G3" i="9" s="1"/>
  <c r="G1" i="9"/>
  <c r="D18" i="9" l="1"/>
  <c r="F18" i="9" s="1"/>
  <c r="G4" i="8"/>
  <c r="E4" i="8"/>
  <c r="D23" i="5"/>
  <c r="B29" i="5" s="1"/>
  <c r="B2" i="8"/>
  <c r="D24" i="5"/>
  <c r="F24" i="5" s="1"/>
  <c r="H24" i="5" s="1"/>
  <c r="J24" i="5" s="1"/>
  <c r="B22" i="5"/>
  <c r="F22" i="5" s="1"/>
  <c r="E3" i="5"/>
  <c r="G3" i="5" s="1"/>
  <c r="G1" i="5"/>
  <c r="H13" i="1"/>
  <c r="B20" i="9" l="1"/>
  <c r="D20" i="9" s="1"/>
  <c r="D8" i="8"/>
  <c r="F8" i="8" s="1"/>
  <c r="B26" i="5"/>
  <c r="D29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D26" i="5" l="1"/>
  <c r="O6" i="3" l="1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<sst xmlns="http://schemas.openxmlformats.org/spreadsheetml/2006/main" count="748" uniqueCount="375">
  <si>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</si>
  <si>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</si>
  <si>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</si>
  <si>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</si>
  <si>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</si>
  <si>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</si>
  <si>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</si>
  <si>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</si>
  <si>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</si>
  <si>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</si>
  <si>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</si>
  <si>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</si>
  <si>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</si>
  <si>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</si>
  <si>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</si>
  <si>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</si>
  <si>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</si>
  <si>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</si>
  <si>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</si>
  <si>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</si>
  <si>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</si>
  <si>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</si>
  <si>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</si>
  <si>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</si>
  <si>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</si>
  <si>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</si>
  <si>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</si>
  <si>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</si>
  <si>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</si>
  <si>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</si>
  <si>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</si>
  <si>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</si>
  <si>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</si>
  <si>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</si>
  <si>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</si>
  <si>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</si>
  <si>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</si>
  <si>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</si>
  <si>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</si>
  <si>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</si>
  <si>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</si>
  <si>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</si>
  <si>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</si>
  <si>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</si>
  <si>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</si>
  <si>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</si>
  <si>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</si>
  <si>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</si>
  <si>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</si>
  <si>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</si>
  <si>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</si>
  <si>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</si>
  <si>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</si>
  <si>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</si>
  <si>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</si>
  <si>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</si>
  <si>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</si>
  <si>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</si>
  <si>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</si>
  <si>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</si>
  <si>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</si>
  <si>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</si>
  <si>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</si>
  <si>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</si>
  <si>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</si>
  <si>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</si>
  <si>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</si>
  <si>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</si>
  <si>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</si>
  <si>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</si>
  <si>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</si>
  <si>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</si>
  <si>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</si>
  <si>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</si>
  <si>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</si>
  <si>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</si>
  <si>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</si>
  <si>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</si>
  <si>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</si>
  <si>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</si>
  <si>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</si>
  <si>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</si>
  <si>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</si>
  <si>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</si>
  <si>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</si>
  <si>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</si>
  <si>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</si>
  <si>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</si>
  <si>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</si>
  <si>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</si>
  <si>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</si>
  <si>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</si>
  <si>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</si>
  <si>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</si>
  <si>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</si>
  <si>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</si>
  <si>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</si>
  <si>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</si>
  <si>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</si>
  <si>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</si>
  <si>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</si>
  <si>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</si>
  <si>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</si>
  <si>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</si>
  <si>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</si>
  <si>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</si>
  <si>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</si>
  <si>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</si>
  <si>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</si>
  <si>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</si>
  <si>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$/kg</t>
  </si>
  <si>
    <t>Steam Reforming</t>
  </si>
  <si>
    <t>Note</t>
  </si>
  <si>
    <t>g/MJ</t>
  </si>
  <si>
    <t>g/kWh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</si>
  <si>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</si>
  <si>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</si>
  <si>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</si>
  <si>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</si>
  <si>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</si>
  <si>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</si>
  <si>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</si>
  <si>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</si>
  <si>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</si>
  <si>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</si>
  <si>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</si>
  <si>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</si>
  <si>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</si>
  <si>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</si>
  <si>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</si>
  <si>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</si>
  <si>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</si>
  <si>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</si>
  <si>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</si>
  <si>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</si>
  <si>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</si>
  <si>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Total Output</t>
  </si>
  <si>
    <t>y</t>
  </si>
  <si>
    <t>MWh</t>
  </si>
  <si>
    <t>Total Price</t>
  </si>
  <si>
    <t>EUR</t>
  </si>
  <si>
    <t>Unit Price</t>
  </si>
  <si>
    <t>Hydrogen</t>
  </si>
  <si>
    <t>water+fuel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</si>
  <si>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</si>
  <si>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</si>
  <si>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</si>
  <si>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</si>
  <si>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</si>
  <si>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</si>
  <si>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</si>
  <si>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Total /yr</t>
  </si>
  <si>
    <t>CCS Efficiency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</si>
  <si>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</si>
  <si>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</si>
  <si>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</si>
  <si>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</si>
  <si>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</si>
  <si>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</si>
  <si>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</si>
  <si>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</si>
  <si>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</si>
  <si>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</si>
  <si>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</si>
  <si>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</si>
  <si>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</si>
  <si>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</si>
  <si>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</si>
  <si>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</si>
  <si>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</si>
  <si>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</si>
  <si>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</si>
  <si>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</si>
  <si>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</si>
  <si>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</si>
  <si>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</si>
  <si>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</si>
  <si>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</si>
  <si>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</si>
  <si>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</si>
  <si>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</si>
  <si>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</si>
  <si>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</si>
  <si>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</si>
  <si>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</si>
  <si>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</si>
  <si>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</si>
  <si>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</si>
  <si>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</si>
  <si>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</si>
  <si>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</si>
  <si>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</si>
  <si>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</si>
  <si>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</si>
  <si>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</si>
  <si>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</si>
  <si>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</si>
  <si>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</si>
  <si>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</si>
  <si>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</si>
  <si>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</si>
  <si>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</si>
  <si>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</si>
  <si>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</si>
  <si>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</si>
  <si>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</si>
  <si>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</si>
  <si>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</si>
  <si>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</si>
  <si>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</si>
  <si>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</si>
  <si>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</si>
  <si>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OP factor</t>
  </si>
  <si>
    <t>NG</t>
  </si>
  <si>
    <t>Coal</t>
  </si>
  <si>
    <t>Storage</t>
  </si>
  <si>
    <t>Cap Cost(MUSD/GWh)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</si>
  <si>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</si>
  <si>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</si>
  <si>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</si>
  <si>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</si>
  <si>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</si>
  <si>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</si>
  <si>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</si>
  <si>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</si>
  <si>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</si>
  <si>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</si>
  <si>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</si>
  <si>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</si>
  <si>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</si>
  <si>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</si>
  <si>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</si>
  <si>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</si>
  <si>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</si>
  <si>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</si>
  <si>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</si>
  <si>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</si>
  <si>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</si>
  <si>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</si>
  <si>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</si>
  <si>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</si>
  <si>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</si>
  <si>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</si>
  <si>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</si>
  <si>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</si>
  <si>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</si>
  <si>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</si>
  <si>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</si>
  <si>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</si>
  <si>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</si>
  <si>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</si>
  <si>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</si>
  <si>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</si>
  <si>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</si>
  <si>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</si>
  <si>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</si>
  <si>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</si>
  <si>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</si>
  <si>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</si>
  <si>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</si>
  <si>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</si>
  <si>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</si>
  <si>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</si>
  <si>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</si>
  <si>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</si>
  <si>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</si>
  <si>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</si>
  <si>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</si>
  <si>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</si>
  <si>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</si>
  <si>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</si>
  <si>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</si>
  <si>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</si>
  <si>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</si>
  <si>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</si>
  <si>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</si>
  <si>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</si>
  <si>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</si>
  <si>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</si>
  <si>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</si>
  <si>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</si>
  <si>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</si>
  <si>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</si>
  <si>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</si>
  <si>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</si>
  <si>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</si>
  <si>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</si>
  <si>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</si>
  <si>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</si>
  <si>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</si>
  <si>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</si>
  <si>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</si>
  <si>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</si>
  <si>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</si>
  <si>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</si>
  <si>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</si>
  <si>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</si>
  <si>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</si>
  <si>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</si>
  <si>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</si>
  <si>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</si>
  <si>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</si>
  <si>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</si>
  <si>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</si>
  <si>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</si>
  <si>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</si>
  <si>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</si>
  <si>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</si>
  <si>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</si>
  <si>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</si>
  <si>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</si>
  <si>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</si>
  <si>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</si>
  <si>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</si>
  <si>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</si>
  <si>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</si>
  <si>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</si>
  <si>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</si>
  <si>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</si>
  <si>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</si>
  <si>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</si>
  <si>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</si>
  <si>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</si>
  <si>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</si>
  <si>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</si>
  <si>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</si>
  <si>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</si>
  <si>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</si>
  <si>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</si>
  <si>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</si>
  <si>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</si>
  <si>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</si>
  <si>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</si>
  <si>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</si>
  <si>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</si>
  <si>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</si>
  <si>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</si>
  <si>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</si>
  <si>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</si>
  <si>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</si>
  <si>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</si>
  <si>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</si>
  <si>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</si>
  <si>
    <t>https://doi.org/10.1016/j.enconman.2017.12.063</t>
  </si>
  <si>
    <t>https://www.nrel.gov/docs/fy19osti/72740.pdf</t>
  </si>
  <si>
    <t>https://www.iea.org/reports/technology-roadmap-hydrogen-and-fuel-cells</t>
  </si>
  <si>
    <t>https://publications.csiro.au/rpr/download?pid=csiro:EP178771&amp;dsid=DS2</t>
  </si>
  <si>
    <t>https://iopscience.iop.org/article/10.1149/1.3484496</t>
  </si>
  <si>
    <t>Kato</t>
  </si>
  <si>
    <t>https://doi.org/10.1016/j.jpowsour.2017.09.020</t>
  </si>
  <si>
    <t>https://doi.org/10.1149/1.3484496</t>
  </si>
  <si>
    <t>operating at 1000 mA/cm2</t>
  </si>
  <si>
    <t>https://doi.org/10.1016/j.ijhydene.2013.01.151</t>
  </si>
  <si>
    <t>*low efficiency at high current densities</t>
  </si>
  <si>
    <t>82-85% eff</t>
  </si>
  <si>
    <t>m3/yr</t>
  </si>
  <si>
    <t>Water cost</t>
  </si>
  <si>
    <t>EUR/m3</t>
  </si>
  <si>
    <t>EUR/GWh</t>
  </si>
  <si>
    <t>ELC cost</t>
  </si>
  <si>
    <t>EUR/kWh</t>
  </si>
  <si>
    <t>Reported Capex</t>
  </si>
  <si>
    <t>Reported Opex</t>
  </si>
  <si>
    <t>EUR/a</t>
  </si>
  <si>
    <t>Correction factors</t>
  </si>
  <si>
    <t>CF1</t>
  </si>
  <si>
    <t>Reported H2 Cost</t>
  </si>
  <si>
    <t>exclude ELC</t>
  </si>
  <si>
    <t>Calc OP</t>
  </si>
  <si>
    <t>Calc Cap</t>
  </si>
  <si>
    <t>1 GW cost</t>
  </si>
  <si>
    <t>kg H2</t>
  </si>
  <si>
    <t>Gen(kWh)</t>
  </si>
  <si>
    <t>Cost verification</t>
  </si>
  <si>
    <t>neglected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</si>
</sst>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color rgb="FF0C7DB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3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1" fillId="4" borderId="0" xfId="0" applyFont="1" applyFill="1"/>
    <xf numFmtId="0" fontId="12" fillId="0" borderId="0" xfId="0" applyFont="1"/>
    <xf numFmtId="0" fontId="13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/>
    <xf numFmtId="0" fontId="2" fillId="6" borderId="0" xfId="0" applyFont="1" applyFill="1"/>
    <xf numFmtId="0" fontId="11" fillId="6" borderId="0" xfId="0" applyFont="1" applyFill="1"/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ijhydene.2011.10.064" TargetMode="External"/><Relationship Id="rId2" Type="http://schemas.openxmlformats.org/officeDocument/2006/relationships/hyperlink" Target="https://doi.org/10.1016/j.jclepro.2013.07.048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iopscience.iop.org/article/10.1149/1.3484496" TargetMode="External"/><Relationship Id="rId4" Type="http://schemas.openxmlformats.org/officeDocument/2006/relationships/hyperlink" Target="https://doi.org/10.1016/j.jclepro.2013.07.04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016/j.enconman.2017.12.06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enconman.2017.12.06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conman.2017.12.06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doi.org/10.1016/j.ijhydene.2017.10.045" TargetMode="External"/><Relationship Id="rId7" Type="http://schemas.openxmlformats.org/officeDocument/2006/relationships/hyperlink" Target="https://doi.org/10.1016/j.ijhydene.2013.01.151" TargetMode="External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Relationship Id="rId6" Type="http://schemas.openxmlformats.org/officeDocument/2006/relationships/hyperlink" Target="https://doi.org/10.1149/1.3484496" TargetMode="External"/><Relationship Id="rId5" Type="http://schemas.openxmlformats.org/officeDocument/2006/relationships/hyperlink" Target="https://www.iea.org/reports/technology-roadmap-hydrogen-and-fuel-cells" TargetMode="External"/><Relationship Id="rId4" Type="http://schemas.openxmlformats.org/officeDocument/2006/relationships/hyperlink" Target="https://www.nrel.gov/docs/fy19osti/727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B16" workbookViewId="0">
      <selection activeCell="J33" sqref="J33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26" t="s">
        <v>188</v>
      </c>
      <c r="K3" s="26"/>
      <c r="L3" s="26"/>
      <c r="M3" s="26"/>
      <c r="N3" s="26"/>
      <c r="O3" s="26"/>
      <c r="P3" s="26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5.0292000000000003E-2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5.0815200000000005E-2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5.1338400000000006E-2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5.1861600000000008E-2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5.2384800000000009E-2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>$D$30+M10</f>
        <v>5.2908000000000004E-2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5.3431200000000005E-2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5.3954400000000013E-2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5.4477600000000008E-2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5.5000800000000002E-2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5.5524000000000004E-2</v>
      </c>
    </row>
    <row r="17" spans="1:16" x14ac:dyDescent="0.3">
      <c r="B17" s="2" t="s">
        <v>213</v>
      </c>
      <c r="C17" t="s">
        <v>214</v>
      </c>
      <c r="J17" s="26" t="s">
        <v>193</v>
      </c>
      <c r="K17" s="26"/>
      <c r="L17" s="26"/>
      <c r="M17" s="26"/>
      <c r="N17" s="26"/>
      <c r="O17" s="26"/>
      <c r="P17" s="26"/>
    </row>
    <row r="18" spans="1:16" x14ac:dyDescent="0.3">
      <c r="A18" s="2" t="s">
        <v>181</v>
      </c>
      <c r="B18">
        <v>95</v>
      </c>
      <c r="C18">
        <v>62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7.8308459999999996E-2</v>
      </c>
      <c r="P19">
        <f>$D$29+O19</f>
        <v>8.9238459999999992E-2</v>
      </c>
    </row>
    <row r="20" spans="1:16" x14ac:dyDescent="0.3">
      <c r="B20">
        <v>31</v>
      </c>
      <c r="C20">
        <v>31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9.015973599999999E-2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9.1081011999999989E-2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9.2002287999999988E-2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9.2923564E-2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8.2914840000000004E-2</v>
      </c>
      <c r="P24">
        <f t="shared" si="11"/>
        <v>9.3844839999999999E-2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8.3836116000000002E-2</v>
      </c>
      <c r="P25">
        <f t="shared" si="11"/>
        <v>9.4766115999999997E-2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8.4757392000000001E-2</v>
      </c>
      <c r="P26">
        <f t="shared" si="11"/>
        <v>9.5687391999999996E-2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8.5678667999999999E-2</v>
      </c>
      <c r="P27">
        <f t="shared" si="11"/>
        <v>9.6608667999999995E-2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8.6599943999999998E-2</v>
      </c>
      <c r="P28">
        <f t="shared" si="11"/>
        <v>9.7529943999999993E-2</v>
      </c>
    </row>
    <row r="29" spans="1:16" x14ac:dyDescent="0.3">
      <c r="A29" s="2" t="s">
        <v>185</v>
      </c>
      <c r="B29" s="20">
        <v>5252</v>
      </c>
      <c r="C29" s="20">
        <v>59</v>
      </c>
      <c r="D29" s="20">
        <f>10.93*1000/1000000</f>
        <v>1.093E-2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8.7521219999999997E-2</v>
      </c>
      <c r="P29">
        <f t="shared" si="11"/>
        <v>9.8451219999999992E-2</v>
      </c>
    </row>
    <row r="30" spans="1:16" x14ac:dyDescent="0.3">
      <c r="A30" s="2" t="s">
        <v>61</v>
      </c>
      <c r="B30" s="20">
        <v>2626</v>
      </c>
      <c r="C30" s="20">
        <v>27.48</v>
      </c>
      <c r="D30" s="20">
        <f>5.82*1000/1000000</f>
        <v>5.8199999999999997E-3</v>
      </c>
    </row>
    <row r="31" spans="1:16" x14ac:dyDescent="0.3">
      <c r="A31" s="2" t="s">
        <v>207</v>
      </c>
      <c r="B31" s="20">
        <v>764</v>
      </c>
      <c r="C31">
        <v>6.214611477952583</v>
      </c>
      <c r="D31">
        <v>4.084030751199931E-2</v>
      </c>
      <c r="E31">
        <v>0.7</v>
      </c>
      <c r="J31" s="26" t="s">
        <v>194</v>
      </c>
      <c r="K31" s="26"/>
      <c r="L31" s="26"/>
      <c r="M31" s="26"/>
      <c r="N31" s="26"/>
      <c r="O31" s="26"/>
      <c r="P31" s="26"/>
    </row>
    <row r="32" spans="1:16" x14ac:dyDescent="0.3">
      <c r="A32" s="2" t="s">
        <v>210</v>
      </c>
      <c r="B32" s="2">
        <f>6*B31</f>
        <v>4584</v>
      </c>
      <c r="C32" s="21">
        <v>33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 s="3">
        <f t="shared" ref="K33:K44" si="12">$B$37*J33</f>
        <v>2.7999999999999998E-4</v>
      </c>
      <c r="L33" s="3">
        <f t="shared" ref="L33:L44" si="13">K33*$B$12</f>
        <v>0.19260888908799997</v>
      </c>
      <c r="N33" s="3">
        <f t="shared" ref="N33:N44" si="14">$E$31-L33</f>
        <v>0.50739111091199995</v>
      </c>
      <c r="O33" s="3">
        <f t="shared" ref="O33:O44" si="15">K33*$B$21</f>
        <v>3.6623999999999997E-2</v>
      </c>
      <c r="P33" s="3">
        <f>$D$31+O33</f>
        <v>7.7464307511999314E-2</v>
      </c>
    </row>
    <row r="34" spans="1:16" x14ac:dyDescent="0.3">
      <c r="A34" s="2" t="s">
        <v>187</v>
      </c>
      <c r="J34" s="3">
        <v>0.85</v>
      </c>
      <c r="K34" s="3">
        <f t="shared" si="12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6">$D$31+O34</f>
        <v>8.5312307511999308E-2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 s="3">
        <v>0.86</v>
      </c>
      <c r="K35" s="3">
        <f t="shared" si="12"/>
        <v>3.4400000000000001E-4</v>
      </c>
      <c r="L35" s="3">
        <f t="shared" si="13"/>
        <v>0.23663377802239999</v>
      </c>
      <c r="M35" s="3"/>
      <c r="N35" s="3">
        <f t="shared" si="14"/>
        <v>0.46336622197759997</v>
      </c>
      <c r="O35" s="3">
        <f t="shared" si="15"/>
        <v>4.4995200000000006E-2</v>
      </c>
      <c r="P35" s="3">
        <f t="shared" si="16"/>
        <v>8.5835507511999309E-2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 s="3">
        <v>0.87</v>
      </c>
      <c r="K36" s="3">
        <f t="shared" si="12"/>
        <v>3.48E-4</v>
      </c>
      <c r="L36" s="3">
        <f t="shared" si="13"/>
        <v>0.2393853335808</v>
      </c>
      <c r="M36" s="3"/>
      <c r="N36" s="3">
        <f t="shared" si="14"/>
        <v>0.46061466641919996</v>
      </c>
      <c r="O36" s="3">
        <f t="shared" si="15"/>
        <v>4.5518400000000007E-2</v>
      </c>
      <c r="P36" s="3">
        <f t="shared" si="16"/>
        <v>8.6358707511999311E-2</v>
      </c>
    </row>
    <row r="37" spans="1:16" x14ac:dyDescent="0.3">
      <c r="A37" s="14" t="s">
        <v>111</v>
      </c>
      <c r="B37" s="21">
        <f>400/1000000</f>
        <v>4.0000000000000002E-4</v>
      </c>
      <c r="C37" t="s">
        <v>62</v>
      </c>
      <c r="J37" s="3">
        <v>0.88</v>
      </c>
      <c r="K37" s="3">
        <f t="shared" si="12"/>
        <v>3.5200000000000005E-4</v>
      </c>
      <c r="L37" s="3">
        <f t="shared" si="13"/>
        <v>0.24213688913920003</v>
      </c>
      <c r="M37" s="3"/>
      <c r="N37" s="3">
        <f t="shared" si="14"/>
        <v>0.45786311086079989</v>
      </c>
      <c r="O37" s="3">
        <f t="shared" si="15"/>
        <v>4.6041600000000009E-2</v>
      </c>
      <c r="P37" s="3">
        <f t="shared" si="16"/>
        <v>8.6881907511999312E-2</v>
      </c>
    </row>
    <row r="38" spans="1:16" x14ac:dyDescent="0.3">
      <c r="J38" s="3">
        <v>0.89</v>
      </c>
      <c r="K38" s="3">
        <f t="shared" si="12"/>
        <v>3.5600000000000003E-4</v>
      </c>
      <c r="L38" s="3">
        <f t="shared" si="13"/>
        <v>0.24488844469760002</v>
      </c>
      <c r="M38" s="3"/>
      <c r="N38" s="3">
        <f t="shared" si="14"/>
        <v>0.45511155530239994</v>
      </c>
      <c r="O38" s="3">
        <f t="shared" si="15"/>
        <v>4.656480000000001E-2</v>
      </c>
      <c r="P38" s="3">
        <f t="shared" si="16"/>
        <v>8.7405107511999314E-2</v>
      </c>
    </row>
    <row r="39" spans="1:16" x14ac:dyDescent="0.3">
      <c r="J39" s="3">
        <v>0.9</v>
      </c>
      <c r="K39" s="3">
        <f t="shared" si="12"/>
        <v>3.6000000000000002E-4</v>
      </c>
      <c r="L39" s="3">
        <f t="shared" si="13"/>
        <v>0.247640000256</v>
      </c>
      <c r="M39" s="3"/>
      <c r="N39" s="3">
        <f t="shared" si="14"/>
        <v>0.45235999974399999</v>
      </c>
      <c r="O39" s="3">
        <f t="shared" si="15"/>
        <v>4.7088000000000005E-2</v>
      </c>
      <c r="P39" s="3">
        <f t="shared" si="16"/>
        <v>8.7928307511999315E-2</v>
      </c>
    </row>
    <row r="40" spans="1:16" x14ac:dyDescent="0.3">
      <c r="A40" s="12" t="s">
        <v>277</v>
      </c>
      <c r="J40" s="3">
        <v>0.91</v>
      </c>
      <c r="K40" s="3">
        <f t="shared" si="12"/>
        <v>3.6400000000000001E-4</v>
      </c>
      <c r="L40" s="3">
        <f t="shared" si="13"/>
        <v>0.25039155581439998</v>
      </c>
      <c r="M40" s="3"/>
      <c r="N40" s="3">
        <f t="shared" si="14"/>
        <v>0.44960844418559998</v>
      </c>
      <c r="O40" s="3">
        <f t="shared" si="15"/>
        <v>4.7611200000000006E-2</v>
      </c>
      <c r="P40" s="3">
        <f t="shared" si="16"/>
        <v>8.8451507511999317E-2</v>
      </c>
    </row>
    <row r="41" spans="1:16" x14ac:dyDescent="0.3">
      <c r="A41" s="12" t="s">
        <v>278</v>
      </c>
      <c r="J41" s="3">
        <v>0.92</v>
      </c>
      <c r="K41" s="3">
        <f t="shared" si="12"/>
        <v>3.6800000000000005E-4</v>
      </c>
      <c r="L41" s="3">
        <f t="shared" si="13"/>
        <v>0.25314311137280004</v>
      </c>
      <c r="M41" s="3"/>
      <c r="N41" s="3">
        <f t="shared" si="14"/>
        <v>0.44685688862719991</v>
      </c>
      <c r="O41" s="3">
        <f t="shared" si="15"/>
        <v>4.8134400000000015E-2</v>
      </c>
      <c r="P41" s="3">
        <f t="shared" si="16"/>
        <v>8.8974707511999318E-2</v>
      </c>
    </row>
    <row r="42" spans="1:16" x14ac:dyDescent="0.3">
      <c r="J42" s="3">
        <v>0.93</v>
      </c>
      <c r="K42" s="3">
        <f t="shared" si="12"/>
        <v>3.7200000000000004E-4</v>
      </c>
      <c r="L42" s="3">
        <f t="shared" si="13"/>
        <v>0.2558946669312</v>
      </c>
      <c r="M42" s="3"/>
      <c r="N42" s="3">
        <f t="shared" si="14"/>
        <v>0.44410533306879996</v>
      </c>
      <c r="O42" s="3">
        <f t="shared" si="15"/>
        <v>4.8657600000000009E-2</v>
      </c>
      <c r="P42" s="3">
        <f t="shared" si="16"/>
        <v>8.9497907511999319E-2</v>
      </c>
    </row>
    <row r="43" spans="1:16" x14ac:dyDescent="0.3">
      <c r="J43" s="3">
        <v>0.94</v>
      </c>
      <c r="K43" s="3">
        <f t="shared" si="12"/>
        <v>3.7599999999999998E-4</v>
      </c>
      <c r="L43" s="3">
        <f t="shared" si="13"/>
        <v>0.25864622248959995</v>
      </c>
      <c r="M43" s="3"/>
      <c r="N43" s="3">
        <f t="shared" si="14"/>
        <v>0.4413537775104</v>
      </c>
      <c r="O43" s="3">
        <f t="shared" si="15"/>
        <v>4.9180800000000004E-2</v>
      </c>
      <c r="P43" s="3">
        <f t="shared" si="16"/>
        <v>9.0021107511999321E-2</v>
      </c>
    </row>
    <row r="44" spans="1:16" x14ac:dyDescent="0.3">
      <c r="J44" s="3">
        <v>0.95</v>
      </c>
      <c r="K44" s="3">
        <f t="shared" si="12"/>
        <v>3.8000000000000002E-4</v>
      </c>
      <c r="L44" s="3">
        <f t="shared" si="13"/>
        <v>0.26139777804800002</v>
      </c>
      <c r="M44" s="3"/>
      <c r="N44" s="3">
        <f t="shared" si="14"/>
        <v>0.43860222195199994</v>
      </c>
      <c r="O44" s="3">
        <f t="shared" si="15"/>
        <v>4.9704000000000005E-2</v>
      </c>
      <c r="P44" s="3">
        <f t="shared" si="16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M14"/>
  <sheetViews>
    <sheetView workbookViewId="0">
      <selection activeCell="L1" sqref="L1:M1"/>
    </sheetView>
  </sheetViews>
  <sheetFormatPr defaultRowHeight="14.4" x14ac:dyDescent="0.3"/>
  <cols>
    <col min="2" max="2" width="12.33203125" customWidth="1"/>
  </cols>
  <sheetData>
    <row r="1" spans="1:13" x14ac:dyDescent="0.3">
      <c r="B1" t="s">
        <v>283</v>
      </c>
      <c r="C1" t="s">
        <v>114</v>
      </c>
      <c r="D1" s="12" t="s">
        <v>282</v>
      </c>
      <c r="I1" t="s">
        <v>326</v>
      </c>
      <c r="L1">
        <v>33.335999999999999</v>
      </c>
      <c r="M1" t="s">
        <v>3</v>
      </c>
    </row>
    <row r="2" spans="1:13" x14ac:dyDescent="0.3">
      <c r="A2">
        <v>2017</v>
      </c>
      <c r="B2">
        <v>95.78</v>
      </c>
      <c r="C2">
        <f>B2/L1</f>
        <v>2.873170146388289</v>
      </c>
      <c r="D2" t="s">
        <v>288</v>
      </c>
    </row>
    <row r="4" spans="1:13" x14ac:dyDescent="0.3">
      <c r="A4" t="s">
        <v>289</v>
      </c>
      <c r="D4" s="12"/>
    </row>
    <row r="6" spans="1:13" x14ac:dyDescent="0.3">
      <c r="B6">
        <v>43</v>
      </c>
      <c r="C6">
        <f>B6/L1</f>
        <v>1.2898968082553397</v>
      </c>
      <c r="D6" s="12" t="s">
        <v>325</v>
      </c>
    </row>
    <row r="7" spans="1:13" x14ac:dyDescent="0.3">
      <c r="D7" s="12" t="s">
        <v>327</v>
      </c>
    </row>
    <row r="9" spans="1:13" x14ac:dyDescent="0.3">
      <c r="B9">
        <f>0.04*970</f>
        <v>38.800000000000004</v>
      </c>
      <c r="C9">
        <f>B9/L1</f>
        <v>1.1639068874490042</v>
      </c>
      <c r="D9" s="12" t="s">
        <v>325</v>
      </c>
    </row>
    <row r="12" spans="1:13" x14ac:dyDescent="0.3">
      <c r="A12" t="s">
        <v>4</v>
      </c>
      <c r="B12" s="1">
        <v>0.7</v>
      </c>
      <c r="C12" s="12" t="s">
        <v>347</v>
      </c>
      <c r="I12" s="12"/>
    </row>
    <row r="13" spans="1:13" x14ac:dyDescent="0.3">
      <c r="C13" t="s">
        <v>348</v>
      </c>
    </row>
    <row r="14" spans="1:13" x14ac:dyDescent="0.3">
      <c r="C14" t="s">
        <v>353</v>
      </c>
    </row>
  </sheetData>
  <hyperlinks>
    <hyperlink ref="D1" r:id="rId1" xr:uid="{3122AE31-A0FC-4B8D-8284-BA98C897AEC6}"/>
    <hyperlink ref="D6" r:id="rId2" tooltip="Persistent link using digital object identifier" xr:uid="{64767E0B-4603-4888-AC84-3F51EA7C938D}"/>
    <hyperlink ref="D7" r:id="rId3" tooltip="Persistent link using digital object identifier" display="https://doi-org.proxy2.library.illinois.edu/10.1016/j.ijhydene.2011.10.064" xr:uid="{BDE805AE-877E-4545-BDBE-4D38A75176FA}"/>
    <hyperlink ref="D9" r:id="rId4" xr:uid="{80D8A260-46EB-4685-A28A-7C308844320C}"/>
    <hyperlink ref="C12" r:id="rId5" xr:uid="{FA8CBC50-1FA2-4835-99CA-545FD421431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0"/>
  <sheetViews>
    <sheetView workbookViewId="0">
      <selection activeCell="G16" sqref="G16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294</v>
      </c>
    </row>
    <row r="2" spans="1:16" x14ac:dyDescent="0.3">
      <c r="H2" s="24">
        <v>0.27779999999999999</v>
      </c>
      <c r="I2" t="s">
        <v>65</v>
      </c>
      <c r="K2" t="s">
        <v>300</v>
      </c>
      <c r="L2">
        <v>5000</v>
      </c>
      <c r="M2" t="s">
        <v>297</v>
      </c>
    </row>
    <row r="3" spans="1:16" x14ac:dyDescent="0.3">
      <c r="A3" t="s">
        <v>35</v>
      </c>
      <c r="B3" s="10">
        <v>20000</v>
      </c>
      <c r="C3" t="s">
        <v>297</v>
      </c>
      <c r="D3">
        <f>B3/(8760*0.9)</f>
        <v>2.5367833587011668</v>
      </c>
      <c r="E3" t="s">
        <v>137</v>
      </c>
      <c r="F3" t="s">
        <v>320</v>
      </c>
      <c r="K3" t="s">
        <v>303</v>
      </c>
      <c r="L3">
        <v>20000</v>
      </c>
      <c r="M3" t="s">
        <v>297</v>
      </c>
    </row>
    <row r="4" spans="1:16" x14ac:dyDescent="0.3">
      <c r="B4">
        <v>60000</v>
      </c>
      <c r="C4" t="s">
        <v>297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297</v>
      </c>
      <c r="D5">
        <f t="shared" si="0"/>
        <v>11.415525114155251</v>
      </c>
      <c r="F5">
        <v>2070</v>
      </c>
    </row>
    <row r="9" spans="1:16" x14ac:dyDescent="0.3">
      <c r="A9" t="s">
        <v>295</v>
      </c>
      <c r="J9" t="s">
        <v>321</v>
      </c>
      <c r="P9" s="12" t="s">
        <v>324</v>
      </c>
    </row>
    <row r="10" spans="1:16" x14ac:dyDescent="0.3">
      <c r="A10" t="s">
        <v>296</v>
      </c>
      <c r="J10">
        <v>2017</v>
      </c>
      <c r="K10">
        <v>8000</v>
      </c>
      <c r="L10" t="s">
        <v>322</v>
      </c>
      <c r="M10">
        <f>1.11*K10</f>
        <v>8880</v>
      </c>
      <c r="N10" t="s">
        <v>323</v>
      </c>
    </row>
    <row r="11" spans="1:16" x14ac:dyDescent="0.3">
      <c r="A11">
        <v>2030</v>
      </c>
      <c r="B11">
        <f>(107.7+107.8+108.8)/3</f>
        <v>108.10000000000001</v>
      </c>
      <c r="C11" t="s">
        <v>298</v>
      </c>
      <c r="D11">
        <f>B11*1000/(B3)</f>
        <v>5.4050000000000011</v>
      </c>
      <c r="E11" t="s">
        <v>114</v>
      </c>
      <c r="J11">
        <v>2030</v>
      </c>
      <c r="K11">
        <v>5500</v>
      </c>
      <c r="L11" t="s">
        <v>322</v>
      </c>
      <c r="M11">
        <f t="shared" ref="M11:M13" si="1">1.11*K11</f>
        <v>6105.0000000000009</v>
      </c>
      <c r="N11" t="s">
        <v>323</v>
      </c>
    </row>
    <row r="12" spans="1:16" x14ac:dyDescent="0.3">
      <c r="A12">
        <v>2040</v>
      </c>
      <c r="B12">
        <f>0.6*B11</f>
        <v>64.86</v>
      </c>
      <c r="C12" t="s">
        <v>298</v>
      </c>
      <c r="D12">
        <f>B12*1000/(B3)</f>
        <v>3.2429999999999999</v>
      </c>
      <c r="E12" t="s">
        <v>114</v>
      </c>
      <c r="J12">
        <v>2050</v>
      </c>
      <c r="K12">
        <v>1000</v>
      </c>
      <c r="L12" t="s">
        <v>322</v>
      </c>
      <c r="M12">
        <f t="shared" si="1"/>
        <v>1110</v>
      </c>
      <c r="N12" t="s">
        <v>323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114</v>
      </c>
      <c r="J13">
        <v>2070</v>
      </c>
      <c r="K13">
        <v>400</v>
      </c>
      <c r="L13" t="s">
        <v>322</v>
      </c>
      <c r="M13">
        <f t="shared" si="1"/>
        <v>444.00000000000006</v>
      </c>
      <c r="N13" t="s">
        <v>323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114</v>
      </c>
    </row>
    <row r="18" spans="1:12" x14ac:dyDescent="0.3">
      <c r="A18" s="29" t="s">
        <v>299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3">
      <c r="A19" s="29" t="s">
        <v>300</v>
      </c>
      <c r="B19" s="29">
        <v>52.2</v>
      </c>
      <c r="C19" s="29" t="s">
        <v>113</v>
      </c>
      <c r="D19" s="29">
        <f>B19/$H$2</f>
        <v>187.9049676025918</v>
      </c>
      <c r="E19" s="29" t="s">
        <v>114</v>
      </c>
      <c r="F19" s="29">
        <f>D19*L2/1000</f>
        <v>939.52483801295898</v>
      </c>
      <c r="G19" s="29"/>
      <c r="H19" s="29"/>
      <c r="I19" s="29"/>
      <c r="J19" s="29"/>
      <c r="K19" s="29"/>
      <c r="L19" s="29"/>
    </row>
    <row r="20" spans="1:12" x14ac:dyDescent="0.3">
      <c r="A20" s="29" t="s">
        <v>301</v>
      </c>
      <c r="B20" s="29">
        <v>46.7</v>
      </c>
      <c r="C20" s="29" t="s">
        <v>113</v>
      </c>
      <c r="D20" s="29">
        <f t="shared" ref="D20:D21" si="2">B20/$H$2</f>
        <v>168.10655147588196</v>
      </c>
      <c r="E20" s="29" t="s">
        <v>114</v>
      </c>
      <c r="F20" s="29">
        <f>D20*L3/1000</f>
        <v>3362.131029517639</v>
      </c>
      <c r="G20" s="29"/>
      <c r="H20" s="29"/>
      <c r="I20" s="29"/>
      <c r="J20" s="29"/>
      <c r="K20" s="29"/>
      <c r="L20" s="29"/>
    </row>
    <row r="21" spans="1:12" x14ac:dyDescent="0.3">
      <c r="A21" s="29" t="s">
        <v>302</v>
      </c>
      <c r="B21" s="29">
        <v>41.6</v>
      </c>
      <c r="C21" s="29" t="s">
        <v>113</v>
      </c>
      <c r="D21" s="29">
        <f t="shared" si="2"/>
        <v>149.74802015838733</v>
      </c>
      <c r="E21" s="29" t="s">
        <v>114</v>
      </c>
      <c r="F21" s="29">
        <f>D21*L3/1000</f>
        <v>2994.9604031677463</v>
      </c>
      <c r="G21" s="29"/>
      <c r="H21" s="29"/>
      <c r="I21" s="29"/>
      <c r="J21" s="29"/>
      <c r="K21" s="29"/>
      <c r="L21" s="29"/>
    </row>
    <row r="22" spans="1:12" x14ac:dyDescent="0.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3">
      <c r="A23" s="29" t="s">
        <v>304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3">
      <c r="A24" s="29" t="s">
        <v>17</v>
      </c>
      <c r="B24" s="29">
        <v>5881</v>
      </c>
      <c r="C24" s="29" t="s">
        <v>305</v>
      </c>
      <c r="D24" s="29">
        <f>B24*H2</f>
        <v>1633.7418</v>
      </c>
      <c r="E24" s="29" t="s">
        <v>73</v>
      </c>
      <c r="F24" s="29"/>
      <c r="G24" s="29"/>
      <c r="H24" s="29"/>
      <c r="I24" s="29"/>
      <c r="J24" s="29"/>
      <c r="K24" s="29"/>
      <c r="L24" s="29"/>
    </row>
    <row r="25" spans="1:12" x14ac:dyDescent="0.3">
      <c r="A25" s="29" t="s">
        <v>92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  <c r="L25" s="29" t="s">
        <v>318</v>
      </c>
    </row>
    <row r="26" spans="1:12" x14ac:dyDescent="0.3">
      <c r="A26" s="29" t="s">
        <v>311</v>
      </c>
      <c r="B26" s="29" t="s">
        <v>306</v>
      </c>
      <c r="C26" s="29" t="s">
        <v>307</v>
      </c>
      <c r="D26" s="29" t="s">
        <v>310</v>
      </c>
      <c r="E26" s="29" t="s">
        <v>308</v>
      </c>
      <c r="F26" s="29" t="s">
        <v>309</v>
      </c>
      <c r="G26" s="29"/>
      <c r="H26" s="29"/>
      <c r="I26" s="29" t="s">
        <v>314</v>
      </c>
      <c r="J26" s="29"/>
      <c r="K26" s="29">
        <f>4.08/(4.08+3.69+0.58)</f>
        <v>0.488622754491018</v>
      </c>
      <c r="L26" s="29">
        <v>943</v>
      </c>
    </row>
    <row r="27" spans="1:12" x14ac:dyDescent="0.3">
      <c r="A27" s="29" t="s">
        <v>312</v>
      </c>
      <c r="B27" s="29">
        <f>6*H2</f>
        <v>1.6667999999999998</v>
      </c>
      <c r="C27" s="29">
        <f>283*H2</f>
        <v>78.617400000000004</v>
      </c>
      <c r="D27" s="29">
        <f>38*H2</f>
        <v>10.5564</v>
      </c>
      <c r="E27" s="29">
        <f>1230*H2</f>
        <v>341.69400000000002</v>
      </c>
      <c r="F27" s="29">
        <f>4323*H2</f>
        <v>1200.9294</v>
      </c>
      <c r="G27" s="29" t="s">
        <v>73</v>
      </c>
      <c r="H27" s="29"/>
      <c r="I27" s="29" t="s">
        <v>315</v>
      </c>
      <c r="J27" s="29"/>
      <c r="K27" s="29">
        <f>3.69/(4.08+3.69+0.58)</f>
        <v>0.44191616766467068</v>
      </c>
      <c r="L27" s="29">
        <v>599</v>
      </c>
    </row>
    <row r="28" spans="1:12" x14ac:dyDescent="0.3">
      <c r="A28" s="29" t="s">
        <v>313</v>
      </c>
      <c r="B28" s="29">
        <f>11.5</f>
        <v>11.5</v>
      </c>
      <c r="C28" s="29">
        <v>24</v>
      </c>
      <c r="D28" s="29">
        <v>230</v>
      </c>
      <c r="E28" s="29">
        <v>777.43592814371266</v>
      </c>
      <c r="F28" s="29">
        <v>12</v>
      </c>
      <c r="G28" s="29" t="s">
        <v>114</v>
      </c>
      <c r="H28" s="29"/>
      <c r="I28" s="29" t="s">
        <v>316</v>
      </c>
      <c r="J28" s="29"/>
      <c r="K28" s="29">
        <f>0.58/(4.08+3.69+0.58)</f>
        <v>6.9461077844311381E-2</v>
      </c>
      <c r="L28" s="29">
        <v>748</v>
      </c>
    </row>
    <row r="29" spans="1:12" x14ac:dyDescent="0.3">
      <c r="A29" s="29" t="s">
        <v>318</v>
      </c>
      <c r="B29" s="29">
        <f>B28*B27</f>
        <v>19.168199999999999</v>
      </c>
      <c r="C29" s="29">
        <f t="shared" ref="C29:F29" si="3">C28*C27</f>
        <v>1886.8176000000001</v>
      </c>
      <c r="D29" s="29">
        <f t="shared" si="3"/>
        <v>2427.9720000000002</v>
      </c>
      <c r="E29" s="29">
        <f t="shared" si="3"/>
        <v>265645.19203113776</v>
      </c>
      <c r="F29" s="29">
        <f t="shared" si="3"/>
        <v>14411.1528</v>
      </c>
      <c r="G29" s="29" t="s">
        <v>319</v>
      </c>
      <c r="H29" s="29"/>
      <c r="I29" s="29" t="s">
        <v>317</v>
      </c>
      <c r="J29" s="29"/>
      <c r="K29" s="29"/>
      <c r="L29" s="29">
        <f>(K26*L26)+(K27*L27)+(K28*L28)</f>
        <v>777.43592814371266</v>
      </c>
    </row>
    <row r="30" spans="1:12" x14ac:dyDescent="0.3">
      <c r="A30" s="29" t="s">
        <v>17</v>
      </c>
      <c r="B30" s="29"/>
      <c r="C30" s="29"/>
      <c r="D30" s="29"/>
      <c r="E30" s="29"/>
      <c r="F30" s="29">
        <f>SUM(B29:F29)/1000</f>
        <v>284.39030263113773</v>
      </c>
      <c r="G30" s="29" t="s">
        <v>72</v>
      </c>
      <c r="H30" s="29"/>
      <c r="I30" s="29"/>
      <c r="J30" s="29"/>
      <c r="K30" s="29"/>
      <c r="L30" s="29"/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zoomScale="175" zoomScaleNormal="175" workbookViewId="0">
      <selection activeCell="C10" sqref="C10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  <c r="I4" s="16">
        <v>9.2902999999999995E-8</v>
      </c>
      <c r="J4" t="s">
        <v>248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246</v>
      </c>
      <c r="B6">
        <f>1.5/20</f>
        <v>7.4999999999999997E-2</v>
      </c>
      <c r="C6" t="s">
        <v>259</v>
      </c>
      <c r="D6" s="16">
        <f>B6*I3*1000</f>
        <v>0.30351450000000002</v>
      </c>
      <c r="E6" t="s">
        <v>249</v>
      </c>
      <c r="G6" s="12" t="s">
        <v>260</v>
      </c>
    </row>
    <row r="7" spans="1:10" x14ac:dyDescent="0.3">
      <c r="B7">
        <v>0.04</v>
      </c>
      <c r="C7" t="s">
        <v>259</v>
      </c>
      <c r="D7" s="16">
        <f>B7*I3*1000</f>
        <v>0.1618744</v>
      </c>
      <c r="E7" t="s">
        <v>249</v>
      </c>
      <c r="G7" s="12" t="s">
        <v>261</v>
      </c>
    </row>
    <row r="8" spans="1:10" x14ac:dyDescent="0.3">
      <c r="B8">
        <f>76800/60</f>
        <v>1280</v>
      </c>
      <c r="C8" t="s">
        <v>247</v>
      </c>
      <c r="D8" s="16">
        <f>B8*I4*1000</f>
        <v>0.11891583999999998</v>
      </c>
      <c r="E8" t="s">
        <v>249</v>
      </c>
      <c r="G8" s="12" t="s">
        <v>254</v>
      </c>
    </row>
    <row r="9" spans="1:10" x14ac:dyDescent="0.3">
      <c r="A9" t="s">
        <v>245</v>
      </c>
      <c r="B9">
        <f>D9*B2/100</f>
        <v>7530</v>
      </c>
      <c r="C9" t="s">
        <v>221</v>
      </c>
      <c r="D9">
        <v>3</v>
      </c>
      <c r="E9" t="s">
        <v>234</v>
      </c>
    </row>
    <row r="10" spans="1:10" x14ac:dyDescent="0.3">
      <c r="A10" t="s">
        <v>241</v>
      </c>
      <c r="B10" s="16">
        <f>B9/D6</f>
        <v>24809.358366733712</v>
      </c>
      <c r="C10" t="s">
        <v>133</v>
      </c>
    </row>
    <row r="12" spans="1:10" x14ac:dyDescent="0.3">
      <c r="A12" t="s">
        <v>4</v>
      </c>
      <c r="B12">
        <v>0.86</v>
      </c>
    </row>
    <row r="13" spans="1:10" x14ac:dyDescent="0.3">
      <c r="A13" t="s">
        <v>250</v>
      </c>
      <c r="B13">
        <v>0.8</v>
      </c>
    </row>
    <row r="14" spans="1:10" x14ac:dyDescent="0.3">
      <c r="A14" t="s">
        <v>251</v>
      </c>
      <c r="B14">
        <f>B13*B12</f>
        <v>0.68800000000000006</v>
      </c>
    </row>
    <row r="15" spans="1:10" x14ac:dyDescent="0.3">
      <c r="A15" t="s">
        <v>252</v>
      </c>
      <c r="B15">
        <f>3500/(10*365.25)</f>
        <v>0.95824777549623541</v>
      </c>
      <c r="C15" t="s">
        <v>253</v>
      </c>
      <c r="H15" s="12" t="s">
        <v>255</v>
      </c>
    </row>
    <row r="17" spans="1:6" x14ac:dyDescent="0.3">
      <c r="A17" t="s">
        <v>256</v>
      </c>
      <c r="B17">
        <v>4</v>
      </c>
      <c r="D17" s="12" t="s">
        <v>255</v>
      </c>
    </row>
    <row r="18" spans="1:6" x14ac:dyDescent="0.3">
      <c r="A18" t="s">
        <v>257</v>
      </c>
      <c r="B18">
        <f>4/24</f>
        <v>0.16666666666666666</v>
      </c>
    </row>
    <row r="20" spans="1:6" x14ac:dyDescent="0.3">
      <c r="A20" t="s">
        <v>92</v>
      </c>
      <c r="C20" t="s">
        <v>335</v>
      </c>
    </row>
    <row r="22" spans="1:6" x14ac:dyDescent="0.3">
      <c r="A22" t="s">
        <v>157</v>
      </c>
      <c r="B22">
        <v>61</v>
      </c>
      <c r="C22">
        <v>106</v>
      </c>
      <c r="D22" t="s">
        <v>336</v>
      </c>
    </row>
    <row r="23" spans="1:6" x14ac:dyDescent="0.3">
      <c r="B23">
        <f>4*B22</f>
        <v>244</v>
      </c>
      <c r="C23">
        <f>4*C22</f>
        <v>424</v>
      </c>
      <c r="D23" t="s">
        <v>337</v>
      </c>
      <c r="F23" t="s">
        <v>338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158</v>
      </c>
    </row>
    <row r="26" spans="1:6" x14ac:dyDescent="0.3">
      <c r="B26" t="s">
        <v>339</v>
      </c>
    </row>
    <row r="27" spans="1:6" x14ac:dyDescent="0.3">
      <c r="B27" t="s">
        <v>340</v>
      </c>
    </row>
    <row r="28" spans="1:6" x14ac:dyDescent="0.3">
      <c r="B28" t="s">
        <v>341</v>
      </c>
    </row>
    <row r="29" spans="1:6" x14ac:dyDescent="0.3">
      <c r="B29" t="s">
        <v>342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D9" sqref="D9"/>
    </sheetView>
  </sheetViews>
  <sheetFormatPr defaultRowHeight="14.4" x14ac:dyDescent="0.3"/>
  <sheetData>
    <row r="1" spans="1:15" x14ac:dyDescent="0.3">
      <c r="A1" t="s">
        <v>179</v>
      </c>
      <c r="B1" t="s">
        <v>118</v>
      </c>
      <c r="F1" s="12" t="s">
        <v>269</v>
      </c>
    </row>
    <row r="2" spans="1:15" x14ac:dyDescent="0.3">
      <c r="A2">
        <v>2030</v>
      </c>
      <c r="B2">
        <v>4000</v>
      </c>
      <c r="C2" t="s">
        <v>262</v>
      </c>
    </row>
    <row r="3" spans="1:15" x14ac:dyDescent="0.3">
      <c r="A3">
        <v>2035</v>
      </c>
      <c r="B3">
        <v>3000</v>
      </c>
    </row>
    <row r="5" spans="1:15" x14ac:dyDescent="0.3">
      <c r="A5" t="s">
        <v>35</v>
      </c>
      <c r="B5">
        <v>10</v>
      </c>
      <c r="C5" t="s">
        <v>137</v>
      </c>
      <c r="D5">
        <v>90000</v>
      </c>
    </row>
    <row r="7" spans="1:15" x14ac:dyDescent="0.3">
      <c r="A7" t="s">
        <v>157</v>
      </c>
      <c r="B7">
        <v>190</v>
      </c>
      <c r="C7" t="s">
        <v>265</v>
      </c>
      <c r="D7">
        <f>B7*1000/(D5)</f>
        <v>2.1111111111111112</v>
      </c>
      <c r="E7" t="s">
        <v>114</v>
      </c>
      <c r="F7">
        <v>2030</v>
      </c>
      <c r="I7" t="s">
        <v>328</v>
      </c>
    </row>
    <row r="8" spans="1:15" x14ac:dyDescent="0.3">
      <c r="B8">
        <f>B7*K9</f>
        <v>129.20000000000002</v>
      </c>
      <c r="D8">
        <f>B8*1000/D5</f>
        <v>1.4355555555555557</v>
      </c>
      <c r="F8">
        <v>2040</v>
      </c>
      <c r="I8">
        <v>2010</v>
      </c>
      <c r="J8">
        <v>25</v>
      </c>
      <c r="O8" s="12" t="s">
        <v>268</v>
      </c>
    </row>
    <row r="9" spans="1:15" x14ac:dyDescent="0.3">
      <c r="B9">
        <f>B7*K10</f>
        <v>114</v>
      </c>
      <c r="D9">
        <f>B9*1000/D5</f>
        <v>1.2666666666666666</v>
      </c>
      <c r="F9">
        <v>2040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332</v>
      </c>
      <c r="B12" t="s">
        <v>333</v>
      </c>
      <c r="D12" s="12" t="s">
        <v>334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C9" sqref="C9"/>
    </sheetView>
  </sheetViews>
  <sheetFormatPr defaultRowHeight="14.4" x14ac:dyDescent="0.3"/>
  <cols>
    <col min="2" max="2" width="10" customWidth="1"/>
  </cols>
  <sheetData>
    <row r="1" spans="1:7" x14ac:dyDescent="0.3">
      <c r="A1" t="s">
        <v>179</v>
      </c>
      <c r="B1" t="s">
        <v>118</v>
      </c>
      <c r="E1" s="12" t="s">
        <v>268</v>
      </c>
    </row>
    <row r="2" spans="1:7" x14ac:dyDescent="0.3">
      <c r="A2">
        <v>2022</v>
      </c>
      <c r="B2">
        <v>7000</v>
      </c>
      <c r="C2" t="s">
        <v>263</v>
      </c>
    </row>
    <row r="3" spans="1:7" x14ac:dyDescent="0.3">
      <c r="A3">
        <v>2030</v>
      </c>
      <c r="B3">
        <v>4000</v>
      </c>
      <c r="C3" t="s">
        <v>264</v>
      </c>
    </row>
    <row r="4" spans="1:7" x14ac:dyDescent="0.3">
      <c r="A4">
        <v>2035</v>
      </c>
      <c r="B4">
        <v>3000</v>
      </c>
    </row>
    <row r="6" spans="1:7" x14ac:dyDescent="0.3">
      <c r="A6" t="s">
        <v>35</v>
      </c>
      <c r="B6">
        <v>2017</v>
      </c>
      <c r="C6">
        <v>7</v>
      </c>
    </row>
    <row r="8" spans="1:7" x14ac:dyDescent="0.3">
      <c r="C8" t="s">
        <v>291</v>
      </c>
    </row>
    <row r="9" spans="1:7" x14ac:dyDescent="0.3">
      <c r="A9" t="s">
        <v>157</v>
      </c>
      <c r="B9" t="s">
        <v>292</v>
      </c>
      <c r="C9">
        <v>60</v>
      </c>
      <c r="D9" t="s">
        <v>265</v>
      </c>
      <c r="E9">
        <f>C9*1000/(8760*$C$6*0.9)</f>
        <v>1.0871928680147858</v>
      </c>
      <c r="F9" t="s">
        <v>266</v>
      </c>
      <c r="G9" s="12" t="s">
        <v>290</v>
      </c>
    </row>
    <row r="10" spans="1:7" x14ac:dyDescent="0.3">
      <c r="B10">
        <v>2020</v>
      </c>
      <c r="C10">
        <f>C9*C14</f>
        <v>40.800000000000004</v>
      </c>
      <c r="D10" t="s">
        <v>265</v>
      </c>
      <c r="E10">
        <f t="shared" ref="E10:E11" si="0">C10*1000/(8760*$C$6*0.9)</f>
        <v>0.73929115025005454</v>
      </c>
    </row>
    <row r="11" spans="1:7" x14ac:dyDescent="0.3">
      <c r="B11" t="s">
        <v>293</v>
      </c>
      <c r="C11">
        <f>C9*C15</f>
        <v>36</v>
      </c>
      <c r="D11" t="s">
        <v>265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268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293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6"/>
  <sheetViews>
    <sheetView workbookViewId="0">
      <selection activeCell="A26" sqref="A26:D26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267</v>
      </c>
      <c r="J1" s="12" t="s">
        <v>274</v>
      </c>
    </row>
    <row r="2" spans="1:18" x14ac:dyDescent="0.3">
      <c r="G2" t="s">
        <v>168</v>
      </c>
    </row>
    <row r="3" spans="1:18" x14ac:dyDescent="0.3">
      <c r="B3" s="2">
        <v>2017</v>
      </c>
      <c r="C3" s="18">
        <v>2025</v>
      </c>
      <c r="D3" s="18"/>
      <c r="E3" s="26">
        <v>2040</v>
      </c>
      <c r="F3" s="26"/>
      <c r="G3" t="s">
        <v>272</v>
      </c>
      <c r="H3" t="s">
        <v>273</v>
      </c>
      <c r="Q3" s="17"/>
      <c r="R3" s="17"/>
    </row>
    <row r="4" spans="1:18" x14ac:dyDescent="0.3">
      <c r="B4" s="2" t="s">
        <v>171</v>
      </c>
      <c r="C4" s="2" t="s">
        <v>160</v>
      </c>
      <c r="D4" s="2" t="s">
        <v>161</v>
      </c>
      <c r="E4" s="2" t="s">
        <v>160</v>
      </c>
      <c r="F4" s="2" t="s">
        <v>161</v>
      </c>
      <c r="Q4" s="17"/>
      <c r="R4" s="17"/>
    </row>
    <row r="5" spans="1:18" x14ac:dyDescent="0.3">
      <c r="A5" s="2" t="s">
        <v>159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162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163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164</v>
      </c>
      <c r="B11" s="2">
        <v>2017</v>
      </c>
      <c r="C11" s="2">
        <v>2025</v>
      </c>
      <c r="D11" s="2">
        <v>2050</v>
      </c>
      <c r="E11" s="2">
        <v>2100</v>
      </c>
      <c r="H11" t="s">
        <v>270</v>
      </c>
      <c r="I11" t="s">
        <v>271</v>
      </c>
    </row>
    <row r="12" spans="1:18" x14ac:dyDescent="0.3">
      <c r="A12" s="2" t="s">
        <v>159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165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166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167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173</v>
      </c>
    </row>
    <row r="18" spans="1:4" x14ac:dyDescent="0.3">
      <c r="A18" t="s">
        <v>170</v>
      </c>
      <c r="B18">
        <v>1307</v>
      </c>
      <c r="C18">
        <v>15.19</v>
      </c>
      <c r="D18">
        <v>0</v>
      </c>
    </row>
    <row r="20" spans="1:4" x14ac:dyDescent="0.3">
      <c r="A20" t="s">
        <v>165</v>
      </c>
      <c r="B20">
        <v>1319</v>
      </c>
      <c r="C20">
        <v>26.22</v>
      </c>
      <c r="D20">
        <v>0</v>
      </c>
    </row>
    <row r="21" spans="1:4" x14ac:dyDescent="0.3">
      <c r="A21" t="s">
        <v>172</v>
      </c>
      <c r="B21">
        <v>5446</v>
      </c>
      <c r="C21">
        <v>109.54</v>
      </c>
      <c r="D21">
        <v>0</v>
      </c>
    </row>
    <row r="23" spans="1:4" x14ac:dyDescent="0.3">
      <c r="A23" t="s">
        <v>275</v>
      </c>
      <c r="B23">
        <v>2019</v>
      </c>
      <c r="C23">
        <v>2050</v>
      </c>
    </row>
    <row r="24" spans="1:4" x14ac:dyDescent="0.3">
      <c r="A24" t="s">
        <v>165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276</v>
      </c>
      <c r="B25">
        <v>5446</v>
      </c>
      <c r="C25">
        <v>2369</v>
      </c>
      <c r="D25">
        <f>C25/B25</f>
        <v>0.43499816378993755</v>
      </c>
    </row>
    <row r="26" spans="1:4" x14ac:dyDescent="0.3">
      <c r="A26" t="s">
        <v>276</v>
      </c>
      <c r="B26">
        <v>5446</v>
      </c>
      <c r="C26">
        <v>2369</v>
      </c>
      <c r="D26">
        <f>C26/B26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L24"/>
  <sheetViews>
    <sheetView tabSelected="1" workbookViewId="0">
      <selection activeCell="O5" sqref="O5"/>
    </sheetView>
  </sheetViews>
  <sheetFormatPr defaultRowHeight="14.4" x14ac:dyDescent="0.3"/>
  <cols>
    <col min="1" max="1" width="17.5546875" customWidth="1"/>
    <col min="2" max="2" width="13.88671875" customWidth="1"/>
    <col min="4" max="4" width="10" bestFit="1" customWidth="1"/>
    <col min="9" max="9" width="12" bestFit="1" customWidth="1"/>
    <col min="10" max="11" width="11" bestFit="1" customWidth="1"/>
    <col min="12" max="12" width="12" bestFit="1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237</v>
      </c>
      <c r="B6">
        <f>D6*B2/100</f>
        <v>12550</v>
      </c>
      <c r="D6">
        <v>5</v>
      </c>
      <c r="E6" t="s">
        <v>234</v>
      </c>
    </row>
    <row r="8" spans="1:10" x14ac:dyDescent="0.3">
      <c r="B8" t="s">
        <v>365</v>
      </c>
    </row>
    <row r="9" spans="1:10" x14ac:dyDescent="0.3">
      <c r="A9" t="s">
        <v>364</v>
      </c>
      <c r="B9">
        <v>0.21</v>
      </c>
    </row>
    <row r="10" spans="1:10" x14ac:dyDescent="0.3">
      <c r="A10" t="s">
        <v>161</v>
      </c>
      <c r="B10">
        <v>0.9</v>
      </c>
    </row>
    <row r="11" spans="1:10" x14ac:dyDescent="0.3">
      <c r="A11" t="s">
        <v>35</v>
      </c>
      <c r="B11">
        <v>20</v>
      </c>
      <c r="C11" t="s">
        <v>137</v>
      </c>
    </row>
    <row r="12" spans="1:10" x14ac:dyDescent="0.3">
      <c r="A12" t="s">
        <v>228</v>
      </c>
      <c r="B12">
        <v>1000</v>
      </c>
      <c r="C12" t="s">
        <v>229</v>
      </c>
      <c r="D12">
        <f>365.25*B12*B10*B9</f>
        <v>69032.25</v>
      </c>
      <c r="E12" t="s">
        <v>230</v>
      </c>
      <c r="F12">
        <f>D12*B11</f>
        <v>1380645</v>
      </c>
      <c r="G12" t="s">
        <v>231</v>
      </c>
    </row>
    <row r="13" spans="1:10" x14ac:dyDescent="0.3">
      <c r="B13">
        <f>33.33*D12/1000000</f>
        <v>2.3008448925000002</v>
      </c>
      <c r="C13" t="s">
        <v>239</v>
      </c>
      <c r="D13">
        <f>B13*B11</f>
        <v>46.016897850000007</v>
      </c>
      <c r="E13" t="s">
        <v>240</v>
      </c>
    </row>
    <row r="14" spans="1:10" x14ac:dyDescent="0.3">
      <c r="A14" t="s">
        <v>232</v>
      </c>
      <c r="B14">
        <f>222881/1000000</f>
        <v>0.222881</v>
      </c>
      <c r="C14" t="s">
        <v>233</v>
      </c>
    </row>
    <row r="15" spans="1:10" x14ac:dyDescent="0.3">
      <c r="A15" t="s">
        <v>235</v>
      </c>
      <c r="B15">
        <f>B13/(8760*B10)</f>
        <v>2.918372517123288E-4</v>
      </c>
      <c r="C15" t="s">
        <v>133</v>
      </c>
    </row>
    <row r="16" spans="1:10" x14ac:dyDescent="0.3">
      <c r="A16" t="s">
        <v>236</v>
      </c>
      <c r="B16">
        <f>B14/B15</f>
        <v>763.71675888621417</v>
      </c>
      <c r="C16" t="s">
        <v>226</v>
      </c>
    </row>
    <row r="17" spans="1:12" x14ac:dyDescent="0.3">
      <c r="A17" t="s">
        <v>241</v>
      </c>
      <c r="B17">
        <f>B6/B16</f>
        <v>16.432793773312781</v>
      </c>
      <c r="C17" t="s">
        <v>133</v>
      </c>
    </row>
    <row r="18" spans="1:12" x14ac:dyDescent="0.3">
      <c r="A18" t="s">
        <v>86</v>
      </c>
      <c r="B18">
        <f>4.291722</f>
        <v>4.291722</v>
      </c>
      <c r="C18" t="s">
        <v>51</v>
      </c>
      <c r="I18" t="s">
        <v>373</v>
      </c>
    </row>
    <row r="19" spans="1:12" x14ac:dyDescent="0.3">
      <c r="A19" t="s">
        <v>118</v>
      </c>
      <c r="B19">
        <f>B18/B15</f>
        <v>14705.874506488488</v>
      </c>
      <c r="C19" t="s">
        <v>134</v>
      </c>
      <c r="I19" t="s">
        <v>370</v>
      </c>
      <c r="J19" t="s">
        <v>372</v>
      </c>
      <c r="K19" t="s">
        <v>371</v>
      </c>
      <c r="L19" t="s">
        <v>243</v>
      </c>
    </row>
    <row r="20" spans="1:12" x14ac:dyDescent="0.3">
      <c r="A20" t="s">
        <v>238</v>
      </c>
      <c r="B20">
        <f>(B18*1000000)/F12</f>
        <v>3.1084905967862846</v>
      </c>
      <c r="C20" t="s">
        <v>110</v>
      </c>
      <c r="E20" t="s">
        <v>242</v>
      </c>
      <c r="F20">
        <v>3</v>
      </c>
      <c r="G20" t="s">
        <v>243</v>
      </c>
      <c r="I20">
        <f>(B19+(B22*B11))*1000000</f>
        <v>19607832675.317982</v>
      </c>
      <c r="J20">
        <f>B11*8760*B10*1000000</f>
        <v>157680000000</v>
      </c>
      <c r="K20">
        <f>J20/33.33</f>
        <v>4730873087.3087311</v>
      </c>
      <c r="L20">
        <f>I20/K20</f>
        <v>4.1446541290483783</v>
      </c>
    </row>
    <row r="21" spans="1:12" x14ac:dyDescent="0.3">
      <c r="A21" t="s">
        <v>146</v>
      </c>
      <c r="B21">
        <f>F12*F21/(1000000*B11*B15)</f>
        <v>236.54365436543651</v>
      </c>
      <c r="C21" t="s">
        <v>244</v>
      </c>
      <c r="E21" t="s">
        <v>242</v>
      </c>
      <c r="F21">
        <v>1</v>
      </c>
      <c r="G21" t="s">
        <v>243</v>
      </c>
    </row>
    <row r="22" spans="1:12" x14ac:dyDescent="0.3">
      <c r="B22">
        <f>B19/(3*B11)</f>
        <v>245.0979084414748</v>
      </c>
    </row>
    <row r="23" spans="1:12" x14ac:dyDescent="0.3">
      <c r="A23" s="12" t="s">
        <v>258</v>
      </c>
    </row>
    <row r="24" spans="1:12" x14ac:dyDescent="0.3">
      <c r="B24" s="12"/>
    </row>
  </sheetData>
  <hyperlinks>
    <hyperlink ref="A23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16" workbookViewId="0">
      <selection activeCell="P40" sqref="P4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26" t="s">
        <v>188</v>
      </c>
      <c r="K3" s="26"/>
      <c r="L3" s="26"/>
      <c r="M3" s="26"/>
      <c r="N3" s="26"/>
      <c r="O3" s="26"/>
      <c r="P3" s="26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213</v>
      </c>
      <c r="C17" t="s">
        <v>214</v>
      </c>
      <c r="J17" s="26" t="s">
        <v>193</v>
      </c>
      <c r="K17" s="26"/>
      <c r="L17" s="26"/>
      <c r="M17" s="26"/>
      <c r="N17" s="26"/>
      <c r="O17" s="26"/>
      <c r="P17" s="26"/>
    </row>
    <row r="18" spans="1:16" x14ac:dyDescent="0.3">
      <c r="A18" s="2" t="s">
        <v>181</v>
      </c>
      <c r="B18">
        <v>75</v>
      </c>
      <c r="C18">
        <v>41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185</v>
      </c>
      <c r="B29" s="20">
        <v>4091</v>
      </c>
      <c r="C29" s="20">
        <v>59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61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207</v>
      </c>
      <c r="B31" s="20">
        <v>764</v>
      </c>
      <c r="C31" s="20">
        <v>4</v>
      </c>
      <c r="D31">
        <v>4.084030751199931E-2</v>
      </c>
      <c r="E31">
        <v>0.7</v>
      </c>
      <c r="J31" s="26" t="s">
        <v>194</v>
      </c>
      <c r="K31" s="26"/>
      <c r="L31" s="26"/>
      <c r="M31" s="26"/>
      <c r="N31" s="26"/>
      <c r="O31" s="26"/>
      <c r="P31" s="26"/>
    </row>
    <row r="32" spans="1:16" x14ac:dyDescent="0.3">
      <c r="A32" s="2" t="s">
        <v>210</v>
      </c>
      <c r="B32" s="2">
        <f>2*B31</f>
        <v>1528</v>
      </c>
      <c r="C32" s="21">
        <v>4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187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111</v>
      </c>
      <c r="B37" s="21">
        <f>313/1000000</f>
        <v>3.1300000000000002E-4</v>
      </c>
      <c r="C37" t="s">
        <v>62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A39" t="s">
        <v>346</v>
      </c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7.3561008613171996E-2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174</v>
      </c>
      <c r="B1" s="2" t="s">
        <v>179</v>
      </c>
      <c r="C1" s="2" t="s">
        <v>176</v>
      </c>
      <c r="D1" s="2" t="s">
        <v>177</v>
      </c>
      <c r="E1" s="2" t="s">
        <v>178</v>
      </c>
    </row>
    <row r="2" spans="1:5" x14ac:dyDescent="0.3">
      <c r="A2" t="s">
        <v>175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63</v>
      </c>
      <c r="I2" t="s">
        <v>28</v>
      </c>
      <c r="K2">
        <f>1/110</f>
        <v>9.0909090909090905E-3</v>
      </c>
      <c r="L2" t="s">
        <v>83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65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64</v>
      </c>
      <c r="K4">
        <f>G3*I4</f>
        <v>1395.7449839999999</v>
      </c>
      <c r="L4" t="s">
        <v>66</v>
      </c>
      <c r="M4">
        <f>G4*G3</f>
        <v>33.335999999999999</v>
      </c>
      <c r="N4" t="s">
        <v>3</v>
      </c>
    </row>
    <row r="5" spans="1:16" x14ac:dyDescent="0.3">
      <c r="E5" t="s">
        <v>75</v>
      </c>
      <c r="G5">
        <v>9.31</v>
      </c>
      <c r="H5" t="s">
        <v>76</v>
      </c>
      <c r="I5">
        <f>G5/M4</f>
        <v>0.27927765778737701</v>
      </c>
      <c r="J5" t="s">
        <v>77</v>
      </c>
    </row>
    <row r="7" spans="1:16" x14ac:dyDescent="0.3">
      <c r="A7" s="2" t="s">
        <v>35</v>
      </c>
      <c r="B7" t="s">
        <v>102</v>
      </c>
      <c r="C7" s="12" t="s">
        <v>101</v>
      </c>
      <c r="K7" s="1" t="s">
        <v>78</v>
      </c>
      <c r="L7" s="11"/>
      <c r="O7" s="1"/>
    </row>
    <row r="8" spans="1:16" x14ac:dyDescent="0.3">
      <c r="K8" t="s">
        <v>79</v>
      </c>
      <c r="L8" s="11">
        <v>1538396</v>
      </c>
      <c r="M8" t="s">
        <v>67</v>
      </c>
      <c r="N8" s="11">
        <f>G2*L8</f>
        <v>64411102.123999998</v>
      </c>
      <c r="O8" t="s">
        <v>68</v>
      </c>
    </row>
    <row r="9" spans="1:16" x14ac:dyDescent="0.3">
      <c r="A9" s="2" t="s">
        <v>74</v>
      </c>
      <c r="B9">
        <f>186*1000000</f>
        <v>186000000</v>
      </c>
      <c r="C9" t="s">
        <v>87</v>
      </c>
      <c r="K9" t="s">
        <v>69</v>
      </c>
      <c r="L9" s="11">
        <v>1141251</v>
      </c>
      <c r="M9" t="s">
        <v>73</v>
      </c>
      <c r="P9" s="10"/>
    </row>
    <row r="10" spans="1:16" x14ac:dyDescent="0.3">
      <c r="B10">
        <f>B9*K2</f>
        <v>1690909.0909090908</v>
      </c>
      <c r="C10" t="s">
        <v>84</v>
      </c>
      <c r="D10">
        <f>B10/L11</f>
        <v>0.41378551295067767</v>
      </c>
      <c r="E10" t="s">
        <v>90</v>
      </c>
      <c r="F10">
        <f>B10/N11</f>
        <v>3624.7610934479362</v>
      </c>
      <c r="G10" t="s">
        <v>91</v>
      </c>
      <c r="J10" s="27" t="s">
        <v>80</v>
      </c>
      <c r="K10" s="27"/>
      <c r="L10" s="11">
        <f>L9/G5</f>
        <v>122583.35123523093</v>
      </c>
      <c r="M10" t="s">
        <v>72</v>
      </c>
    </row>
    <row r="11" spans="1:16" x14ac:dyDescent="0.3">
      <c r="J11" s="27" t="s">
        <v>81</v>
      </c>
      <c r="K11" s="27"/>
      <c r="L11" s="11">
        <f>M4*L10</f>
        <v>4086438.5967776584</v>
      </c>
      <c r="M11" t="s">
        <v>73</v>
      </c>
      <c r="N11" s="11">
        <f>L11/8760</f>
        <v>466.48842428968703</v>
      </c>
      <c r="O11" t="s">
        <v>88</v>
      </c>
    </row>
    <row r="12" spans="1:16" x14ac:dyDescent="0.3">
      <c r="A12" s="2" t="s">
        <v>96</v>
      </c>
      <c r="H12" t="s">
        <v>112</v>
      </c>
      <c r="K12" t="s">
        <v>107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72</v>
      </c>
      <c r="D13" s="11">
        <f>114*B13</f>
        <v>50375460</v>
      </c>
      <c r="E13" t="s">
        <v>82</v>
      </c>
      <c r="F13" s="11">
        <f>D13*$K$2</f>
        <v>457958.72727272724</v>
      </c>
      <c r="G13" t="s">
        <v>84</v>
      </c>
      <c r="H13" s="11">
        <f>B13*53*G3</f>
        <v>6506123.2259999998</v>
      </c>
      <c r="L13" s="11"/>
    </row>
    <row r="14" spans="1:16" x14ac:dyDescent="0.3">
      <c r="A14" t="s">
        <v>70</v>
      </c>
      <c r="B14">
        <v>3428000</v>
      </c>
      <c r="C14" t="s">
        <v>72</v>
      </c>
      <c r="D14" s="11">
        <f>300*B14</f>
        <v>1028400000</v>
      </c>
      <c r="E14" t="s">
        <v>82</v>
      </c>
      <c r="F14" s="11">
        <f>D14*$K$2</f>
        <v>9349090.9090909082</v>
      </c>
      <c r="G14" t="s">
        <v>84</v>
      </c>
    </row>
    <row r="15" spans="1:16" x14ac:dyDescent="0.3">
      <c r="A15" t="s">
        <v>71</v>
      </c>
      <c r="B15">
        <v>1714000</v>
      </c>
      <c r="C15" t="s">
        <v>72</v>
      </c>
      <c r="D15" s="11">
        <f>B15*200</f>
        <v>342800000</v>
      </c>
      <c r="E15" t="s">
        <v>82</v>
      </c>
      <c r="F15" s="11">
        <f>D15*$K$2</f>
        <v>3116363.6363636362</v>
      </c>
      <c r="G15" t="s">
        <v>84</v>
      </c>
    </row>
    <row r="16" spans="1:16" x14ac:dyDescent="0.3">
      <c r="A16" t="s">
        <v>30</v>
      </c>
      <c r="B16" s="1"/>
      <c r="D16" s="11">
        <f>SUM(D13:D15)</f>
        <v>1421575460</v>
      </c>
      <c r="F16" s="11">
        <f>SUM(F13:F15)</f>
        <v>12923413.272727272</v>
      </c>
      <c r="G16" t="s">
        <v>84</v>
      </c>
    </row>
    <row r="17" spans="1:10" x14ac:dyDescent="0.3">
      <c r="A17" t="s">
        <v>86</v>
      </c>
      <c r="B17">
        <f>F16/L11</f>
        <v>3.1625125317967502</v>
      </c>
      <c r="C17" t="s">
        <v>85</v>
      </c>
      <c r="D17" s="3"/>
    </row>
    <row r="19" spans="1:10" x14ac:dyDescent="0.3">
      <c r="A19" s="2" t="s">
        <v>97</v>
      </c>
    </row>
    <row r="20" spans="1:10" x14ac:dyDescent="0.3">
      <c r="A20" t="s">
        <v>98</v>
      </c>
      <c r="B20">
        <f>7000000*1.5</f>
        <v>10500000</v>
      </c>
      <c r="C20" t="s">
        <v>99</v>
      </c>
    </row>
    <row r="21" spans="1:10" x14ac:dyDescent="0.3">
      <c r="A21" t="s">
        <v>100</v>
      </c>
      <c r="B21">
        <f>0.03*B9/20</f>
        <v>279000</v>
      </c>
      <c r="C21" t="s">
        <v>99</v>
      </c>
      <c r="D21" s="3"/>
    </row>
    <row r="22" spans="1:10" x14ac:dyDescent="0.3">
      <c r="A22" t="s">
        <v>103</v>
      </c>
      <c r="B22">
        <f>0.0077*0.55*B9/20</f>
        <v>39385.5</v>
      </c>
      <c r="C22" t="s">
        <v>99</v>
      </c>
    </row>
    <row r="23" spans="1:10" x14ac:dyDescent="0.3">
      <c r="A23" t="s">
        <v>104</v>
      </c>
      <c r="B23">
        <f>0.014*0.55*B9/20</f>
        <v>71610.000000000015</v>
      </c>
      <c r="C23" t="s">
        <v>99</v>
      </c>
      <c r="G23" t="s">
        <v>109</v>
      </c>
      <c r="I23" t="s">
        <v>108</v>
      </c>
    </row>
    <row r="24" spans="1:10" x14ac:dyDescent="0.3">
      <c r="A24" t="s">
        <v>17</v>
      </c>
      <c r="B24">
        <f>SUM(B20:B23)</f>
        <v>10889995.5</v>
      </c>
      <c r="C24" t="s">
        <v>99</v>
      </c>
      <c r="D24">
        <f>B24*K2</f>
        <v>98999.959090909091</v>
      </c>
      <c r="E24" t="s">
        <v>105</v>
      </c>
      <c r="G24">
        <v>1690909.0909090908</v>
      </c>
      <c r="I24">
        <f>4086438.59677766*20</f>
        <v>81728771.935553193</v>
      </c>
      <c r="J24" t="s">
        <v>73</v>
      </c>
    </row>
    <row r="25" spans="1:10" x14ac:dyDescent="0.3">
      <c r="A25" t="s">
        <v>106</v>
      </c>
      <c r="D25">
        <f>D24/N11</f>
        <v>212.22382793668336</v>
      </c>
      <c r="E25" t="s">
        <v>91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89</v>
      </c>
    </row>
    <row r="29" spans="1:10" x14ac:dyDescent="0.3">
      <c r="A29" t="s">
        <v>92</v>
      </c>
      <c r="B29">
        <v>133</v>
      </c>
      <c r="C29" t="s">
        <v>95</v>
      </c>
      <c r="D29" s="8">
        <f>B29/1000000</f>
        <v>1.3300000000000001E-4</v>
      </c>
      <c r="E29" t="s">
        <v>62</v>
      </c>
    </row>
    <row r="30" spans="1:10" x14ac:dyDescent="0.3">
      <c r="A30" t="s">
        <v>93</v>
      </c>
      <c r="B30" s="12" t="s">
        <v>94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G41" sqref="G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26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29</v>
      </c>
      <c r="G2" t="s">
        <v>27</v>
      </c>
      <c r="I2" s="5">
        <f>70.8/(1.8*1000000000)</f>
        <v>3.9333333333333335E-8</v>
      </c>
      <c r="J2" t="s">
        <v>36</v>
      </c>
      <c r="L2" t="s">
        <v>28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30</v>
      </c>
      <c r="H3" s="7"/>
      <c r="I3" s="2" t="s">
        <v>55</v>
      </c>
      <c r="Q3" s="2" t="s">
        <v>33</v>
      </c>
    </row>
    <row r="4" spans="1:17" ht="15" customHeight="1" x14ac:dyDescent="0.3">
      <c r="A4" s="2" t="s">
        <v>5</v>
      </c>
      <c r="B4" s="2" t="s">
        <v>32</v>
      </c>
      <c r="C4" s="2" t="s">
        <v>42</v>
      </c>
      <c r="D4" s="2" t="s">
        <v>41</v>
      </c>
      <c r="E4" s="2" t="s">
        <v>58</v>
      </c>
      <c r="F4" s="2" t="s">
        <v>57</v>
      </c>
      <c r="G4" s="2" t="s">
        <v>31</v>
      </c>
      <c r="H4" s="2" t="s">
        <v>9</v>
      </c>
      <c r="I4" s="2" t="s">
        <v>21</v>
      </c>
      <c r="J4" s="2"/>
      <c r="K4" s="2"/>
      <c r="L4" s="2" t="s">
        <v>22</v>
      </c>
      <c r="M4" s="2" t="s">
        <v>43</v>
      </c>
      <c r="N4" s="2" t="s">
        <v>4</v>
      </c>
      <c r="O4" s="2" t="s">
        <v>53</v>
      </c>
      <c r="P4" s="2" t="s">
        <v>52</v>
      </c>
      <c r="Q4" s="2" t="s">
        <v>34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44</v>
      </c>
      <c r="O5" t="s">
        <v>54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40</v>
      </c>
      <c r="L6" s="6">
        <f>0.33*L5</f>
        <v>1.8373097447589444</v>
      </c>
      <c r="N6" t="s">
        <v>45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59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56</v>
      </c>
      <c r="K7" t="s">
        <v>46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37</v>
      </c>
      <c r="F11" t="s">
        <v>38</v>
      </c>
      <c r="G11">
        <f>60*N2/(1000000*I2*M5)</f>
        <v>0.44712301033802088</v>
      </c>
    </row>
    <row r="12" spans="1:17" x14ac:dyDescent="0.3">
      <c r="G12" t="s">
        <v>34</v>
      </c>
    </row>
    <row r="14" spans="1:17" x14ac:dyDescent="0.3">
      <c r="A14" t="s">
        <v>39</v>
      </c>
      <c r="B14">
        <v>55.5</v>
      </c>
      <c r="C14" t="s">
        <v>2</v>
      </c>
      <c r="D14" s="2" t="s">
        <v>47</v>
      </c>
      <c r="E14" t="s">
        <v>34</v>
      </c>
      <c r="F14" t="s">
        <v>51</v>
      </c>
      <c r="G14" t="s">
        <v>50</v>
      </c>
    </row>
    <row r="15" spans="1:17" x14ac:dyDescent="0.3">
      <c r="B15">
        <f>55.5*0.277777778</f>
        <v>15.416666678999999</v>
      </c>
      <c r="C15" t="s">
        <v>3</v>
      </c>
      <c r="D15" t="s">
        <v>48</v>
      </c>
      <c r="E15">
        <f>G5/D5</f>
        <v>0.19942997527043146</v>
      </c>
      <c r="F15">
        <v>0.44834159400000001</v>
      </c>
    </row>
    <row r="16" spans="1:17" x14ac:dyDescent="0.3">
      <c r="D16" t="s">
        <v>49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M39"/>
  <sheetViews>
    <sheetView topLeftCell="A4" zoomScale="130" zoomScaleNormal="130" workbookViewId="0">
      <selection activeCell="A13" sqref="A13:C13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3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3" x14ac:dyDescent="0.3">
      <c r="A2" s="2"/>
      <c r="B2" s="2"/>
      <c r="C2" s="9">
        <v>0.27779999999999999</v>
      </c>
      <c r="D2" s="2" t="s">
        <v>65</v>
      </c>
      <c r="E2" s="2"/>
      <c r="F2" s="2"/>
      <c r="G2" s="2"/>
    </row>
    <row r="3" spans="1:13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</row>
    <row r="4" spans="1:13" x14ac:dyDescent="0.3">
      <c r="A4" t="s">
        <v>75</v>
      </c>
      <c r="B4">
        <f>C3*C2</f>
        <v>33.335999999999999</v>
      </c>
      <c r="C4" t="s">
        <v>76</v>
      </c>
    </row>
    <row r="5" spans="1:13" x14ac:dyDescent="0.3">
      <c r="A5" s="14" t="s">
        <v>16</v>
      </c>
      <c r="B5" s="14">
        <v>0</v>
      </c>
      <c r="C5" s="14" t="s">
        <v>3</v>
      </c>
      <c r="D5" t="s">
        <v>374</v>
      </c>
    </row>
    <row r="6" spans="1:13" x14ac:dyDescent="0.3">
      <c r="A6" s="2"/>
      <c r="B6">
        <f>B4-B5</f>
        <v>33.335999999999999</v>
      </c>
      <c r="C6" t="s">
        <v>3</v>
      </c>
    </row>
    <row r="7" spans="1:13" x14ac:dyDescent="0.3">
      <c r="A7" s="14" t="s">
        <v>109</v>
      </c>
      <c r="B7" s="14">
        <v>133.815</v>
      </c>
      <c r="C7" s="14" t="s">
        <v>119</v>
      </c>
    </row>
    <row r="8" spans="1:13" x14ac:dyDescent="0.3">
      <c r="A8" t="s">
        <v>366</v>
      </c>
      <c r="B8">
        <v>44.1</v>
      </c>
      <c r="C8" t="s">
        <v>127</v>
      </c>
    </row>
    <row r="9" spans="1:13" x14ac:dyDescent="0.3">
      <c r="A9" t="s">
        <v>109</v>
      </c>
      <c r="B9">
        <f>(133815+(B14*70004))*1000</f>
        <v>2233935000</v>
      </c>
      <c r="C9" t="s">
        <v>140</v>
      </c>
    </row>
    <row r="10" spans="1:13" x14ac:dyDescent="0.3">
      <c r="A10" t="s">
        <v>217</v>
      </c>
      <c r="B10">
        <f>B9/B8</f>
        <v>50656122.448979594</v>
      </c>
      <c r="C10" t="s">
        <v>138</v>
      </c>
    </row>
    <row r="11" spans="1:13" x14ac:dyDescent="0.3">
      <c r="A11" t="s">
        <v>218</v>
      </c>
      <c r="B11">
        <f>B10/(B14*1000)</f>
        <v>1688.5374149659865</v>
      </c>
      <c r="C11" t="s">
        <v>117</v>
      </c>
    </row>
    <row r="12" spans="1:13" x14ac:dyDescent="0.3">
      <c r="A12" t="s">
        <v>219</v>
      </c>
      <c r="B12">
        <f>B11/8760</f>
        <v>0.19275541266735005</v>
      </c>
      <c r="C12" t="s">
        <v>133</v>
      </c>
    </row>
    <row r="13" spans="1:13" x14ac:dyDescent="0.3">
      <c r="A13" s="15" t="s">
        <v>118</v>
      </c>
      <c r="B13" s="15">
        <f>B7*1.1/B12</f>
        <v>763.64392554841572</v>
      </c>
      <c r="C13" s="15" t="s">
        <v>134</v>
      </c>
    </row>
    <row r="14" spans="1:13" x14ac:dyDescent="0.3">
      <c r="A14" s="2" t="s">
        <v>35</v>
      </c>
      <c r="B14">
        <v>30</v>
      </c>
      <c r="C14" t="s">
        <v>137</v>
      </c>
    </row>
    <row r="17" spans="1:11" x14ac:dyDescent="0.3">
      <c r="A17" t="s">
        <v>115</v>
      </c>
      <c r="B17">
        <v>2.5</v>
      </c>
      <c r="C17" t="s">
        <v>116</v>
      </c>
      <c r="D17">
        <f>B17*(365*24*60*60)</f>
        <v>78840000</v>
      </c>
      <c r="E17" t="s">
        <v>68</v>
      </c>
      <c r="F17">
        <f>D17*B6</f>
        <v>2628210240</v>
      </c>
      <c r="G17" t="s">
        <v>117</v>
      </c>
      <c r="I17">
        <f>F17/8760</f>
        <v>300024</v>
      </c>
      <c r="J17" t="s">
        <v>133</v>
      </c>
    </row>
    <row r="18" spans="1:11" x14ac:dyDescent="0.3">
      <c r="A18" t="s">
        <v>195</v>
      </c>
      <c r="B18">
        <v>24</v>
      </c>
      <c r="C18" t="s">
        <v>116</v>
      </c>
      <c r="D18">
        <f>B18*B14*365*24*3600/1000000000</f>
        <v>22.705919999999999</v>
      </c>
    </row>
    <row r="21" spans="1:11" x14ac:dyDescent="0.3">
      <c r="A21" s="2" t="s">
        <v>121</v>
      </c>
      <c r="D21" s="2" t="s">
        <v>126</v>
      </c>
      <c r="F21" s="2" t="s">
        <v>135</v>
      </c>
    </row>
    <row r="22" spans="1:11" x14ac:dyDescent="0.3">
      <c r="A22" t="s">
        <v>122</v>
      </c>
      <c r="B22">
        <f>61753*1000</f>
        <v>61753000</v>
      </c>
      <c r="C22" t="s">
        <v>125</v>
      </c>
      <c r="D22">
        <v>20</v>
      </c>
      <c r="E22" t="s">
        <v>127</v>
      </c>
      <c r="F22">
        <f>B22/(D22*1000)</f>
        <v>3087.65</v>
      </c>
      <c r="G22" t="s">
        <v>22</v>
      </c>
      <c r="K22" s="15"/>
    </row>
    <row r="23" spans="1:11" x14ac:dyDescent="0.3">
      <c r="A23" t="s">
        <v>124</v>
      </c>
      <c r="B23">
        <v>1089000</v>
      </c>
      <c r="C23" t="s">
        <v>125</v>
      </c>
      <c r="D23">
        <f>B23/1000000</f>
        <v>1.089</v>
      </c>
      <c r="E23" t="s">
        <v>131</v>
      </c>
      <c r="F23" s="2"/>
    </row>
    <row r="24" spans="1:11" x14ac:dyDescent="0.3">
      <c r="A24" t="s">
        <v>128</v>
      </c>
      <c r="B24">
        <v>12</v>
      </c>
      <c r="C24" t="s">
        <v>116</v>
      </c>
      <c r="D24">
        <f>B24*(365*24*60*60)</f>
        <v>378432000</v>
      </c>
      <c r="E24" t="s">
        <v>68</v>
      </c>
      <c r="F24">
        <f>D24*0.3</f>
        <v>113529600</v>
      </c>
      <c r="G24" t="s">
        <v>99</v>
      </c>
      <c r="H24">
        <f>F24*G1/(1000000)</f>
        <v>1.0320872727272727</v>
      </c>
      <c r="I24" t="s">
        <v>129</v>
      </c>
      <c r="J24">
        <f>H24/I1</f>
        <v>0.93826115702479329</v>
      </c>
      <c r="K24" t="s">
        <v>131</v>
      </c>
    </row>
    <row r="26" spans="1:11" x14ac:dyDescent="0.3">
      <c r="A26" s="2" t="s">
        <v>153</v>
      </c>
      <c r="B26">
        <f>(B22/1000000)+J24</f>
        <v>62.69126115702479</v>
      </c>
      <c r="C26" t="s">
        <v>131</v>
      </c>
      <c r="D26">
        <f>B26*I1</f>
        <v>68.960387272727274</v>
      </c>
      <c r="E26" t="s">
        <v>129</v>
      </c>
      <c r="F26" s="15">
        <f>D26/B11</f>
        <v>4.084030751199931E-2</v>
      </c>
      <c r="G26" t="s">
        <v>34</v>
      </c>
    </row>
    <row r="27" spans="1:11" x14ac:dyDescent="0.3">
      <c r="A27" s="13" t="s">
        <v>143</v>
      </c>
    </row>
    <row r="29" spans="1:11" x14ac:dyDescent="0.3">
      <c r="A29" s="2" t="s">
        <v>132</v>
      </c>
      <c r="B29">
        <f>D23</f>
        <v>1.089</v>
      </c>
      <c r="C29" t="s">
        <v>131</v>
      </c>
      <c r="D29">
        <f>B29*I1</f>
        <v>1.1979</v>
      </c>
      <c r="E29" t="s">
        <v>129</v>
      </c>
      <c r="F29" s="15">
        <f>D29/B12</f>
        <v>6.2146114779525812</v>
      </c>
      <c r="G29" t="s">
        <v>134</v>
      </c>
    </row>
    <row r="30" spans="1:11" x14ac:dyDescent="0.3">
      <c r="A30" s="14" t="s">
        <v>154</v>
      </c>
    </row>
    <row r="37" spans="1:4" x14ac:dyDescent="0.3">
      <c r="A37" s="2"/>
    </row>
    <row r="38" spans="1:4" x14ac:dyDescent="0.3">
      <c r="A38" s="2"/>
    </row>
    <row r="39" spans="1:4" x14ac:dyDescent="0.3">
      <c r="A39" s="23"/>
      <c r="B39" s="22"/>
      <c r="C39" s="22"/>
      <c r="D39" s="22"/>
    </row>
  </sheetData>
  <hyperlinks>
    <hyperlink ref="M1" r:id="rId1" xr:uid="{E2B26766-48C9-476C-9577-B9DD82383664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Q35"/>
  <sheetViews>
    <sheetView workbookViewId="0">
      <selection activeCell="M22" sqref="M22"/>
    </sheetView>
  </sheetViews>
  <sheetFormatPr defaultRowHeight="14.4" x14ac:dyDescent="0.3"/>
  <cols>
    <col min="1" max="1" width="14.6640625" customWidth="1"/>
    <col min="2" max="2" width="12" bestFit="1" customWidth="1"/>
    <col min="3" max="3" width="10.88671875" customWidth="1"/>
    <col min="4" max="4" width="10.44140625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7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7" x14ac:dyDescent="0.3">
      <c r="A2" s="2"/>
      <c r="B2" s="2"/>
      <c r="C2" s="9">
        <v>0.27779999999999999</v>
      </c>
      <c r="D2" s="2" t="s">
        <v>65</v>
      </c>
      <c r="E2" s="2"/>
      <c r="F2" s="2"/>
      <c r="G2" s="2"/>
      <c r="H2" s="2"/>
      <c r="I2" s="2"/>
      <c r="J2" s="2"/>
    </row>
    <row r="3" spans="1:17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  <c r="I3">
        <f>C3*C2</f>
        <v>33.335999999999999</v>
      </c>
      <c r="J3" t="s">
        <v>3</v>
      </c>
    </row>
    <row r="4" spans="1:17" x14ac:dyDescent="0.3">
      <c r="A4" t="s">
        <v>75</v>
      </c>
      <c r="C4">
        <v>9.31</v>
      </c>
      <c r="D4" t="s">
        <v>76</v>
      </c>
      <c r="E4">
        <f>C4/I3</f>
        <v>0.27927765778737701</v>
      </c>
      <c r="F4" t="s">
        <v>77</v>
      </c>
    </row>
    <row r="5" spans="1:17" x14ac:dyDescent="0.3">
      <c r="A5" t="s">
        <v>152</v>
      </c>
      <c r="B5">
        <v>0.7</v>
      </c>
      <c r="N5" s="2"/>
      <c r="O5" s="2"/>
      <c r="P5" s="9">
        <v>0.27779999999999999</v>
      </c>
      <c r="Q5" s="2" t="s">
        <v>65</v>
      </c>
    </row>
    <row r="6" spans="1:17" x14ac:dyDescent="0.3">
      <c r="A6" s="2" t="s">
        <v>35</v>
      </c>
      <c r="B6">
        <v>20</v>
      </c>
      <c r="C6" t="s">
        <v>137</v>
      </c>
      <c r="N6" t="s">
        <v>1</v>
      </c>
      <c r="P6">
        <v>120</v>
      </c>
      <c r="Q6" t="s">
        <v>2</v>
      </c>
    </row>
    <row r="7" spans="1:17" x14ac:dyDescent="0.3">
      <c r="A7" t="s">
        <v>149</v>
      </c>
      <c r="C7">
        <v>0.7</v>
      </c>
      <c r="E7" s="13" t="s">
        <v>150</v>
      </c>
      <c r="N7" t="s">
        <v>75</v>
      </c>
      <c r="O7">
        <f>P6*P5</f>
        <v>33.335999999999999</v>
      </c>
      <c r="P7" t="s">
        <v>76</v>
      </c>
    </row>
    <row r="8" spans="1:17" x14ac:dyDescent="0.3">
      <c r="N8" s="14" t="s">
        <v>16</v>
      </c>
      <c r="O8" s="14">
        <v>0</v>
      </c>
      <c r="P8" s="14" t="s">
        <v>3</v>
      </c>
      <c r="Q8" t="s">
        <v>374</v>
      </c>
    </row>
    <row r="9" spans="1:17" x14ac:dyDescent="0.3">
      <c r="A9" s="2" t="s">
        <v>121</v>
      </c>
      <c r="D9" s="2" t="s">
        <v>126</v>
      </c>
      <c r="H9" s="2" t="s">
        <v>135</v>
      </c>
      <c r="J9" s="2" t="s">
        <v>151</v>
      </c>
      <c r="N9" s="2"/>
      <c r="O9">
        <f>O7-O8</f>
        <v>33.335999999999999</v>
      </c>
      <c r="P9" t="s">
        <v>3</v>
      </c>
    </row>
    <row r="10" spans="1:17" x14ac:dyDescent="0.3">
      <c r="A10" t="s">
        <v>122</v>
      </c>
      <c r="B10">
        <f>64546*1000</f>
        <v>64546000</v>
      </c>
      <c r="C10" t="s">
        <v>125</v>
      </c>
      <c r="D10">
        <v>20</v>
      </c>
      <c r="E10" t="s">
        <v>127</v>
      </c>
      <c r="H10">
        <f>B10/(D10*1000)</f>
        <v>3227.3</v>
      </c>
      <c r="I10" t="s">
        <v>22</v>
      </c>
      <c r="J10">
        <f>B10/(D10*1000)</f>
        <v>3227.3</v>
      </c>
      <c r="K10" t="s">
        <v>22</v>
      </c>
      <c r="N10" s="14" t="s">
        <v>109</v>
      </c>
      <c r="O10" s="14">
        <v>162</v>
      </c>
      <c r="P10" s="14" t="s">
        <v>119</v>
      </c>
    </row>
    <row r="11" spans="1:17" x14ac:dyDescent="0.3">
      <c r="A11" t="s">
        <v>123</v>
      </c>
      <c r="B11">
        <v>1064000</v>
      </c>
      <c r="C11" t="s">
        <v>125</v>
      </c>
      <c r="D11">
        <v>30</v>
      </c>
      <c r="E11" t="s">
        <v>127</v>
      </c>
      <c r="H11" s="2">
        <f>B11/(D11*1000)</f>
        <v>35.466666666666669</v>
      </c>
      <c r="I11" t="s">
        <v>22</v>
      </c>
      <c r="J11" s="2">
        <f>H11+F12</f>
        <v>35.466666666666669</v>
      </c>
      <c r="K11" t="s">
        <v>22</v>
      </c>
      <c r="N11" t="s">
        <v>366</v>
      </c>
      <c r="O11">
        <v>57</v>
      </c>
      <c r="P11" t="s">
        <v>127</v>
      </c>
    </row>
    <row r="12" spans="1:17" x14ac:dyDescent="0.3">
      <c r="N12" t="s">
        <v>109</v>
      </c>
      <c r="O12">
        <f>(133815+(O17*70004))*1000</f>
        <v>2233935000</v>
      </c>
      <c r="P12" t="s">
        <v>140</v>
      </c>
    </row>
    <row r="13" spans="1:17" x14ac:dyDescent="0.3">
      <c r="A13" t="s">
        <v>124</v>
      </c>
      <c r="B13">
        <v>1089000</v>
      </c>
      <c r="C13" t="s">
        <v>125</v>
      </c>
      <c r="D13">
        <f>B13/1000000</f>
        <v>1.089</v>
      </c>
      <c r="E13" t="s">
        <v>131</v>
      </c>
      <c r="N13" t="s">
        <v>217</v>
      </c>
      <c r="O13">
        <f>O12/O11</f>
        <v>39191842.105263159</v>
      </c>
      <c r="P13" t="s">
        <v>138</v>
      </c>
    </row>
    <row r="14" spans="1:17" x14ac:dyDescent="0.3">
      <c r="A14" t="s">
        <v>155</v>
      </c>
      <c r="B14">
        <f>(97662-64546-2778-1064-1089)*1000</f>
        <v>28185000</v>
      </c>
      <c r="C14" t="s">
        <v>125</v>
      </c>
      <c r="N14" t="s">
        <v>218</v>
      </c>
      <c r="O14">
        <f>O13/(O17*1000)</f>
        <v>1306.3947368421052</v>
      </c>
      <c r="P14" t="s">
        <v>117</v>
      </c>
    </row>
    <row r="15" spans="1:17" x14ac:dyDescent="0.3">
      <c r="J15" s="25"/>
      <c r="N15" t="s">
        <v>219</v>
      </c>
      <c r="O15">
        <f>O14/8760</f>
        <v>0.14913181927421293</v>
      </c>
      <c r="P15" t="s">
        <v>133</v>
      </c>
    </row>
    <row r="16" spans="1:17" x14ac:dyDescent="0.3">
      <c r="A16" t="s">
        <v>128</v>
      </c>
      <c r="B16">
        <v>12</v>
      </c>
      <c r="C16" t="s">
        <v>116</v>
      </c>
      <c r="N16" s="15" t="s">
        <v>118</v>
      </c>
      <c r="O16" s="15">
        <f>O10*1.1/O15</f>
        <v>1194.9160203855529</v>
      </c>
      <c r="P16" s="15" t="s">
        <v>134</v>
      </c>
      <c r="Q16" s="15"/>
    </row>
    <row r="17" spans="1:16" x14ac:dyDescent="0.3">
      <c r="B17">
        <f>B16*(365*24*60*60)</f>
        <v>378432000</v>
      </c>
      <c r="C17" t="s">
        <v>68</v>
      </c>
      <c r="N17" s="2" t="s">
        <v>35</v>
      </c>
      <c r="O17">
        <v>30</v>
      </c>
      <c r="P17" t="s">
        <v>137</v>
      </c>
    </row>
    <row r="18" spans="1:16" x14ac:dyDescent="0.3">
      <c r="B18">
        <f>B17*0.3</f>
        <v>113529600</v>
      </c>
      <c r="C18" t="s">
        <v>99</v>
      </c>
      <c r="D18">
        <f>B18*G1/(1000000)</f>
        <v>1.0320872727272727</v>
      </c>
      <c r="E18" t="s">
        <v>129</v>
      </c>
      <c r="F18">
        <f>D18/I1</f>
        <v>0.93826115702479329</v>
      </c>
      <c r="G18" t="s">
        <v>131</v>
      </c>
    </row>
    <row r="20" spans="1:16" x14ac:dyDescent="0.3">
      <c r="A20" s="2" t="s">
        <v>153</v>
      </c>
      <c r="B20">
        <f>(B10/1000000)+F18</f>
        <v>65.484261157024804</v>
      </c>
      <c r="C20" t="s">
        <v>131</v>
      </c>
      <c r="D20">
        <f>B20*I1</f>
        <v>72.032687272727287</v>
      </c>
      <c r="E20" t="s">
        <v>129</v>
      </c>
      <c r="F20" s="15">
        <f>D20/O14</f>
        <v>5.5138531441766954E-2</v>
      </c>
      <c r="G20" t="s">
        <v>34</v>
      </c>
    </row>
    <row r="21" spans="1:16" x14ac:dyDescent="0.3">
      <c r="A21" s="13" t="s">
        <v>156</v>
      </c>
    </row>
    <row r="23" spans="1:16" x14ac:dyDescent="0.3">
      <c r="A23" s="2" t="s">
        <v>132</v>
      </c>
      <c r="B23">
        <f>D13</f>
        <v>1.089</v>
      </c>
      <c r="C23" t="s">
        <v>131</v>
      </c>
      <c r="D23">
        <f>B23*I1</f>
        <v>1.1979</v>
      </c>
      <c r="E23" t="s">
        <v>129</v>
      </c>
      <c r="F23" s="15">
        <f>D23/O15</f>
        <v>8.0324910259251059</v>
      </c>
      <c r="G23" t="s">
        <v>134</v>
      </c>
    </row>
    <row r="24" spans="1:16" x14ac:dyDescent="0.3">
      <c r="A24" s="14"/>
    </row>
    <row r="26" spans="1:16" x14ac:dyDescent="0.3">
      <c r="A26" s="2"/>
    </row>
    <row r="27" spans="1:16" x14ac:dyDescent="0.3">
      <c r="A27" s="2"/>
    </row>
    <row r="28" spans="1:16" x14ac:dyDescent="0.3">
      <c r="A28" s="2"/>
    </row>
    <row r="30" spans="1:16" x14ac:dyDescent="0.3">
      <c r="A30" s="2"/>
    </row>
    <row r="31" spans="1:16" x14ac:dyDescent="0.3">
      <c r="A31" s="2"/>
    </row>
    <row r="32" spans="1:16" x14ac:dyDescent="0.3">
      <c r="A32" s="14"/>
    </row>
    <row r="33" spans="2:3" x14ac:dyDescent="0.3">
      <c r="B33" s="15"/>
    </row>
    <row r="35" spans="2:3" x14ac:dyDescent="0.3">
      <c r="B35" s="3"/>
      <c r="C35" s="3"/>
    </row>
  </sheetData>
  <hyperlinks>
    <hyperlink ref="M1" r:id="rId1" xr:uid="{F288A48C-F0C2-4201-9B02-D9CB4853D4DA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P31"/>
  <sheetViews>
    <sheetView workbookViewId="0">
      <selection activeCell="J1" sqref="J1:K1"/>
    </sheetView>
  </sheetViews>
  <sheetFormatPr defaultRowHeight="14.4" x14ac:dyDescent="0.3"/>
  <cols>
    <col min="1" max="1" width="12.5546875" customWidth="1"/>
    <col min="2" max="2" width="12.109375" bestFit="1" customWidth="1"/>
    <col min="3" max="3" width="10.33203125" customWidth="1"/>
    <col min="4" max="4" width="11" bestFit="1" customWidth="1"/>
    <col min="6" max="6" width="9" bestFit="1" customWidth="1"/>
    <col min="8" max="8" width="12.109375" bestFit="1" customWidth="1"/>
    <col min="9" max="9" width="11.33203125" customWidth="1"/>
  </cols>
  <sheetData>
    <row r="1" spans="1:16" x14ac:dyDescent="0.3">
      <c r="B1" t="s">
        <v>1</v>
      </c>
      <c r="D1">
        <v>120</v>
      </c>
      <c r="E1" t="s">
        <v>2</v>
      </c>
      <c r="F1">
        <v>5024.28</v>
      </c>
      <c r="G1" t="s">
        <v>64</v>
      </c>
      <c r="H1">
        <v>1395.7449839999999</v>
      </c>
      <c r="I1" t="s">
        <v>66</v>
      </c>
      <c r="J1">
        <v>33.335999999999999</v>
      </c>
      <c r="K1" t="s">
        <v>3</v>
      </c>
      <c r="M1" s="9">
        <v>0.27779999999999999</v>
      </c>
      <c r="N1" s="2" t="s">
        <v>65</v>
      </c>
      <c r="P1" s="12" t="s">
        <v>343</v>
      </c>
    </row>
    <row r="2" spans="1:16" x14ac:dyDescent="0.3">
      <c r="B2">
        <f>1/110</f>
        <v>9.0909090909090905E-3</v>
      </c>
      <c r="C2" t="s">
        <v>83</v>
      </c>
      <c r="D2">
        <v>1.1000000000000001</v>
      </c>
      <c r="E2" t="s">
        <v>130</v>
      </c>
      <c r="I2" t="s">
        <v>16</v>
      </c>
      <c r="J2">
        <f>3.9</f>
        <v>3.9</v>
      </c>
      <c r="K2" t="s">
        <v>3</v>
      </c>
    </row>
    <row r="3" spans="1:16" x14ac:dyDescent="0.3">
      <c r="I3" t="s">
        <v>169</v>
      </c>
      <c r="J3">
        <f>J1-J2</f>
        <v>29.436</v>
      </c>
      <c r="K3" t="s">
        <v>3</v>
      </c>
    </row>
    <row r="4" spans="1:16" x14ac:dyDescent="0.3">
      <c r="A4" t="s">
        <v>35</v>
      </c>
      <c r="B4">
        <v>11</v>
      </c>
      <c r="C4" t="s">
        <v>137</v>
      </c>
      <c r="D4" t="s">
        <v>118</v>
      </c>
      <c r="E4">
        <f>1000*D2</f>
        <v>1100</v>
      </c>
      <c r="F4" t="s">
        <v>91</v>
      </c>
      <c r="G4">
        <f>600*D2</f>
        <v>660</v>
      </c>
    </row>
    <row r="6" spans="1:16" x14ac:dyDescent="0.3">
      <c r="A6" t="s">
        <v>212</v>
      </c>
      <c r="C6">
        <v>0.84</v>
      </c>
    </row>
    <row r="8" spans="1:16" x14ac:dyDescent="0.3">
      <c r="A8" s="2" t="s">
        <v>145</v>
      </c>
      <c r="B8">
        <v>2974000</v>
      </c>
      <c r="C8" t="s">
        <v>140</v>
      </c>
      <c r="D8">
        <f>B8/(1000000*H11)</f>
        <v>1475.0804062659115</v>
      </c>
      <c r="E8" t="s">
        <v>120</v>
      </c>
      <c r="F8">
        <f>D8*D2</f>
        <v>1622.5884468925028</v>
      </c>
      <c r="G8" t="s">
        <v>134</v>
      </c>
    </row>
    <row r="10" spans="1:16" x14ac:dyDescent="0.3">
      <c r="A10" s="2" t="s">
        <v>228</v>
      </c>
    </row>
    <row r="11" spans="1:16" x14ac:dyDescent="0.3">
      <c r="A11" t="s">
        <v>142</v>
      </c>
      <c r="B11">
        <v>0.02</v>
      </c>
      <c r="C11" t="s">
        <v>116</v>
      </c>
      <c r="D11">
        <f>B11*(365*24*60*60)*C6</f>
        <v>529804.79999999993</v>
      </c>
      <c r="E11" t="s">
        <v>68</v>
      </c>
      <c r="F11">
        <f>D11*J1/1000000</f>
        <v>17.661572812799999</v>
      </c>
      <c r="G11" t="s">
        <v>117</v>
      </c>
      <c r="H11">
        <f>F11/8760</f>
        <v>2.01616128E-3</v>
      </c>
      <c r="I11" t="s">
        <v>147</v>
      </c>
    </row>
    <row r="13" spans="1:16" x14ac:dyDescent="0.3">
      <c r="A13" s="2" t="s">
        <v>148</v>
      </c>
      <c r="B13" t="s">
        <v>367</v>
      </c>
    </row>
    <row r="14" spans="1:16" x14ac:dyDescent="0.3">
      <c r="A14" t="s">
        <v>356</v>
      </c>
      <c r="B14">
        <v>1</v>
      </c>
      <c r="C14" t="s">
        <v>357</v>
      </c>
      <c r="D14" t="s">
        <v>359</v>
      </c>
      <c r="E14">
        <v>0.03</v>
      </c>
      <c r="F14" t="s">
        <v>360</v>
      </c>
    </row>
    <row r="15" spans="1:16" x14ac:dyDescent="0.3">
      <c r="A15" t="s">
        <v>128</v>
      </c>
      <c r="B15">
        <v>0.22</v>
      </c>
      <c r="C15" t="s">
        <v>116</v>
      </c>
      <c r="D15">
        <f>B15*(365*24*60*60)</f>
        <v>6937920</v>
      </c>
      <c r="E15" t="s">
        <v>68</v>
      </c>
      <c r="F15">
        <f>D15/1000</f>
        <v>6937.92</v>
      </c>
      <c r="G15" t="s">
        <v>355</v>
      </c>
      <c r="H15">
        <f>6937.92</f>
        <v>6937.92</v>
      </c>
      <c r="I15" t="s">
        <v>125</v>
      </c>
      <c r="J15">
        <f>H15/F11</f>
        <v>392.8257167997989</v>
      </c>
      <c r="K15" t="s">
        <v>358</v>
      </c>
      <c r="L15" s="15">
        <f>J15*D2/1000000</f>
        <v>4.3210828847977881E-4</v>
      </c>
      <c r="M15" t="s">
        <v>34</v>
      </c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" x14ac:dyDescent="0.3">
      <c r="B17" s="15"/>
    </row>
    <row r="19" spans="1:5" x14ac:dyDescent="0.3">
      <c r="A19" s="2" t="s">
        <v>146</v>
      </c>
      <c r="B19">
        <v>15000</v>
      </c>
      <c r="C19" t="s">
        <v>125</v>
      </c>
      <c r="D19">
        <f>B19*D2/(1000000*H11)</f>
        <v>8.1838690999958104</v>
      </c>
      <c r="E19" t="s">
        <v>134</v>
      </c>
    </row>
    <row r="20" spans="1:5" x14ac:dyDescent="0.3">
      <c r="A20" t="s">
        <v>144</v>
      </c>
    </row>
    <row r="22" spans="1:5" x14ac:dyDescent="0.3">
      <c r="A22" t="s">
        <v>361</v>
      </c>
      <c r="B22">
        <v>2974000</v>
      </c>
      <c r="C22" t="s">
        <v>140</v>
      </c>
    </row>
    <row r="23" spans="1:5" x14ac:dyDescent="0.3">
      <c r="A23" t="s">
        <v>362</v>
      </c>
      <c r="B23">
        <v>997000</v>
      </c>
      <c r="C23" t="s">
        <v>363</v>
      </c>
    </row>
    <row r="26" spans="1:5" x14ac:dyDescent="0.3">
      <c r="A26" s="2" t="s">
        <v>136</v>
      </c>
      <c r="B26">
        <f>F11*B4</f>
        <v>194.27730094079999</v>
      </c>
      <c r="C26" t="s">
        <v>22</v>
      </c>
    </row>
    <row r="27" spans="1:5" x14ac:dyDescent="0.3">
      <c r="A27" s="2" t="s">
        <v>139</v>
      </c>
      <c r="B27">
        <f>B22+(B23*B4)</f>
        <v>13941000</v>
      </c>
      <c r="C27" t="s">
        <v>140</v>
      </c>
    </row>
    <row r="28" spans="1:5" x14ac:dyDescent="0.3">
      <c r="A28" s="2" t="s">
        <v>141</v>
      </c>
      <c r="B28">
        <f>71</f>
        <v>71</v>
      </c>
      <c r="C28" t="s">
        <v>127</v>
      </c>
    </row>
    <row r="29" spans="1:5" x14ac:dyDescent="0.3">
      <c r="A29" s="2" t="s">
        <v>368</v>
      </c>
      <c r="B29">
        <f>B27/(B28*1000)</f>
        <v>196.35211267605635</v>
      </c>
      <c r="C29" t="s">
        <v>22</v>
      </c>
      <c r="D29">
        <f>B29/B4</f>
        <v>17.850192061459669</v>
      </c>
      <c r="E29" t="s">
        <v>117</v>
      </c>
    </row>
    <row r="30" spans="1:5" x14ac:dyDescent="0.3">
      <c r="A30" s="2" t="s">
        <v>369</v>
      </c>
      <c r="B30">
        <f>D29/(8760*0.9)</f>
        <v>2.2641035085565284E-3</v>
      </c>
      <c r="C30" t="s">
        <v>133</v>
      </c>
    </row>
    <row r="31" spans="1:5" x14ac:dyDescent="0.3">
      <c r="A31" s="2"/>
    </row>
  </sheetData>
  <hyperlinks>
    <hyperlink ref="P1" r:id="rId1" xr:uid="{A673617C-7C06-4C4E-8142-683F1E478CC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K19"/>
  <sheetViews>
    <sheetView workbookViewId="0">
      <selection activeCell="O21" sqref="O21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11" x14ac:dyDescent="0.3">
      <c r="B1" t="s">
        <v>281</v>
      </c>
      <c r="C1" t="s">
        <v>114</v>
      </c>
      <c r="J1">
        <v>33.335999999999999</v>
      </c>
      <c r="K1" t="s">
        <v>3</v>
      </c>
    </row>
    <row r="2" spans="1:11" x14ac:dyDescent="0.3">
      <c r="A2">
        <v>2017</v>
      </c>
      <c r="B2">
        <f>29*1/100</f>
        <v>0.28999999999999998</v>
      </c>
      <c r="C2">
        <f>B2*1000/J1</f>
        <v>8.6993040556755457</v>
      </c>
    </row>
    <row r="3" spans="1:11" x14ac:dyDescent="0.3">
      <c r="A3">
        <v>2050</v>
      </c>
      <c r="B3">
        <f>4*1/100</f>
        <v>0.04</v>
      </c>
      <c r="C3">
        <f>B3*1000/J1</f>
        <v>1.1999040076793857</v>
      </c>
      <c r="D3" s="12" t="s">
        <v>279</v>
      </c>
    </row>
    <row r="5" spans="1:11" x14ac:dyDescent="0.3">
      <c r="A5" t="s">
        <v>284</v>
      </c>
      <c r="B5">
        <f>3000*10</f>
        <v>30000</v>
      </c>
      <c r="D5" t="s">
        <v>329</v>
      </c>
    </row>
    <row r="6" spans="1:11" x14ac:dyDescent="0.3">
      <c r="A6" t="s">
        <v>285</v>
      </c>
      <c r="B6">
        <f>B5*C3</f>
        <v>35997.120230381566</v>
      </c>
      <c r="C6" t="s">
        <v>286</v>
      </c>
    </row>
    <row r="7" spans="1:11" x14ac:dyDescent="0.3">
      <c r="A7" t="s">
        <v>287</v>
      </c>
      <c r="B7">
        <f>B6/(8760*0.9*7)</f>
        <v>0.6522635397256934</v>
      </c>
      <c r="C7" t="s">
        <v>330</v>
      </c>
    </row>
    <row r="8" spans="1:11" x14ac:dyDescent="0.3">
      <c r="A8" t="s">
        <v>287</v>
      </c>
      <c r="B8">
        <f>B6/(8760*0.9*10)</f>
        <v>0.45658447780798539</v>
      </c>
      <c r="C8" t="s">
        <v>331</v>
      </c>
    </row>
    <row r="9" spans="1:11" x14ac:dyDescent="0.3">
      <c r="D9" s="12" t="s">
        <v>280</v>
      </c>
    </row>
    <row r="11" spans="1:11" x14ac:dyDescent="0.3">
      <c r="H11" s="12" t="s">
        <v>345</v>
      </c>
    </row>
    <row r="12" spans="1:11" x14ac:dyDescent="0.3">
      <c r="A12" s="20">
        <v>2022</v>
      </c>
      <c r="B12" s="20">
        <v>3800</v>
      </c>
      <c r="H12" s="12" t="s">
        <v>344</v>
      </c>
    </row>
    <row r="13" spans="1:11" x14ac:dyDescent="0.3">
      <c r="A13" s="20">
        <v>2030</v>
      </c>
      <c r="B13" s="20">
        <v>1500</v>
      </c>
      <c r="H13" s="12" t="s">
        <v>324</v>
      </c>
    </row>
    <row r="14" spans="1:11" x14ac:dyDescent="0.3">
      <c r="A14">
        <v>2050</v>
      </c>
      <c r="B14">
        <v>400</v>
      </c>
    </row>
    <row r="17" spans="1:8" x14ac:dyDescent="0.3">
      <c r="A17" t="s">
        <v>4</v>
      </c>
      <c r="B17">
        <v>82</v>
      </c>
      <c r="C17" s="20"/>
      <c r="D17" s="28" t="s">
        <v>349</v>
      </c>
      <c r="H17" t="s">
        <v>351</v>
      </c>
    </row>
    <row r="18" spans="1:8" x14ac:dyDescent="0.3">
      <c r="C18" s="20"/>
      <c r="D18" s="12" t="s">
        <v>350</v>
      </c>
      <c r="H18" t="s">
        <v>354</v>
      </c>
    </row>
    <row r="19" spans="1:8" x14ac:dyDescent="0.3">
      <c r="D19" s="12" t="s">
        <v>352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  <hyperlink ref="H13" r:id="rId3" tooltip="Persistent link using digital object identifier" xr:uid="{B3E006C3-DDB9-480A-9D90-5884D6F5F9E8}"/>
    <hyperlink ref="H12" r:id="rId4" xr:uid="{737771D8-B96A-49B6-86D2-864FF1155855}"/>
    <hyperlink ref="H11" r:id="rId5" xr:uid="{63C37621-088F-42CB-A35E-1ECFDE9D82C3}"/>
    <hyperlink ref="D18" r:id="rId6" xr:uid="{18AE47F8-0B31-409D-88A0-14B43BA66492}"/>
    <hyperlink ref="D19" r:id="rId7" xr:uid="{BD971C0B-0989-4A61-909C-C1F9A507336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CCS_Costs_Early</vt:lpstr>
      <vt:lpstr>CCS_Costs_Mature</vt:lpstr>
      <vt:lpstr>CCS reservoir trends</vt:lpstr>
      <vt:lpstr>JHFC</vt:lpstr>
      <vt:lpstr>H2 Steam Reforming</vt:lpstr>
      <vt:lpstr>Keipi_SMR</vt:lpstr>
      <vt:lpstr>Keipi_SMR+CCS</vt:lpstr>
      <vt:lpstr>Keipi_electrolysis</vt:lpstr>
      <vt:lpstr>PEMEC</vt:lpstr>
      <vt:lpstr>AEC</vt:lpstr>
      <vt:lpstr>SOEC</vt:lpstr>
      <vt:lpstr>Li-ion</vt:lpstr>
      <vt:lpstr>SOFC</vt:lpstr>
      <vt:lpstr>PEMFC</vt:lpstr>
      <vt:lpstr>EIA_LCOE_WND_SOLAR</vt:lpstr>
      <vt:lpstr>Photoconversion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2020-06-17T00:39:00Z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