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DC608377-38B6-4517-8450-01182D2B8ED4}" xr6:coauthVersionLast="44" xr6:coauthVersionMax="44" xr10:uidLastSave="{00000000-0000-0000-0000-000000000000}"/>
  <bookViews>
    <workbookView xWindow="28680" yWindow="-120" windowWidth="29040" windowHeight="15840" firstSheet="8" activeTab="11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Kato_H2" sheetId="7" r:id="rId7"/>
    <sheet name="Keipi_SMR" sheetId="5" r:id="rId8"/>
    <sheet name="GARBAGE_KEIPI_CCSSMR" sheetId="9" r:id="rId9"/>
    <sheet name="Keipi_electrolysis" sheetId="8" r:id="rId10"/>
    <sheet name="AEC" sheetId="21" r:id="rId11"/>
    <sheet name="PEMEC" sheetId="20" r:id="rId12"/>
    <sheet name="SOEC" sheetId="18" r:id="rId13"/>
    <sheet name="PEMFC" sheetId="19" r:id="rId14"/>
    <sheet name="EIA_LCOE_WND_SOLAR" sheetId="11" r:id="rId15"/>
    <sheet name="SOFC" sheetId="17" r:id="rId16"/>
    <sheet name="Li-ion" sheetId="12" r:id="rId17"/>
    <sheet name="Photoconversion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0" l="1"/>
  <c r="C2" i="20"/>
  <c r="B2" i="20"/>
  <c r="C9" i="21"/>
  <c r="B9" i="21"/>
  <c r="C6" i="21"/>
  <c r="B17" i="16" l="1"/>
  <c r="B15" i="16" l="1"/>
  <c r="B14" i="16"/>
  <c r="D12" i="16"/>
  <c r="B12" i="16"/>
  <c r="F11" i="16"/>
  <c r="D11" i="16"/>
  <c r="M11" i="18" l="1"/>
  <c r="M12" i="18"/>
  <c r="M13" i="18"/>
  <c r="M10" i="18"/>
  <c r="D14" i="18"/>
  <c r="D13" i="18"/>
  <c r="D12" i="18"/>
  <c r="D11" i="18"/>
  <c r="D4" i="18"/>
  <c r="D5" i="18"/>
  <c r="D3" i="18"/>
  <c r="B12" i="18"/>
  <c r="D25" i="18"/>
  <c r="F25" i="18"/>
  <c r="D26" i="18"/>
  <c r="F26" i="18"/>
  <c r="D27" i="18"/>
  <c r="F27" i="18"/>
  <c r="D30" i="18"/>
  <c r="K32" i="18"/>
  <c r="B33" i="18"/>
  <c r="C33" i="18"/>
  <c r="C35" i="18" s="1"/>
  <c r="D33" i="18"/>
  <c r="D35" i="18" s="1"/>
  <c r="E33" i="18"/>
  <c r="E35" i="18" s="1"/>
  <c r="F33" i="18"/>
  <c r="F35" i="18" s="1"/>
  <c r="K33" i="18"/>
  <c r="L35" i="18" s="1"/>
  <c r="B34" i="18"/>
  <c r="B35" i="18" s="1"/>
  <c r="F36" i="18" s="1"/>
  <c r="K34" i="18"/>
  <c r="B11" i="18"/>
  <c r="D8" i="17"/>
  <c r="D9" i="17"/>
  <c r="D7" i="17"/>
  <c r="B9" i="17"/>
  <c r="B8" i="17"/>
  <c r="K10" i="17"/>
  <c r="K9" i="17"/>
  <c r="E10" i="19"/>
  <c r="E11" i="19"/>
  <c r="E9" i="19"/>
  <c r="C11" i="19"/>
  <c r="C10" i="19"/>
  <c r="C15" i="19"/>
  <c r="C14" i="19"/>
  <c r="C3" i="20" l="1"/>
  <c r="B6" i="20" s="1"/>
  <c r="B7" i="20" s="1"/>
  <c r="B5" i="20"/>
  <c r="C2" i="21"/>
  <c r="B8" i="20" l="1"/>
  <c r="D15" i="11" l="1"/>
  <c r="H15" i="11" s="1"/>
  <c r="I15" i="11" s="1"/>
  <c r="D14" i="11"/>
  <c r="H14" i="11" s="1"/>
  <c r="I14" i="11" s="1"/>
  <c r="D13" i="11"/>
  <c r="H13" i="11" s="1"/>
  <c r="D25" i="11"/>
  <c r="D24" i="11"/>
  <c r="H12" i="11"/>
  <c r="H6" i="11"/>
  <c r="H7" i="11"/>
  <c r="H5" i="11"/>
  <c r="E5" i="11"/>
  <c r="G6" i="11"/>
  <c r="G7" i="11"/>
  <c r="I13" i="11" l="1"/>
  <c r="E13" i="11" s="1"/>
  <c r="I12" i="11"/>
  <c r="E12" i="11" s="1"/>
  <c r="E15" i="11"/>
  <c r="E14" i="11"/>
  <c r="D8" i="12"/>
  <c r="B8" i="12"/>
  <c r="D7" i="12"/>
  <c r="D6" i="12"/>
  <c r="B9" i="12"/>
  <c r="B6" i="12"/>
  <c r="B15" i="12" l="1"/>
  <c r="B18" i="12" l="1"/>
  <c r="B14" i="12"/>
  <c r="B10" i="12"/>
  <c r="B4" i="12"/>
  <c r="B5" i="12" s="1"/>
  <c r="D5" i="12" s="1"/>
  <c r="B6" i="16" l="1"/>
  <c r="D5" i="16"/>
  <c r="B13" i="16"/>
  <c r="B5" i="16"/>
  <c r="B4" i="16"/>
  <c r="P34" i="14" l="1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19" i="16" l="1"/>
  <c r="B20" i="16"/>
  <c r="B16" i="16"/>
  <c r="B18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G5" i="11" s="1"/>
  <c r="B6" i="11"/>
  <c r="E7" i="11"/>
  <c r="E6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<sst xmlns="http://schemas.openxmlformats.org/spreadsheetml/2006/main" count="756" uniqueCount="356">
  <si>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</si>
  <si>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</si>
  <si>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</si>
  <si>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</si>
  <si>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</si>
  <si>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</si>
  <si>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</si>
  <si>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</si>
  <si>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</si>
  <si>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</si>
  <si>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</si>
  <si>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</si>
  <si>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</si>
  <si>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</si>
  <si>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</si>
  <si>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</si>
  <si>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</si>
  <si>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</si>
  <si>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</si>
  <si>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</si>
  <si>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</si>
  <si>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</si>
  <si>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</si>
  <si>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</si>
  <si>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</si>
  <si>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</si>
  <si>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</si>
  <si>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</si>
  <si>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</si>
  <si>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</si>
  <si>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</si>
  <si>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</si>
  <si>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</si>
  <si>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</si>
  <si>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</si>
  <si>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</si>
  <si>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</si>
  <si>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</si>
  <si>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</si>
  <si>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</si>
  <si>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</si>
  <si>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</si>
  <si>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</si>
  <si>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</si>
  <si>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</si>
  <si>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</si>
  <si>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</si>
  <si>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</si>
  <si>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</si>
  <si>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</si>
  <si>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</si>
  <si>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</si>
  <si>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</si>
  <si>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</si>
  <si>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</si>
  <si>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</si>
  <si>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</si>
  <si>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</si>
  <si>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</si>
  <si>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</si>
  <si>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</si>
  <si>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</si>
  <si>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</si>
  <si>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</si>
  <si>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</si>
  <si>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</si>
  <si>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</si>
  <si>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</si>
  <si>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</si>
  <si>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</si>
  <si>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</si>
  <si>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</si>
  <si>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</si>
  <si>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</si>
  <si>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</si>
  <si>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</si>
  <si>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</si>
  <si>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</si>
  <si>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</si>
  <si>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</si>
  <si>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</si>
  <si>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</si>
  <si>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</si>
  <si>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</si>
  <si>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</si>
  <si>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</si>
  <si>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</si>
  <si>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</si>
  <si>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</si>
  <si>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</si>
  <si>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</si>
  <si>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</si>
  <si>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</si>
  <si>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</si>
  <si>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</si>
  <si>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</si>
  <si>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</si>
  <si>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</si>
  <si>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</si>
  <si>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</si>
  <si>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</si>
  <si>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</si>
  <si>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</si>
  <si>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</si>
  <si>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</si>
  <si>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</si>
  <si>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</si>
  <si>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</si>
  <si>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</si>
  <si>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</si>
  <si>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</si>
  <si>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</si>
  <si>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</si>
  <si>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</si>
  <si>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</si>
  <si>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</si>
  <si>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</si>
  <si>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</si>
  <si>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</si>
  <si>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</si>
  <si>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</si>
  <si>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</si>
  <si>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</si>
  <si>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</si>
  <si>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</si>
  <si>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</si>
  <si>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</si>
  <si>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</si>
  <si>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</si>
  <si>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</si>
  <si>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</si>
  <si>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</si>
  <si>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</si>
  <si>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</si>
  <si>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</si>
  <si>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</si>
  <si>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</si>
  <si>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</si>
  <si>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</si>
  <si>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</si>
  <si>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</si>
  <si>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</si>
  <si>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</si>
  <si>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</si>
  <si>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</si>
  <si>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</si>
  <si>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</si>
  <si>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</si>
  <si>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</si>
  <si>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</si>
  <si>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</si>
  <si>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</si>
  <si>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</si>
  <si>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</si>
  <si>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</si>
  <si>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</si>
  <si>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</si>
  <si>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</si>
  <si>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</si>
  <si>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</si>
  <si>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</si>
  <si>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</si>
  <si>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</si>
  <si>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</si>
  <si>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</si>
  <si>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</si>
  <si>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</si>
  <si>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</si>
  <si>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</si>
  <si>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</si>
  <si>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</si>
  <si>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</si>
  <si>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</si>
  <si>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</si>
  <si>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</si>
  <si>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</si>
  <si>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</si>
  <si>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</si>
  <si>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</si>
  <si>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</si>
  <si>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</si>
  <si>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</si>
  <si>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</si>
  <si>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</si>
  <si>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</si>
  <si>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</si>
  <si>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</si>
  <si>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</si>
  <si>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</si>
  <si>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</si>
  <si>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</si>
  <si>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</si>
  <si>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</si>
  <si>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</si>
  <si>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</si>
  <si>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</si>
  <si>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</si>
  <si>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</si>
  <si>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</si>
  <si>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</si>
  <si>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</si>
  <si>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</si>
  <si>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</si>
  <si>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</si>
  <si>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</si>
  <si>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</si>
  <si>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</si>
  <si>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</si>
  <si>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</si>
  <si>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</si>
  <si>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</si>
  <si>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</si>
  <si>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</si>
  <si>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</si>
  <si>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</si>
  <si>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</si>
  <si>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</si>
  <si>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</si>
  <si>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</si>
  <si>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</si>
  <si>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</si>
  <si>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</si>
  <si>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</si>
  <si>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</si>
  <si>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</si>
  <si>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</si>
  <si>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</si>
  <si>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</si>
  <si>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</si>
  <si>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</si>
  <si>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</si>
  <si>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</si>
  <si>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</si>
  <si>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</si>
  <si>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</si>
  <si>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</si>
  <si>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</si>
  <si>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</si>
  <si>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</si>
  <si>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</si>
  <si>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</si>
  <si>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</si>
  <si>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</si>
  <si>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</si>
  <si>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</si>
  <si>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</si>
  <si>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</si>
  <si>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</si>
  <si>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</si>
  <si>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</si>
  <si>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</si>
  <si>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</si>
  <si>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</si>
  <si>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</si>
  <si>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</si>
  <si>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</si>
  <si>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</si>
  <si>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</si>
  <si>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</si>
  <si>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</si>
  <si>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</si>
  <si>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</si>
  <si>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</si>
  <si>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</si>
  <si>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</si>
  <si>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</si>
  <si>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</si>
  <si>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</si>
  <si>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</si>
  <si>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</si>
  <si>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</si>
  <si>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</si>
  <si>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</si>
  <si>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</si>
  <si>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</si>
  <si>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</si>
  <si>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</si>
  <si>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</si>
  <si>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</si>
  <si>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</si>
  <si>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</si>
  <si>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</si>
  <si>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</si>
  <si>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</si>
  <si>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</si>
  <si>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</si>
  <si>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</si>
  <si>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</si>
  <si>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</si>
  <si>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</si>
  <si>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</si>
  <si>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</si>
  <si>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</si>
  <si>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</si>
  <si>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</si>
  <si>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</si>
  <si>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</si>
  <si>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</si>
  <si>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</si>
  <si>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</si>
  <si>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</si>
  <si>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</si>
  <si>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</si>
  <si>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</si>
  <si>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</si>
  <si>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</si>
  <si>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</si>
  <si>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</si>
  <si>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</si>
  <si>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</si>
  <si>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</si>
  <si>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</si>
  <si>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</si>
  <si>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7 y lifetime</t>
  </si>
  <si>
    <t>10 y lifetime</t>
  </si>
  <si>
    <t>https://doi.org/10.1016/j.egypro.2017.03.779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</si>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</sst>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3.07.048" TargetMode="External"/><Relationship Id="rId2" Type="http://schemas.openxmlformats.org/officeDocument/2006/relationships/hyperlink" Target="https://doi.org/10.1016/j.egypro.2017.03.779" TargetMode="External"/><Relationship Id="rId1" Type="http://schemas.openxmlformats.org/officeDocument/2006/relationships/hyperlink" Target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TargetMode="External"/><Relationship Id="rId5" Type="http://schemas.openxmlformats.org/officeDocument/2006/relationships/hyperlink" Target="https://doi.org/10.1016/j.jclepro.2013.07.048" TargetMode="External"/><Relationship Id="rId4" Type="http://schemas.openxmlformats.org/officeDocument/2006/relationships/hyperlink" Target="https://doi-org.proxy2.library.illinois.edu/10.1016/j.ijhydene.2011.10.06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B30" sqref="B3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95</v>
      </c>
      <c r="C18">
        <v>62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201</v>
      </c>
      <c r="B29" s="20">
        <v>5252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62</v>
      </c>
      <c r="B30" s="20">
        <v>2626</v>
      </c>
      <c r="C30" s="20">
        <v>33</v>
      </c>
      <c r="D30" s="20">
        <f>16*1000/1000000</f>
        <v>1.6E-2</v>
      </c>
    </row>
    <row r="31" spans="1:16" x14ac:dyDescent="0.3">
      <c r="A31" s="2" t="s">
        <v>225</v>
      </c>
      <c r="B31" s="20">
        <v>764</v>
      </c>
      <c r="C31">
        <v>6.214611477952583</v>
      </c>
      <c r="D31">
        <v>4.084030751199931E-2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6*B31</f>
        <v>4584</v>
      </c>
      <c r="C32" s="21">
        <v>33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 s="3">
        <f t="shared" ref="K33:K44" si="12">$B$37*J33</f>
        <v>2.7999999999999998E-4</v>
      </c>
      <c r="L33" s="3">
        <f t="shared" ref="L33:L44" si="13">K33*$B$12</f>
        <v>0.19260888908799997</v>
      </c>
      <c r="N33" s="3">
        <f t="shared" ref="N33:N44" si="14">$E$31-L33</f>
        <v>0.50739111091199995</v>
      </c>
      <c r="O33" s="3">
        <f t="shared" ref="O33:O44" si="15">K33*$B$21</f>
        <v>3.6623999999999997E-2</v>
      </c>
      <c r="P33" s="3">
        <f>$D$31+O33</f>
        <v>7.7464307511999314E-2</v>
      </c>
    </row>
    <row r="34" spans="1:16" x14ac:dyDescent="0.3">
      <c r="A34" s="2" t="s">
        <v>203</v>
      </c>
      <c r="J34" s="3">
        <v>0.85</v>
      </c>
      <c r="K34" s="3">
        <f t="shared" si="12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6">$D$31+O34</f>
        <v>8.5312307511999308E-2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 s="3">
        <v>0.86</v>
      </c>
      <c r="K35" s="3">
        <f t="shared" si="12"/>
        <v>3.4400000000000001E-4</v>
      </c>
      <c r="L35" s="3">
        <f t="shared" si="13"/>
        <v>0.23663377802239999</v>
      </c>
      <c r="M35" s="3"/>
      <c r="N35" s="3">
        <f t="shared" si="14"/>
        <v>0.46336622197759997</v>
      </c>
      <c r="O35" s="3">
        <f t="shared" si="15"/>
        <v>4.4995200000000006E-2</v>
      </c>
      <c r="P35" s="3">
        <f t="shared" si="16"/>
        <v>8.5835507511999309E-2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 s="3">
        <v>0.87</v>
      </c>
      <c r="K36" s="3">
        <f t="shared" si="12"/>
        <v>3.48E-4</v>
      </c>
      <c r="L36" s="3">
        <f t="shared" si="13"/>
        <v>0.2393853335808</v>
      </c>
      <c r="M36" s="3"/>
      <c r="N36" s="3">
        <f t="shared" si="14"/>
        <v>0.46061466641919996</v>
      </c>
      <c r="O36" s="3">
        <f t="shared" si="15"/>
        <v>4.5518400000000007E-2</v>
      </c>
      <c r="P36" s="3">
        <f t="shared" si="16"/>
        <v>8.6358707511999311E-2</v>
      </c>
    </row>
    <row r="37" spans="1:16" x14ac:dyDescent="0.3">
      <c r="A37" s="14" t="s">
        <v>115</v>
      </c>
      <c r="B37" s="21">
        <f>400/1000000</f>
        <v>4.0000000000000002E-4</v>
      </c>
      <c r="C37" t="s">
        <v>63</v>
      </c>
      <c r="J37" s="3">
        <v>0.88</v>
      </c>
      <c r="K37" s="3">
        <f t="shared" si="12"/>
        <v>3.5200000000000005E-4</v>
      </c>
      <c r="L37" s="3">
        <f t="shared" si="13"/>
        <v>0.24213688913920003</v>
      </c>
      <c r="M37" s="3"/>
      <c r="N37" s="3">
        <f t="shared" si="14"/>
        <v>0.45786311086079989</v>
      </c>
      <c r="O37" s="3">
        <f t="shared" si="15"/>
        <v>4.6041600000000009E-2</v>
      </c>
      <c r="P37" s="3">
        <f t="shared" si="16"/>
        <v>8.6881907511999312E-2</v>
      </c>
    </row>
    <row r="38" spans="1:16" x14ac:dyDescent="0.3">
      <c r="J38" s="3">
        <v>0.89</v>
      </c>
      <c r="K38" s="3">
        <f t="shared" si="12"/>
        <v>3.5600000000000003E-4</v>
      </c>
      <c r="L38" s="3">
        <f t="shared" si="13"/>
        <v>0.24488844469760002</v>
      </c>
      <c r="M38" s="3"/>
      <c r="N38" s="3">
        <f t="shared" si="14"/>
        <v>0.45511155530239994</v>
      </c>
      <c r="O38" s="3">
        <f t="shared" si="15"/>
        <v>4.656480000000001E-2</v>
      </c>
      <c r="P38" s="3">
        <f t="shared" si="16"/>
        <v>8.7405107511999314E-2</v>
      </c>
    </row>
    <row r="39" spans="1:16" x14ac:dyDescent="0.3">
      <c r="J39" s="3">
        <v>0.9</v>
      </c>
      <c r="K39" s="3">
        <f t="shared" si="12"/>
        <v>3.6000000000000002E-4</v>
      </c>
      <c r="L39" s="3">
        <f t="shared" si="13"/>
        <v>0.247640000256</v>
      </c>
      <c r="M39" s="3"/>
      <c r="N39" s="3">
        <f t="shared" si="14"/>
        <v>0.45235999974399999</v>
      </c>
      <c r="O39" s="3">
        <f t="shared" si="15"/>
        <v>4.7088000000000005E-2</v>
      </c>
      <c r="P39" s="3">
        <f t="shared" si="16"/>
        <v>8.7928307511999315E-2</v>
      </c>
    </row>
    <row r="40" spans="1:16" x14ac:dyDescent="0.3">
      <c r="A40" s="12" t="s">
        <v>302</v>
      </c>
      <c r="J40" s="3">
        <v>0.91</v>
      </c>
      <c r="K40" s="3">
        <f t="shared" si="12"/>
        <v>3.6400000000000001E-4</v>
      </c>
      <c r="L40" s="3">
        <f t="shared" si="13"/>
        <v>0.25039155581439998</v>
      </c>
      <c r="M40" s="3"/>
      <c r="N40" s="3">
        <f t="shared" si="14"/>
        <v>0.44960844418559998</v>
      </c>
      <c r="O40" s="3">
        <f t="shared" si="15"/>
        <v>4.7611200000000006E-2</v>
      </c>
      <c r="P40" s="3">
        <f t="shared" si="16"/>
        <v>8.8451507511999317E-2</v>
      </c>
    </row>
    <row r="41" spans="1:16" x14ac:dyDescent="0.3">
      <c r="A41" s="12" t="s">
        <v>303</v>
      </c>
      <c r="J41" s="3">
        <v>0.92</v>
      </c>
      <c r="K41" s="3">
        <f t="shared" si="12"/>
        <v>3.6800000000000005E-4</v>
      </c>
      <c r="L41" s="3">
        <f t="shared" si="13"/>
        <v>0.25314311137280004</v>
      </c>
      <c r="M41" s="3"/>
      <c r="N41" s="3">
        <f t="shared" si="14"/>
        <v>0.44685688862719991</v>
      </c>
      <c r="O41" s="3">
        <f t="shared" si="15"/>
        <v>4.8134400000000015E-2</v>
      </c>
      <c r="P41" s="3">
        <f t="shared" si="16"/>
        <v>8.8974707511999318E-2</v>
      </c>
    </row>
    <row r="42" spans="1:16" x14ac:dyDescent="0.3">
      <c r="J42" s="3">
        <v>0.93</v>
      </c>
      <c r="K42" s="3">
        <f t="shared" si="12"/>
        <v>3.7200000000000004E-4</v>
      </c>
      <c r="L42" s="3">
        <f t="shared" si="13"/>
        <v>0.2558946669312</v>
      </c>
      <c r="M42" s="3"/>
      <c r="N42" s="3">
        <f t="shared" si="14"/>
        <v>0.44410533306879996</v>
      </c>
      <c r="O42" s="3">
        <f t="shared" si="15"/>
        <v>4.8657600000000009E-2</v>
      </c>
      <c r="P42" s="3">
        <f t="shared" si="16"/>
        <v>8.9497907511999319E-2</v>
      </c>
    </row>
    <row r="43" spans="1:16" x14ac:dyDescent="0.3">
      <c r="J43" s="3">
        <v>0.94</v>
      </c>
      <c r="K43" s="3">
        <f t="shared" si="12"/>
        <v>3.7599999999999998E-4</v>
      </c>
      <c r="L43" s="3">
        <f t="shared" si="13"/>
        <v>0.25864622248959995</v>
      </c>
      <c r="M43" s="3"/>
      <c r="N43" s="3">
        <f t="shared" si="14"/>
        <v>0.4413537775104</v>
      </c>
      <c r="O43" s="3">
        <f t="shared" si="15"/>
        <v>4.9180800000000004E-2</v>
      </c>
      <c r="P43" s="3">
        <f t="shared" si="16"/>
        <v>9.0021107511999321E-2</v>
      </c>
    </row>
    <row r="44" spans="1:16" x14ac:dyDescent="0.3">
      <c r="J44" s="3">
        <v>0.95</v>
      </c>
      <c r="K44" s="3">
        <f t="shared" si="12"/>
        <v>3.8000000000000002E-4</v>
      </c>
      <c r="L44" s="3">
        <f t="shared" si="13"/>
        <v>0.26139777804800002</v>
      </c>
      <c r="M44" s="3"/>
      <c r="N44" s="3">
        <f t="shared" si="14"/>
        <v>0.43860222195199994</v>
      </c>
      <c r="O44" s="3">
        <f t="shared" si="15"/>
        <v>4.9704000000000005E-2</v>
      </c>
      <c r="P44" s="3">
        <f t="shared" si="16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65</v>
      </c>
      <c r="H1">
        <v>1395.7449839999999</v>
      </c>
      <c r="I1" t="s">
        <v>67</v>
      </c>
      <c r="J1">
        <v>33.335999999999999</v>
      </c>
      <c r="K1" t="s">
        <v>3</v>
      </c>
      <c r="M1" s="9">
        <v>0.27779999999999999</v>
      </c>
      <c r="N1" s="2" t="s">
        <v>66</v>
      </c>
    </row>
    <row r="2" spans="1:14" x14ac:dyDescent="0.3">
      <c r="B2">
        <f>1/110</f>
        <v>9.0909090909090905E-3</v>
      </c>
      <c r="C2" t="s">
        <v>84</v>
      </c>
      <c r="D2">
        <v>1.1000000000000001</v>
      </c>
      <c r="E2" t="s">
        <v>136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185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145</v>
      </c>
      <c r="D4" t="s">
        <v>124</v>
      </c>
      <c r="E4">
        <f>1000*D2</f>
        <v>1100</v>
      </c>
      <c r="F4" t="s">
        <v>92</v>
      </c>
      <c r="G4">
        <f>600*D2</f>
        <v>660</v>
      </c>
    </row>
    <row r="6" spans="1:14" x14ac:dyDescent="0.3">
      <c r="A6" s="2" t="s">
        <v>155</v>
      </c>
      <c r="B6">
        <v>2974000</v>
      </c>
      <c r="C6" t="s">
        <v>148</v>
      </c>
      <c r="D6">
        <f>B6/(1000000*L10)</f>
        <v>1239.0675412633659</v>
      </c>
      <c r="E6" t="s">
        <v>126</v>
      </c>
      <c r="F6">
        <f>D6*D2</f>
        <v>1362.9742953897025</v>
      </c>
      <c r="G6" t="s">
        <v>140</v>
      </c>
    </row>
    <row r="8" spans="1:14" x14ac:dyDescent="0.3">
      <c r="A8" t="s">
        <v>134</v>
      </c>
      <c r="B8">
        <v>0.22</v>
      </c>
      <c r="C8" t="s">
        <v>122</v>
      </c>
      <c r="I8" t="s">
        <v>151</v>
      </c>
      <c r="J8">
        <v>0.02</v>
      </c>
      <c r="K8" t="s">
        <v>122</v>
      </c>
    </row>
    <row r="9" spans="1:14" x14ac:dyDescent="0.3">
      <c r="B9">
        <f>B8*(365*24*60*60)</f>
        <v>6937920</v>
      </c>
      <c r="C9" t="s">
        <v>69</v>
      </c>
      <c r="J9">
        <f>J8*(365*24*60*60)</f>
        <v>630720</v>
      </c>
      <c r="K9" t="s">
        <v>69</v>
      </c>
      <c r="L9">
        <f>J9*J1/1000000</f>
        <v>21.025681919999997</v>
      </c>
      <c r="M9" t="s">
        <v>123</v>
      </c>
    </row>
    <row r="10" spans="1:14" x14ac:dyDescent="0.3">
      <c r="B10">
        <f>0.3*B9</f>
        <v>2081376</v>
      </c>
      <c r="C10" t="s">
        <v>100</v>
      </c>
      <c r="D10">
        <f>B10*B2/1000000</f>
        <v>1.89216E-2</v>
      </c>
      <c r="E10" t="s">
        <v>135</v>
      </c>
      <c r="F10">
        <f>D10/D2</f>
        <v>1.7201454545454544E-2</v>
      </c>
      <c r="G10" t="s">
        <v>137</v>
      </c>
      <c r="L10">
        <f>L9/8760</f>
        <v>2.4001919999999998E-3</v>
      </c>
      <c r="M10" t="s">
        <v>157</v>
      </c>
    </row>
    <row r="11" spans="1:14" x14ac:dyDescent="0.3">
      <c r="F11">
        <f>F10*1000000</f>
        <v>17201.454545454544</v>
      </c>
      <c r="G11" t="s">
        <v>131</v>
      </c>
    </row>
    <row r="12" spans="1:14" x14ac:dyDescent="0.3">
      <c r="A12" s="2" t="s">
        <v>158</v>
      </c>
      <c r="B12">
        <f>D10/L9</f>
        <v>8.9992800575953936E-4</v>
      </c>
      <c r="C12" t="s">
        <v>35</v>
      </c>
    </row>
    <row r="14" spans="1:14" x14ac:dyDescent="0.3">
      <c r="A14" t="s">
        <v>129</v>
      </c>
      <c r="B14">
        <v>52</v>
      </c>
      <c r="C14" t="s">
        <v>77</v>
      </c>
      <c r="I14" t="s">
        <v>153</v>
      </c>
      <c r="J14">
        <f>J1/B14</f>
        <v>0.6410769230769231</v>
      </c>
    </row>
    <row r="16" spans="1:14" x14ac:dyDescent="0.3">
      <c r="A16" s="2" t="s">
        <v>156</v>
      </c>
      <c r="B16">
        <v>15000</v>
      </c>
      <c r="C16" t="s">
        <v>131</v>
      </c>
      <c r="D16">
        <f>B16*D2/(1000000*L10)</f>
        <v>6.8744500439964815</v>
      </c>
      <c r="E16" t="s">
        <v>140</v>
      </c>
    </row>
    <row r="17" spans="1:7" x14ac:dyDescent="0.3">
      <c r="A17" t="s">
        <v>154</v>
      </c>
    </row>
    <row r="19" spans="1:7" x14ac:dyDescent="0.3">
      <c r="A19" s="2" t="s">
        <v>144</v>
      </c>
      <c r="B19">
        <f>L9*B4</f>
        <v>420.51363839999993</v>
      </c>
      <c r="C19" t="s">
        <v>22</v>
      </c>
      <c r="E19" t="s">
        <v>234</v>
      </c>
      <c r="G19">
        <v>0.16200000000000001</v>
      </c>
    </row>
    <row r="20" spans="1:7" x14ac:dyDescent="0.3">
      <c r="A20" s="2" t="s">
        <v>147</v>
      </c>
      <c r="B20">
        <f>B6+(B16*B4)+(F11*B4)</f>
        <v>3618029.0909090908</v>
      </c>
      <c r="C20" t="s">
        <v>148</v>
      </c>
      <c r="E20" t="s">
        <v>235</v>
      </c>
      <c r="G20">
        <f>B20/(B19*1000*G19)</f>
        <v>53.110079834324445</v>
      </c>
    </row>
    <row r="21" spans="1:7" x14ac:dyDescent="0.3">
      <c r="A21" s="2" t="s">
        <v>149</v>
      </c>
      <c r="B21">
        <f>B20/(B19*1000)</f>
        <v>8.603832933160561</v>
      </c>
      <c r="C21" t="s">
        <v>133</v>
      </c>
    </row>
    <row r="24" spans="1:7" x14ac:dyDescent="0.3">
      <c r="A24" s="2" t="s">
        <v>93</v>
      </c>
      <c r="B24">
        <v>2017</v>
      </c>
      <c r="C24">
        <v>1160</v>
      </c>
      <c r="D24" t="s">
        <v>184</v>
      </c>
      <c r="E24">
        <f>C24/J3</f>
        <v>39.407528196765867</v>
      </c>
      <c r="F24" t="s">
        <v>173</v>
      </c>
    </row>
    <row r="25" spans="1:7" x14ac:dyDescent="0.3">
      <c r="B25">
        <v>2050</v>
      </c>
      <c r="C25">
        <v>480</v>
      </c>
      <c r="D25" t="s">
        <v>184</v>
      </c>
      <c r="E25">
        <f>C25/J3</f>
        <v>16.306563391765184</v>
      </c>
      <c r="F25" t="s">
        <v>173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I9"/>
  <sheetViews>
    <sheetView workbookViewId="0">
      <selection activeCell="D6" sqref="D6"/>
    </sheetView>
  </sheetViews>
  <sheetFormatPr defaultRowHeight="14.4" x14ac:dyDescent="0.3"/>
  <cols>
    <col min="2" max="2" width="12.33203125" customWidth="1"/>
  </cols>
  <sheetData>
    <row r="1" spans="1:9" x14ac:dyDescent="0.3">
      <c r="B1" t="s">
        <v>308</v>
      </c>
      <c r="C1" t="s">
        <v>119</v>
      </c>
      <c r="D1" s="12" t="s">
        <v>307</v>
      </c>
      <c r="I1" t="s">
        <v>354</v>
      </c>
    </row>
    <row r="2" spans="1:9" x14ac:dyDescent="0.3">
      <c r="A2">
        <v>2017</v>
      </c>
      <c r="B2">
        <v>95.78</v>
      </c>
      <c r="C2">
        <f>B2/30</f>
        <v>3.1926666666666668</v>
      </c>
      <c r="D2" t="s">
        <v>316</v>
      </c>
    </row>
    <row r="4" spans="1:9" x14ac:dyDescent="0.3">
      <c r="A4" t="s">
        <v>317</v>
      </c>
      <c r="D4" s="12" t="s">
        <v>315</v>
      </c>
    </row>
    <row r="6" spans="1:9" x14ac:dyDescent="0.3">
      <c r="B6">
        <v>43</v>
      </c>
      <c r="C6">
        <f>B6/30</f>
        <v>1.4333333333333333</v>
      </c>
      <c r="D6" s="12" t="s">
        <v>353</v>
      </c>
    </row>
    <row r="7" spans="1:9" x14ac:dyDescent="0.3">
      <c r="D7" s="12" t="s">
        <v>355</v>
      </c>
    </row>
    <row r="9" spans="1:9" x14ac:dyDescent="0.3">
      <c r="B9">
        <f>0.04*970</f>
        <v>38.800000000000004</v>
      </c>
      <c r="C9">
        <f>B9/30</f>
        <v>1.2933333333333334</v>
      </c>
      <c r="D9" s="12" t="s">
        <v>353</v>
      </c>
    </row>
  </sheetData>
  <hyperlinks>
    <hyperlink ref="D1" r:id="rId1" display="https://urldefense.proofpoint.com/v2/url?u=https-3A__doi.org_10.1016_j.apenergy.2016.07.104&amp;d=DwMFaQ&amp;c=OCIEmEwdEq_aNlsP4fF3gFqSN-E3mlr2t9JcDdfOZag&amp;r=79oVBkpSJ8jc8Mw2l8LuV83qCNXLl72NkphdMlliukM&amp;m=u5UoiluATJYcC_3uLl3rnf_fVd77gqqgvry4u-DXIg4&amp;s=jOLHdWx_MPUn4VVadr0XEHCZPzHvqbpb3Ry75DeUYTw&amp;e=" xr:uid="{3122AE31-A0FC-4B8D-8284-BA98C897AEC6}"/>
    <hyperlink ref="D4" r:id="rId2" tooltip="Persistent link using digital object identifier" xr:uid="{579337F0-0E30-4944-9B30-489BBD332DB7}"/>
    <hyperlink ref="D6" r:id="rId3" tooltip="Persistent link using digital object identifier" xr:uid="{64767E0B-4603-4888-AC84-3F51EA7C938D}"/>
    <hyperlink ref="D7" r:id="rId4" tooltip="Persistent link using digital object identifier" display="https://doi-org.proxy2.library.illinois.edu/10.1016/j.ijhydene.2011.10.064" xr:uid="{BDE805AE-877E-4545-BDBE-4D38A75176FA}"/>
    <hyperlink ref="D9" r:id="rId5" tooltip="Persistent link using digital object identifier" xr:uid="{80D8A260-46EB-4685-A28A-7C308844320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D9"/>
  <sheetViews>
    <sheetView tabSelected="1" workbookViewId="0">
      <selection activeCell="D9" sqref="D9"/>
    </sheetView>
  </sheetViews>
  <sheetFormatPr defaultRowHeight="14.4" x14ac:dyDescent="0.3"/>
  <cols>
    <col min="2" max="2" width="10.88671875" customWidth="1"/>
  </cols>
  <sheetData>
    <row r="1" spans="1:4" x14ac:dyDescent="0.3">
      <c r="B1" t="s">
        <v>306</v>
      </c>
      <c r="C1" t="s">
        <v>119</v>
      </c>
    </row>
    <row r="2" spans="1:4" x14ac:dyDescent="0.3">
      <c r="A2">
        <v>2017</v>
      </c>
      <c r="B2">
        <f>29*1/100</f>
        <v>0.28999999999999998</v>
      </c>
      <c r="C2">
        <f>B2*1000/33.33</f>
        <v>8.7008700870087008</v>
      </c>
    </row>
    <row r="3" spans="1:4" x14ac:dyDescent="0.3">
      <c r="A3">
        <v>2050</v>
      </c>
      <c r="B3">
        <f>4*1/100</f>
        <v>0.04</v>
      </c>
      <c r="C3">
        <f>B3*1000/33.33</f>
        <v>1.2001200120012001</v>
      </c>
      <c r="D3" s="12" t="s">
        <v>304</v>
      </c>
    </row>
    <row r="5" spans="1:4" x14ac:dyDescent="0.3">
      <c r="A5" t="s">
        <v>309</v>
      </c>
      <c r="B5">
        <f>3000*10</f>
        <v>30000</v>
      </c>
    </row>
    <row r="6" spans="1:4" x14ac:dyDescent="0.3">
      <c r="A6" t="s">
        <v>310</v>
      </c>
      <c r="B6">
        <f>B5*C3</f>
        <v>36003.600360036005</v>
      </c>
      <c r="C6" t="s">
        <v>311</v>
      </c>
    </row>
    <row r="7" spans="1:4" x14ac:dyDescent="0.3">
      <c r="A7" t="s">
        <v>312</v>
      </c>
      <c r="B7">
        <f>B6/(8760*0.9*7)</f>
        <v>0.652380958904762</v>
      </c>
      <c r="C7" t="s">
        <v>313</v>
      </c>
    </row>
    <row r="8" spans="1:4" x14ac:dyDescent="0.3">
      <c r="A8" t="s">
        <v>312</v>
      </c>
      <c r="B8">
        <f>B6/(8760*0.9*10)</f>
        <v>0.45666667123333338</v>
      </c>
      <c r="C8" t="s">
        <v>314</v>
      </c>
    </row>
    <row r="9" spans="1:4" x14ac:dyDescent="0.3">
      <c r="D9" s="12" t="s">
        <v>305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6"/>
  <sheetViews>
    <sheetView workbookViewId="0"/>
  </sheetViews>
  <sheetFormatPr defaultRowHeight="14.4" x14ac:dyDescent="0.3"/>
  <cols>
    <col min="6" max="6" width="11" bestFit="1" customWidth="1"/>
  </cols>
  <sheetData>
    <row r="1" spans="1:16" x14ac:dyDescent="0.3">
      <c r="A1" s="12" t="s">
        <v>322</v>
      </c>
    </row>
    <row r="2" spans="1:16" x14ac:dyDescent="0.3">
      <c r="H2" s="26">
        <v>0.27779999999999999</v>
      </c>
      <c r="I2" t="s">
        <v>66</v>
      </c>
      <c r="K2" t="s">
        <v>328</v>
      </c>
      <c r="L2">
        <v>5000</v>
      </c>
      <c r="M2" t="s">
        <v>325</v>
      </c>
    </row>
    <row r="3" spans="1:16" x14ac:dyDescent="0.3">
      <c r="A3" t="s">
        <v>36</v>
      </c>
      <c r="B3" s="10">
        <v>20000</v>
      </c>
      <c r="C3" t="s">
        <v>325</v>
      </c>
      <c r="D3">
        <f>B3/(8760*0.9)</f>
        <v>2.5367833587011668</v>
      </c>
      <c r="E3" t="s">
        <v>145</v>
      </c>
      <c r="F3" t="s">
        <v>348</v>
      </c>
      <c r="K3" t="s">
        <v>331</v>
      </c>
      <c r="L3">
        <v>20000</v>
      </c>
      <c r="M3" t="s">
        <v>325</v>
      </c>
    </row>
    <row r="4" spans="1:16" x14ac:dyDescent="0.3">
      <c r="B4">
        <v>60000</v>
      </c>
      <c r="C4" t="s">
        <v>325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325</v>
      </c>
      <c r="D5">
        <f t="shared" si="0"/>
        <v>11.415525114155251</v>
      </c>
      <c r="F5">
        <v>2070</v>
      </c>
    </row>
    <row r="9" spans="1:16" x14ac:dyDescent="0.3">
      <c r="A9" t="s">
        <v>323</v>
      </c>
      <c r="J9" t="s">
        <v>349</v>
      </c>
      <c r="P9" s="12" t="s">
        <v>352</v>
      </c>
    </row>
    <row r="10" spans="1:16" x14ac:dyDescent="0.3">
      <c r="A10" t="s">
        <v>324</v>
      </c>
      <c r="J10">
        <v>2017</v>
      </c>
      <c r="K10">
        <v>8000</v>
      </c>
      <c r="L10" t="s">
        <v>350</v>
      </c>
      <c r="M10">
        <f>1.11*K10</f>
        <v>8880</v>
      </c>
      <c r="N10" t="s">
        <v>351</v>
      </c>
    </row>
    <row r="11" spans="1:16" x14ac:dyDescent="0.3">
      <c r="A11">
        <v>2030</v>
      </c>
      <c r="B11">
        <f>(107.7+107.8+108.8)/3</f>
        <v>108.10000000000001</v>
      </c>
      <c r="C11" t="s">
        <v>326</v>
      </c>
      <c r="D11">
        <f>B11*1000/(B3)</f>
        <v>5.4050000000000011</v>
      </c>
      <c r="E11" t="s">
        <v>119</v>
      </c>
      <c r="J11">
        <v>2030</v>
      </c>
      <c r="K11">
        <v>5500</v>
      </c>
      <c r="L11" t="s">
        <v>350</v>
      </c>
      <c r="M11">
        <f t="shared" ref="M11:M13" si="1">1.11*K11</f>
        <v>6105.0000000000009</v>
      </c>
      <c r="N11" t="s">
        <v>351</v>
      </c>
    </row>
    <row r="12" spans="1:16" x14ac:dyDescent="0.3">
      <c r="A12">
        <v>2040</v>
      </c>
      <c r="B12">
        <f>0.6*B11</f>
        <v>64.86</v>
      </c>
      <c r="C12" t="s">
        <v>326</v>
      </c>
      <c r="D12">
        <f>B12*1000/(B3)</f>
        <v>3.2429999999999999</v>
      </c>
      <c r="E12" t="s">
        <v>119</v>
      </c>
      <c r="J12">
        <v>2050</v>
      </c>
      <c r="K12">
        <v>1000</v>
      </c>
      <c r="L12" t="s">
        <v>350</v>
      </c>
      <c r="M12">
        <f t="shared" si="1"/>
        <v>1110</v>
      </c>
      <c r="N12" t="s">
        <v>351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119</v>
      </c>
      <c r="J13">
        <v>2070</v>
      </c>
      <c r="K13">
        <v>400</v>
      </c>
      <c r="L13" t="s">
        <v>350</v>
      </c>
      <c r="M13">
        <f t="shared" si="1"/>
        <v>444.00000000000006</v>
      </c>
      <c r="N13" t="s">
        <v>351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119</v>
      </c>
    </row>
    <row r="24" spans="1:12" x14ac:dyDescent="0.3">
      <c r="A24" t="s">
        <v>327</v>
      </c>
    </row>
    <row r="25" spans="1:12" x14ac:dyDescent="0.3">
      <c r="A25" t="s">
        <v>328</v>
      </c>
      <c r="B25">
        <v>52.2</v>
      </c>
      <c r="C25" t="s">
        <v>118</v>
      </c>
      <c r="D25">
        <f>B25/$H$2</f>
        <v>187.9049676025918</v>
      </c>
      <c r="E25" t="s">
        <v>119</v>
      </c>
      <c r="F25">
        <f>D25*L2/1000</f>
        <v>939.52483801295898</v>
      </c>
    </row>
    <row r="26" spans="1:12" x14ac:dyDescent="0.3">
      <c r="A26" t="s">
        <v>329</v>
      </c>
      <c r="B26">
        <v>46.7</v>
      </c>
      <c r="C26" t="s">
        <v>118</v>
      </c>
      <c r="D26">
        <f t="shared" ref="D26:D27" si="2">B26/$H$2</f>
        <v>168.10655147588196</v>
      </c>
      <c r="E26" t="s">
        <v>119</v>
      </c>
      <c r="F26">
        <f>D26*L3/1000</f>
        <v>3362.131029517639</v>
      </c>
    </row>
    <row r="27" spans="1:12" x14ac:dyDescent="0.3">
      <c r="A27" t="s">
        <v>330</v>
      </c>
      <c r="B27">
        <v>41.6</v>
      </c>
      <c r="C27" t="s">
        <v>118</v>
      </c>
      <c r="D27">
        <f t="shared" si="2"/>
        <v>149.74802015838733</v>
      </c>
      <c r="E27" t="s">
        <v>119</v>
      </c>
      <c r="F27">
        <f>D27*L3/1000</f>
        <v>2994.9604031677463</v>
      </c>
    </row>
    <row r="29" spans="1:12" x14ac:dyDescent="0.3">
      <c r="A29" t="s">
        <v>332</v>
      </c>
    </row>
    <row r="30" spans="1:12" x14ac:dyDescent="0.3">
      <c r="A30" t="s">
        <v>17</v>
      </c>
      <c r="B30">
        <v>5881</v>
      </c>
      <c r="C30" t="s">
        <v>333</v>
      </c>
      <c r="D30">
        <f>B30*H2</f>
        <v>1633.7418</v>
      </c>
      <c r="E30" t="s">
        <v>74</v>
      </c>
    </row>
    <row r="31" spans="1:12" x14ac:dyDescent="0.3">
      <c r="A31" t="s">
        <v>93</v>
      </c>
      <c r="K31" s="2"/>
      <c r="L31" t="s">
        <v>346</v>
      </c>
    </row>
    <row r="32" spans="1:12" x14ac:dyDescent="0.3">
      <c r="A32" t="s">
        <v>339</v>
      </c>
      <c r="B32" t="s">
        <v>334</v>
      </c>
      <c r="C32" t="s">
        <v>335</v>
      </c>
      <c r="D32" t="s">
        <v>338</v>
      </c>
      <c r="E32" t="s">
        <v>336</v>
      </c>
      <c r="F32" t="s">
        <v>337</v>
      </c>
      <c r="I32" t="s">
        <v>342</v>
      </c>
      <c r="K32">
        <f>4.08/(4.08+3.69+0.58)</f>
        <v>0.488622754491018</v>
      </c>
      <c r="L32">
        <v>943</v>
      </c>
    </row>
    <row r="33" spans="1:12" x14ac:dyDescent="0.3">
      <c r="A33" t="s">
        <v>340</v>
      </c>
      <c r="B33">
        <f>6*H2</f>
        <v>1.6667999999999998</v>
      </c>
      <c r="C33">
        <f>283*H2</f>
        <v>78.617400000000004</v>
      </c>
      <c r="D33">
        <f>38*H2</f>
        <v>10.5564</v>
      </c>
      <c r="E33">
        <f>1230*H2</f>
        <v>341.69400000000002</v>
      </c>
      <c r="F33">
        <f>4323*H2</f>
        <v>1200.9294</v>
      </c>
      <c r="G33" t="s">
        <v>74</v>
      </c>
      <c r="I33" t="s">
        <v>343</v>
      </c>
      <c r="K33">
        <f>3.69/(4.08+3.69+0.58)</f>
        <v>0.44191616766467068</v>
      </c>
      <c r="L33">
        <v>599</v>
      </c>
    </row>
    <row r="34" spans="1:12" x14ac:dyDescent="0.3">
      <c r="A34" t="s">
        <v>341</v>
      </c>
      <c r="B34">
        <f>11.5</f>
        <v>11.5</v>
      </c>
      <c r="C34">
        <v>24</v>
      </c>
      <c r="D34">
        <v>230</v>
      </c>
      <c r="E34">
        <v>777.43592814371266</v>
      </c>
      <c r="F34">
        <v>12</v>
      </c>
      <c r="G34" t="s">
        <v>119</v>
      </c>
      <c r="I34" t="s">
        <v>344</v>
      </c>
      <c r="K34">
        <f>0.58/(4.08+3.69+0.58)</f>
        <v>6.9461077844311381E-2</v>
      </c>
      <c r="L34">
        <v>748</v>
      </c>
    </row>
    <row r="35" spans="1:12" x14ac:dyDescent="0.3">
      <c r="A35" t="s">
        <v>346</v>
      </c>
      <c r="B35">
        <f>B34*B33</f>
        <v>19.168199999999999</v>
      </c>
      <c r="C35">
        <f t="shared" ref="C35:F35" si="3">C34*C33</f>
        <v>1886.8176000000001</v>
      </c>
      <c r="D35">
        <f t="shared" si="3"/>
        <v>2427.9720000000002</v>
      </c>
      <c r="E35">
        <f t="shared" si="3"/>
        <v>265645.19203113776</v>
      </c>
      <c r="F35">
        <f t="shared" si="3"/>
        <v>14411.1528</v>
      </c>
      <c r="G35" t="s">
        <v>347</v>
      </c>
      <c r="I35" t="s">
        <v>345</v>
      </c>
      <c r="L35">
        <f>(K32*L32)+(K33*L33)+(K34*L34)</f>
        <v>777.43592814371266</v>
      </c>
    </row>
    <row r="36" spans="1:12" x14ac:dyDescent="0.3">
      <c r="A36" t="s">
        <v>17</v>
      </c>
      <c r="F36">
        <f>SUM(B35:F35)/1000</f>
        <v>284.39030263113773</v>
      </c>
      <c r="G36" t="s">
        <v>73</v>
      </c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F24" sqref="F24"/>
    </sheetView>
  </sheetViews>
  <sheetFormatPr defaultRowHeight="14.4" x14ac:dyDescent="0.3"/>
  <cols>
    <col min="2" max="2" width="10" customWidth="1"/>
  </cols>
  <sheetData>
    <row r="1" spans="1:7" x14ac:dyDescent="0.3">
      <c r="A1" t="s">
        <v>195</v>
      </c>
      <c r="B1" t="s">
        <v>124</v>
      </c>
      <c r="E1" s="12" t="s">
        <v>293</v>
      </c>
    </row>
    <row r="2" spans="1:7" x14ac:dyDescent="0.3">
      <c r="A2">
        <v>2022</v>
      </c>
      <c r="B2">
        <v>7000</v>
      </c>
      <c r="C2" t="s">
        <v>288</v>
      </c>
    </row>
    <row r="3" spans="1:7" x14ac:dyDescent="0.3">
      <c r="A3">
        <v>2030</v>
      </c>
      <c r="B3">
        <v>4000</v>
      </c>
      <c r="C3" t="s">
        <v>289</v>
      </c>
    </row>
    <row r="4" spans="1:7" x14ac:dyDescent="0.3">
      <c r="A4">
        <v>2035</v>
      </c>
      <c r="B4">
        <v>3000</v>
      </c>
    </row>
    <row r="6" spans="1:7" x14ac:dyDescent="0.3">
      <c r="A6" t="s">
        <v>36</v>
      </c>
      <c r="B6">
        <v>2017</v>
      </c>
      <c r="C6">
        <v>7</v>
      </c>
    </row>
    <row r="8" spans="1:7" x14ac:dyDescent="0.3">
      <c r="C8" t="s">
        <v>319</v>
      </c>
    </row>
    <row r="9" spans="1:7" x14ac:dyDescent="0.3">
      <c r="A9" t="s">
        <v>172</v>
      </c>
      <c r="B9" t="s">
        <v>320</v>
      </c>
      <c r="C9">
        <v>60</v>
      </c>
      <c r="D9" t="s">
        <v>290</v>
      </c>
      <c r="E9">
        <f>C9*1000/(8760*$C$6*0.9)</f>
        <v>1.0871928680147858</v>
      </c>
      <c r="F9" t="s">
        <v>291</v>
      </c>
      <c r="G9" s="12" t="s">
        <v>318</v>
      </c>
    </row>
    <row r="10" spans="1:7" x14ac:dyDescent="0.3">
      <c r="B10">
        <v>2020</v>
      </c>
      <c r="C10">
        <f>C9*C14</f>
        <v>40.800000000000004</v>
      </c>
      <c r="D10" t="s">
        <v>290</v>
      </c>
      <c r="E10">
        <f t="shared" ref="E10:E11" si="0">C10*1000/(8760*$C$6*0.9)</f>
        <v>0.73929115025005454</v>
      </c>
    </row>
    <row r="11" spans="1:7" x14ac:dyDescent="0.3">
      <c r="B11" t="s">
        <v>321</v>
      </c>
      <c r="C11">
        <f>C9*C15</f>
        <v>36</v>
      </c>
      <c r="D11" t="s">
        <v>290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293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321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5"/>
  <sheetViews>
    <sheetView workbookViewId="0">
      <selection activeCell="L21" sqref="L21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292</v>
      </c>
      <c r="J1" s="12" t="s">
        <v>299</v>
      </c>
    </row>
    <row r="2" spans="1:18" x14ac:dyDescent="0.3">
      <c r="G2" t="s">
        <v>183</v>
      </c>
    </row>
    <row r="3" spans="1:18" x14ac:dyDescent="0.3">
      <c r="B3" s="2">
        <v>2017</v>
      </c>
      <c r="C3" s="18">
        <v>2025</v>
      </c>
      <c r="D3" s="18"/>
      <c r="E3" s="27">
        <v>2040</v>
      </c>
      <c r="F3" s="27"/>
      <c r="G3" t="s">
        <v>297</v>
      </c>
      <c r="H3" t="s">
        <v>298</v>
      </c>
      <c r="Q3" s="17"/>
      <c r="R3" s="17"/>
    </row>
    <row r="4" spans="1:18" x14ac:dyDescent="0.3">
      <c r="B4" s="2" t="s">
        <v>187</v>
      </c>
      <c r="C4" s="2" t="s">
        <v>175</v>
      </c>
      <c r="D4" s="2" t="s">
        <v>176</v>
      </c>
      <c r="E4" s="2" t="s">
        <v>175</v>
      </c>
      <c r="F4" s="2" t="s">
        <v>176</v>
      </c>
      <c r="Q4" s="17"/>
      <c r="R4" s="17"/>
    </row>
    <row r="5" spans="1:18" x14ac:dyDescent="0.3">
      <c r="A5" s="2" t="s">
        <v>174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177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178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179</v>
      </c>
      <c r="B11" s="2">
        <v>2017</v>
      </c>
      <c r="C11" s="2">
        <v>2025</v>
      </c>
      <c r="D11" s="2">
        <v>2050</v>
      </c>
      <c r="E11" s="2">
        <v>2100</v>
      </c>
      <c r="H11" t="s">
        <v>295</v>
      </c>
      <c r="I11" t="s">
        <v>296</v>
      </c>
    </row>
    <row r="12" spans="1:18" x14ac:dyDescent="0.3">
      <c r="A12" s="2" t="s">
        <v>174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180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181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182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189</v>
      </c>
    </row>
    <row r="18" spans="1:4" x14ac:dyDescent="0.3">
      <c r="A18" t="s">
        <v>186</v>
      </c>
      <c r="B18">
        <v>1307</v>
      </c>
      <c r="C18">
        <v>15.19</v>
      </c>
      <c r="D18">
        <v>0</v>
      </c>
    </row>
    <row r="20" spans="1:4" x14ac:dyDescent="0.3">
      <c r="A20" t="s">
        <v>180</v>
      </c>
      <c r="B20">
        <v>1319</v>
      </c>
      <c r="C20">
        <v>26.22</v>
      </c>
      <c r="D20">
        <v>0</v>
      </c>
    </row>
    <row r="21" spans="1:4" x14ac:dyDescent="0.3">
      <c r="A21" t="s">
        <v>188</v>
      </c>
      <c r="B21">
        <v>5446</v>
      </c>
      <c r="C21">
        <v>109.54</v>
      </c>
      <c r="D21">
        <v>0</v>
      </c>
    </row>
    <row r="23" spans="1:4" x14ac:dyDescent="0.3">
      <c r="A23" t="s">
        <v>300</v>
      </c>
      <c r="B23">
        <v>2019</v>
      </c>
      <c r="C23">
        <v>2050</v>
      </c>
    </row>
    <row r="24" spans="1:4" x14ac:dyDescent="0.3">
      <c r="A24" t="s">
        <v>180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301</v>
      </c>
      <c r="B25">
        <v>5446</v>
      </c>
      <c r="C25">
        <v>2369</v>
      </c>
      <c r="D25">
        <f>C25/B25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0"/>
  <sheetViews>
    <sheetView workbookViewId="0">
      <selection activeCell="I11" sqref="I11"/>
    </sheetView>
  </sheetViews>
  <sheetFormatPr defaultRowHeight="14.4" x14ac:dyDescent="0.3"/>
  <sheetData>
    <row r="1" spans="1:15" x14ac:dyDescent="0.3">
      <c r="A1" t="s">
        <v>195</v>
      </c>
      <c r="B1" t="s">
        <v>124</v>
      </c>
      <c r="F1" s="12" t="s">
        <v>294</v>
      </c>
    </row>
    <row r="2" spans="1:15" x14ac:dyDescent="0.3">
      <c r="A2">
        <v>2030</v>
      </c>
      <c r="B2">
        <v>4000</v>
      </c>
      <c r="C2" t="s">
        <v>287</v>
      </c>
    </row>
    <row r="3" spans="1:15" x14ac:dyDescent="0.3">
      <c r="A3">
        <v>2035</v>
      </c>
      <c r="B3">
        <v>3000</v>
      </c>
    </row>
    <row r="5" spans="1:15" x14ac:dyDescent="0.3">
      <c r="A5" t="s">
        <v>36</v>
      </c>
      <c r="B5">
        <v>10</v>
      </c>
      <c r="C5" t="s">
        <v>145</v>
      </c>
    </row>
    <row r="7" spans="1:15" x14ac:dyDescent="0.3">
      <c r="A7" t="s">
        <v>172</v>
      </c>
      <c r="B7">
        <v>190</v>
      </c>
      <c r="C7" t="s">
        <v>290</v>
      </c>
      <c r="D7">
        <f>B7*1000/(8760*$B$5*0.9)</f>
        <v>2.4099441907661086</v>
      </c>
      <c r="E7" t="s">
        <v>119</v>
      </c>
      <c r="F7">
        <v>2020</v>
      </c>
      <c r="I7" t="s">
        <v>24</v>
      </c>
    </row>
    <row r="8" spans="1:15" x14ac:dyDescent="0.3">
      <c r="B8">
        <f>B7*K9</f>
        <v>129.20000000000002</v>
      </c>
      <c r="D8">
        <f t="shared" ref="D8:D9" si="0">B8*1000/(8760*$B$5*0.9)</f>
        <v>1.6387620497209541</v>
      </c>
      <c r="F8">
        <v>2030</v>
      </c>
      <c r="I8">
        <v>2010</v>
      </c>
      <c r="J8">
        <v>25</v>
      </c>
      <c r="O8" s="12" t="s">
        <v>293</v>
      </c>
    </row>
    <row r="9" spans="1:15" x14ac:dyDescent="0.3">
      <c r="B9">
        <f>B7*K10</f>
        <v>114</v>
      </c>
      <c r="D9">
        <f t="shared" si="0"/>
        <v>1.4459665144596652</v>
      </c>
      <c r="F9">
        <v>2030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18"/>
  <sheetViews>
    <sheetView workbookViewId="0">
      <selection activeCell="H33" sqref="H33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  <c r="I4" s="16">
        <v>9.2902999999999995E-8</v>
      </c>
      <c r="J4" t="s">
        <v>273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271</v>
      </c>
      <c r="B6">
        <f>1.5/20</f>
        <v>7.4999999999999997E-2</v>
      </c>
      <c r="C6" t="s">
        <v>284</v>
      </c>
      <c r="D6" s="16">
        <f>B6*I3*1000</f>
        <v>0.30351450000000002</v>
      </c>
      <c r="E6" t="s">
        <v>274</v>
      </c>
      <c r="G6" s="12" t="s">
        <v>285</v>
      </c>
    </row>
    <row r="7" spans="1:10" x14ac:dyDescent="0.3">
      <c r="B7">
        <v>0.04</v>
      </c>
      <c r="C7" t="s">
        <v>284</v>
      </c>
      <c r="D7" s="16">
        <f>B7*I3*1000</f>
        <v>0.1618744</v>
      </c>
      <c r="E7" t="s">
        <v>274</v>
      </c>
      <c r="G7" s="12" t="s">
        <v>286</v>
      </c>
    </row>
    <row r="8" spans="1:10" x14ac:dyDescent="0.3">
      <c r="B8">
        <f>76800/60</f>
        <v>1280</v>
      </c>
      <c r="C8" t="s">
        <v>272</v>
      </c>
      <c r="D8" s="16">
        <f>B8*I4*1000</f>
        <v>0.11891583999999998</v>
      </c>
      <c r="E8" t="s">
        <v>274</v>
      </c>
      <c r="G8" s="12" t="s">
        <v>279</v>
      </c>
    </row>
    <row r="9" spans="1:10" x14ac:dyDescent="0.3">
      <c r="A9" t="s">
        <v>270</v>
      </c>
      <c r="B9">
        <f>D9*B2/100</f>
        <v>7530</v>
      </c>
      <c r="D9">
        <v>3</v>
      </c>
      <c r="E9" t="s">
        <v>258</v>
      </c>
    </row>
    <row r="10" spans="1:10" x14ac:dyDescent="0.3">
      <c r="A10" t="s">
        <v>266</v>
      </c>
      <c r="B10" s="16">
        <f>B9/D6</f>
        <v>24809.358366733712</v>
      </c>
      <c r="C10" t="s">
        <v>139</v>
      </c>
    </row>
    <row r="12" spans="1:10" x14ac:dyDescent="0.3">
      <c r="A12" t="s">
        <v>4</v>
      </c>
      <c r="B12">
        <v>0.86</v>
      </c>
    </row>
    <row r="13" spans="1:10" x14ac:dyDescent="0.3">
      <c r="A13" t="s">
        <v>275</v>
      </c>
      <c r="B13">
        <v>0.8</v>
      </c>
    </row>
    <row r="14" spans="1:10" x14ac:dyDescent="0.3">
      <c r="A14" t="s">
        <v>276</v>
      </c>
      <c r="B14">
        <f>B13*B12</f>
        <v>0.68800000000000006</v>
      </c>
    </row>
    <row r="15" spans="1:10" x14ac:dyDescent="0.3">
      <c r="A15" t="s">
        <v>277</v>
      </c>
      <c r="B15">
        <f>3500/(10*365.25)</f>
        <v>0.95824777549623541</v>
      </c>
      <c r="C15" t="s">
        <v>278</v>
      </c>
      <c r="H15" s="12" t="s">
        <v>280</v>
      </c>
    </row>
    <row r="17" spans="1:4" x14ac:dyDescent="0.3">
      <c r="A17" t="s">
        <v>281</v>
      </c>
      <c r="B17">
        <v>4</v>
      </c>
      <c r="D17" s="12" t="s">
        <v>280</v>
      </c>
    </row>
    <row r="18" spans="1:4" x14ac:dyDescent="0.3">
      <c r="A18" t="s">
        <v>282</v>
      </c>
      <c r="B18">
        <f>4/24</f>
        <v>0.16666666666666666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3"/>
  <sheetViews>
    <sheetView workbookViewId="0">
      <selection activeCell="B18" sqref="B18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244</v>
      </c>
      <c r="B1">
        <v>377970</v>
      </c>
      <c r="C1" t="s">
        <v>245</v>
      </c>
    </row>
    <row r="2" spans="1:10" x14ac:dyDescent="0.3">
      <c r="A2" t="s">
        <v>246</v>
      </c>
      <c r="B2">
        <v>251000</v>
      </c>
      <c r="C2" t="s">
        <v>245</v>
      </c>
    </row>
    <row r="3" spans="1:10" x14ac:dyDescent="0.3">
      <c r="A3" t="s">
        <v>247</v>
      </c>
      <c r="B3">
        <v>7.5</v>
      </c>
      <c r="C3" t="s">
        <v>248</v>
      </c>
      <c r="I3">
        <v>4.0468600000000002E-3</v>
      </c>
      <c r="J3" t="s">
        <v>249</v>
      </c>
    </row>
    <row r="4" spans="1:10" x14ac:dyDescent="0.3">
      <c r="B4">
        <f>B3*I3*1000</f>
        <v>30.351450000000003</v>
      </c>
      <c r="C4" t="s">
        <v>250</v>
      </c>
    </row>
    <row r="5" spans="1:10" x14ac:dyDescent="0.3">
      <c r="A5" t="s">
        <v>251</v>
      </c>
      <c r="B5">
        <f>300*B4</f>
        <v>9105.4350000000013</v>
      </c>
      <c r="C5" t="s">
        <v>245</v>
      </c>
      <c r="D5">
        <f>B5*100/B2</f>
        <v>3.6276633466135464</v>
      </c>
      <c r="E5" t="s">
        <v>258</v>
      </c>
    </row>
    <row r="6" spans="1:10" x14ac:dyDescent="0.3">
      <c r="A6" t="s">
        <v>261</v>
      </c>
      <c r="B6">
        <f>D6*B2/100</f>
        <v>12550</v>
      </c>
      <c r="D6">
        <v>5</v>
      </c>
      <c r="E6" t="s">
        <v>258</v>
      </c>
    </row>
    <row r="8" spans="1:10" x14ac:dyDescent="0.3">
      <c r="A8" t="s">
        <v>263</v>
      </c>
      <c r="B8">
        <v>0.28999999999999998</v>
      </c>
    </row>
    <row r="9" spans="1:10" x14ac:dyDescent="0.3">
      <c r="A9" t="s">
        <v>176</v>
      </c>
      <c r="B9">
        <v>0.9</v>
      </c>
    </row>
    <row r="10" spans="1:10" x14ac:dyDescent="0.3">
      <c r="A10" t="s">
        <v>36</v>
      </c>
      <c r="B10">
        <v>20</v>
      </c>
      <c r="C10" t="s">
        <v>145</v>
      </c>
    </row>
    <row r="11" spans="1:10" x14ac:dyDescent="0.3">
      <c r="A11" t="s">
        <v>252</v>
      </c>
      <c r="B11">
        <v>1000</v>
      </c>
      <c r="C11" t="s">
        <v>253</v>
      </c>
      <c r="D11">
        <f>365.25*B11*B9*B8</f>
        <v>95330.25</v>
      </c>
      <c r="E11" t="s">
        <v>254</v>
      </c>
      <c r="F11">
        <f>D11*B10</f>
        <v>1906605</v>
      </c>
      <c r="G11" t="s">
        <v>255</v>
      </c>
    </row>
    <row r="12" spans="1:10" x14ac:dyDescent="0.3">
      <c r="B12">
        <f>30*D11/1000000</f>
        <v>2.8599074999999998</v>
      </c>
      <c r="C12" t="s">
        <v>264</v>
      </c>
      <c r="D12">
        <f>B12*B10</f>
        <v>57.198149999999998</v>
      </c>
      <c r="E12" t="s">
        <v>265</v>
      </c>
    </row>
    <row r="13" spans="1:10" x14ac:dyDescent="0.3">
      <c r="A13" t="s">
        <v>256</v>
      </c>
      <c r="B13">
        <f>222881/1000000</f>
        <v>0.222881</v>
      </c>
      <c r="C13" t="s">
        <v>257</v>
      </c>
    </row>
    <row r="14" spans="1:10" x14ac:dyDescent="0.3">
      <c r="A14" t="s">
        <v>259</v>
      </c>
      <c r="B14">
        <f>B12/8760</f>
        <v>3.2647345890410957E-4</v>
      </c>
      <c r="C14" t="s">
        <v>139</v>
      </c>
    </row>
    <row r="15" spans="1:10" x14ac:dyDescent="0.3">
      <c r="A15" t="s">
        <v>260</v>
      </c>
      <c r="B15">
        <f>B13/B14</f>
        <v>682.69255561587227</v>
      </c>
      <c r="C15" t="s">
        <v>250</v>
      </c>
    </row>
    <row r="16" spans="1:10" x14ac:dyDescent="0.3">
      <c r="A16" t="s">
        <v>266</v>
      </c>
      <c r="B16">
        <f>B6/B15</f>
        <v>18.383091915625716</v>
      </c>
      <c r="C16" t="s">
        <v>139</v>
      </c>
    </row>
    <row r="17" spans="1:7" x14ac:dyDescent="0.3">
      <c r="A17" t="s">
        <v>87</v>
      </c>
      <c r="B17">
        <f>4.291722</f>
        <v>4.291722</v>
      </c>
      <c r="C17" t="s">
        <v>52</v>
      </c>
    </row>
    <row r="18" spans="1:7" x14ac:dyDescent="0.3">
      <c r="A18" t="s">
        <v>124</v>
      </c>
      <c r="B18">
        <f>B17/B14</f>
        <v>13145.699544478275</v>
      </c>
      <c r="C18" t="s">
        <v>140</v>
      </c>
    </row>
    <row r="19" spans="1:7" x14ac:dyDescent="0.3">
      <c r="A19" t="s">
        <v>262</v>
      </c>
      <c r="B19">
        <f>(B17*1000000)/F11</f>
        <v>2.2509759493969645</v>
      </c>
      <c r="C19" t="s">
        <v>113</v>
      </c>
      <c r="E19" t="s">
        <v>267</v>
      </c>
      <c r="F19">
        <v>3</v>
      </c>
      <c r="G19" t="s">
        <v>268</v>
      </c>
    </row>
    <row r="20" spans="1:7" x14ac:dyDescent="0.3">
      <c r="A20" t="s">
        <v>156</v>
      </c>
      <c r="B20">
        <f>F11*F20/(1000000*B10)</f>
        <v>9.5330250000000005E-2</v>
      </c>
      <c r="C20" t="s">
        <v>269</v>
      </c>
      <c r="E20" t="s">
        <v>267</v>
      </c>
      <c r="F20">
        <v>1</v>
      </c>
      <c r="G20" t="s">
        <v>268</v>
      </c>
    </row>
    <row r="22" spans="1:7" x14ac:dyDescent="0.3">
      <c r="A22" s="12" t="s">
        <v>283</v>
      </c>
    </row>
    <row r="23" spans="1:7" x14ac:dyDescent="0.3">
      <c r="B23" s="12"/>
    </row>
  </sheetData>
  <hyperlinks>
    <hyperlink ref="A22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196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199</v>
      </c>
      <c r="D2" s="8"/>
      <c r="E2" s="8"/>
    </row>
    <row r="3" spans="1:16" x14ac:dyDescent="0.3">
      <c r="C3" t="s">
        <v>176</v>
      </c>
      <c r="J3" s="27" t="s">
        <v>204</v>
      </c>
      <c r="K3" s="27"/>
      <c r="L3" s="27"/>
      <c r="M3" s="27"/>
      <c r="N3" s="27"/>
      <c r="O3" s="27"/>
      <c r="P3" s="27"/>
    </row>
    <row r="4" spans="1:16" x14ac:dyDescent="0.3">
      <c r="A4" t="s">
        <v>214</v>
      </c>
      <c r="B4">
        <v>0.18</v>
      </c>
      <c r="C4">
        <f>0.55/(1+B4)</f>
        <v>0.46610169491525427</v>
      </c>
      <c r="J4" s="2" t="s">
        <v>4</v>
      </c>
      <c r="K4" s="2" t="s">
        <v>223</v>
      </c>
      <c r="L4" s="2" t="s">
        <v>221</v>
      </c>
      <c r="M4" s="2" t="s">
        <v>239</v>
      </c>
      <c r="N4" s="2" t="s">
        <v>224</v>
      </c>
      <c r="O4" s="2" t="s">
        <v>207</v>
      </c>
      <c r="P4" s="2" t="s">
        <v>208</v>
      </c>
    </row>
    <row r="5" spans="1:16" x14ac:dyDescent="0.3">
      <c r="B5" t="s">
        <v>62</v>
      </c>
      <c r="C5" t="s">
        <v>201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198</v>
      </c>
      <c r="B6">
        <v>0.18</v>
      </c>
      <c r="C6">
        <v>0.25</v>
      </c>
      <c r="E6" t="s">
        <v>215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219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220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229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217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218</v>
      </c>
      <c r="B13">
        <f>1/B36</f>
        <v>2500</v>
      </c>
      <c r="C13">
        <f>1/B35</f>
        <v>1061.5711252653928</v>
      </c>
      <c r="E13" t="s">
        <v>216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222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207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236</v>
      </c>
      <c r="C17" t="s">
        <v>237</v>
      </c>
      <c r="J17" s="27" t="s">
        <v>209</v>
      </c>
      <c r="K17" s="27"/>
      <c r="L17" s="27"/>
      <c r="M17" s="27"/>
      <c r="N17" s="27"/>
      <c r="O17" s="27"/>
      <c r="P17" s="27"/>
    </row>
    <row r="18" spans="1:16" x14ac:dyDescent="0.3">
      <c r="A18" s="2" t="s">
        <v>197</v>
      </c>
      <c r="B18">
        <v>75</v>
      </c>
      <c r="C18">
        <v>41</v>
      </c>
      <c r="D18" t="s">
        <v>15</v>
      </c>
      <c r="E18" t="s">
        <v>205</v>
      </c>
      <c r="J18" s="2" t="s">
        <v>4</v>
      </c>
      <c r="K18" s="2" t="s">
        <v>206</v>
      </c>
      <c r="L18" s="2" t="s">
        <v>221</v>
      </c>
      <c r="M18" s="2" t="s">
        <v>224</v>
      </c>
      <c r="N18" s="2" t="s">
        <v>207</v>
      </c>
      <c r="O18" s="2" t="s">
        <v>239</v>
      </c>
      <c r="P18" s="2" t="s">
        <v>208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238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200</v>
      </c>
      <c r="B28" s="2" t="s">
        <v>124</v>
      </c>
      <c r="C28" s="2" t="s">
        <v>156</v>
      </c>
      <c r="D28" s="2" t="s">
        <v>202</v>
      </c>
      <c r="E28" s="2" t="s">
        <v>226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201</v>
      </c>
      <c r="B29" s="20">
        <v>4091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62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225</v>
      </c>
      <c r="B31" s="20">
        <v>764</v>
      </c>
      <c r="C31" s="20">
        <v>4</v>
      </c>
      <c r="D31" s="20">
        <v>2.6473008613171967E-2</v>
      </c>
      <c r="E31">
        <v>0.7</v>
      </c>
      <c r="J31" s="27" t="s">
        <v>210</v>
      </c>
      <c r="K31" s="27"/>
      <c r="L31" s="27"/>
      <c r="M31" s="27"/>
      <c r="N31" s="27"/>
      <c r="O31" s="27"/>
      <c r="P31" s="27"/>
    </row>
    <row r="32" spans="1:16" x14ac:dyDescent="0.3">
      <c r="A32" s="2" t="s">
        <v>228</v>
      </c>
      <c r="B32" s="2">
        <f>2*B31</f>
        <v>1528</v>
      </c>
      <c r="C32" s="21">
        <v>4</v>
      </c>
      <c r="J32" s="2" t="s">
        <v>4</v>
      </c>
      <c r="K32" s="2" t="s">
        <v>206</v>
      </c>
      <c r="L32" s="2" t="s">
        <v>221</v>
      </c>
      <c r="M32" s="2"/>
      <c r="N32" s="2" t="s">
        <v>227</v>
      </c>
      <c r="O32" s="2" t="s">
        <v>239</v>
      </c>
      <c r="P32" s="2" t="s">
        <v>208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203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201</v>
      </c>
      <c r="B35" s="21">
        <f>942/1000000</f>
        <v>9.4200000000000002E-4</v>
      </c>
      <c r="C35" t="s">
        <v>63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62</v>
      </c>
      <c r="B36" s="21">
        <f>400/1000000</f>
        <v>4.0000000000000002E-4</v>
      </c>
      <c r="C36" t="s">
        <v>63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115</v>
      </c>
      <c r="B37" s="21">
        <f>313/1000000</f>
        <v>3.1300000000000002E-4</v>
      </c>
      <c r="C37" t="s">
        <v>63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190</v>
      </c>
      <c r="B1" s="2" t="s">
        <v>195</v>
      </c>
      <c r="C1" s="2" t="s">
        <v>192</v>
      </c>
      <c r="D1" s="2" t="s">
        <v>193</v>
      </c>
      <c r="E1" s="2" t="s">
        <v>194</v>
      </c>
    </row>
    <row r="2" spans="1:5" x14ac:dyDescent="0.3">
      <c r="A2" t="s">
        <v>191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64</v>
      </c>
      <c r="I2" t="s">
        <v>29</v>
      </c>
      <c r="K2">
        <f>1/110</f>
        <v>9.0909090909090905E-3</v>
      </c>
      <c r="L2" t="s">
        <v>84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65</v>
      </c>
      <c r="K4">
        <f>G3*I4</f>
        <v>1395.7449839999999</v>
      </c>
      <c r="L4" t="s">
        <v>67</v>
      </c>
      <c r="M4">
        <f>G4*G3</f>
        <v>33.335999999999999</v>
      </c>
      <c r="N4" t="s">
        <v>3</v>
      </c>
    </row>
    <row r="5" spans="1:16" x14ac:dyDescent="0.3">
      <c r="E5" t="s">
        <v>76</v>
      </c>
      <c r="G5">
        <v>9.31</v>
      </c>
      <c r="H5" t="s">
        <v>77</v>
      </c>
      <c r="I5">
        <f>G5/M4</f>
        <v>0.27927765778737701</v>
      </c>
      <c r="J5" t="s">
        <v>78</v>
      </c>
    </row>
    <row r="7" spans="1:16" x14ac:dyDescent="0.3">
      <c r="A7" s="2" t="s">
        <v>36</v>
      </c>
      <c r="B7" t="s">
        <v>103</v>
      </c>
      <c r="C7" s="12" t="s">
        <v>102</v>
      </c>
      <c r="K7" s="1" t="s">
        <v>79</v>
      </c>
      <c r="L7" s="11"/>
      <c r="O7" s="1"/>
    </row>
    <row r="8" spans="1:16" x14ac:dyDescent="0.3">
      <c r="K8" t="s">
        <v>80</v>
      </c>
      <c r="L8" s="11">
        <v>1538396</v>
      </c>
      <c r="M8" t="s">
        <v>68</v>
      </c>
      <c r="N8" s="11">
        <f>G2*L8</f>
        <v>64411102.123999998</v>
      </c>
      <c r="O8" t="s">
        <v>69</v>
      </c>
    </row>
    <row r="9" spans="1:16" x14ac:dyDescent="0.3">
      <c r="A9" s="2" t="s">
        <v>75</v>
      </c>
      <c r="B9">
        <f>186*1000000</f>
        <v>186000000</v>
      </c>
      <c r="C9" t="s">
        <v>88</v>
      </c>
      <c r="K9" t="s">
        <v>70</v>
      </c>
      <c r="L9" s="11">
        <v>1141251</v>
      </c>
      <c r="M9" t="s">
        <v>74</v>
      </c>
      <c r="P9" s="10"/>
    </row>
    <row r="10" spans="1:16" x14ac:dyDescent="0.3">
      <c r="B10">
        <f>B9*K2</f>
        <v>1690909.0909090908</v>
      </c>
      <c r="C10" t="s">
        <v>85</v>
      </c>
      <c r="D10">
        <f>B10/L11</f>
        <v>0.41378551295067767</v>
      </c>
      <c r="E10" t="s">
        <v>91</v>
      </c>
      <c r="F10">
        <f>B10/N11</f>
        <v>3624.7610934479362</v>
      </c>
      <c r="G10" t="s">
        <v>92</v>
      </c>
      <c r="J10" s="28" t="s">
        <v>81</v>
      </c>
      <c r="K10" s="28"/>
      <c r="L10" s="11">
        <f>L9/G5</f>
        <v>122583.35123523093</v>
      </c>
      <c r="M10" t="s">
        <v>73</v>
      </c>
    </row>
    <row r="11" spans="1:16" x14ac:dyDescent="0.3">
      <c r="J11" s="28" t="s">
        <v>82</v>
      </c>
      <c r="K11" s="28"/>
      <c r="L11" s="11">
        <f>M4*L10</f>
        <v>4086438.5967776584</v>
      </c>
      <c r="M11" t="s">
        <v>74</v>
      </c>
      <c r="N11" s="11">
        <f>L11/8760</f>
        <v>466.48842428968703</v>
      </c>
      <c r="O11" t="s">
        <v>89</v>
      </c>
    </row>
    <row r="12" spans="1:16" x14ac:dyDescent="0.3">
      <c r="A12" s="2" t="s">
        <v>97</v>
      </c>
      <c r="H12" t="s">
        <v>116</v>
      </c>
      <c r="K12" t="s">
        <v>108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73</v>
      </c>
      <c r="D13" s="11">
        <f>114*B13</f>
        <v>50375460</v>
      </c>
      <c r="E13" t="s">
        <v>83</v>
      </c>
      <c r="F13" s="11">
        <f>D13*$K$2</f>
        <v>457958.72727272724</v>
      </c>
      <c r="G13" t="s">
        <v>85</v>
      </c>
      <c r="H13" s="11">
        <f>B13*53*G3</f>
        <v>6506123.2259999998</v>
      </c>
      <c r="L13" s="11"/>
    </row>
    <row r="14" spans="1:16" x14ac:dyDescent="0.3">
      <c r="A14" t="s">
        <v>71</v>
      </c>
      <c r="B14">
        <v>3428000</v>
      </c>
      <c r="C14" t="s">
        <v>73</v>
      </c>
      <c r="D14" s="11">
        <f>300*B14</f>
        <v>1028400000</v>
      </c>
      <c r="E14" t="s">
        <v>83</v>
      </c>
      <c r="F14" s="11">
        <f>D14*$K$2</f>
        <v>9349090.9090909082</v>
      </c>
      <c r="G14" t="s">
        <v>85</v>
      </c>
    </row>
    <row r="15" spans="1:16" x14ac:dyDescent="0.3">
      <c r="A15" t="s">
        <v>72</v>
      </c>
      <c r="B15">
        <v>1714000</v>
      </c>
      <c r="C15" t="s">
        <v>73</v>
      </c>
      <c r="D15" s="11">
        <f>B15*200</f>
        <v>342800000</v>
      </c>
      <c r="E15" t="s">
        <v>83</v>
      </c>
      <c r="F15" s="11">
        <f>D15*$K$2</f>
        <v>3116363.6363636362</v>
      </c>
      <c r="G15" t="s">
        <v>85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85</v>
      </c>
    </row>
    <row r="17" spans="1:10" x14ac:dyDescent="0.3">
      <c r="A17" t="s">
        <v>87</v>
      </c>
      <c r="B17">
        <f>F16/L11</f>
        <v>3.1625125317967502</v>
      </c>
      <c r="C17" t="s">
        <v>86</v>
      </c>
      <c r="D17" s="3"/>
    </row>
    <row r="19" spans="1:10" x14ac:dyDescent="0.3">
      <c r="A19" s="2" t="s">
        <v>98</v>
      </c>
    </row>
    <row r="20" spans="1:10" x14ac:dyDescent="0.3">
      <c r="A20" t="s">
        <v>99</v>
      </c>
      <c r="B20">
        <f>7000000*1.5</f>
        <v>10500000</v>
      </c>
      <c r="C20" t="s">
        <v>100</v>
      </c>
    </row>
    <row r="21" spans="1:10" x14ac:dyDescent="0.3">
      <c r="A21" t="s">
        <v>101</v>
      </c>
      <c r="B21">
        <f>0.03*B9/20</f>
        <v>279000</v>
      </c>
      <c r="C21" t="s">
        <v>100</v>
      </c>
      <c r="D21" s="3"/>
    </row>
    <row r="22" spans="1:10" x14ac:dyDescent="0.3">
      <c r="A22" t="s">
        <v>104</v>
      </c>
      <c r="B22">
        <f>0.0077*0.55*B9/20</f>
        <v>39385.5</v>
      </c>
      <c r="C22" t="s">
        <v>100</v>
      </c>
    </row>
    <row r="23" spans="1:10" x14ac:dyDescent="0.3">
      <c r="A23" t="s">
        <v>105</v>
      </c>
      <c r="B23">
        <f>0.014*0.55*B9/20</f>
        <v>71610.000000000015</v>
      </c>
      <c r="C23" t="s">
        <v>100</v>
      </c>
      <c r="G23" t="s">
        <v>110</v>
      </c>
      <c r="I23" t="s">
        <v>109</v>
      </c>
    </row>
    <row r="24" spans="1:10" x14ac:dyDescent="0.3">
      <c r="A24" t="s">
        <v>17</v>
      </c>
      <c r="B24">
        <f>SUM(B20:B23)</f>
        <v>10889995.5</v>
      </c>
      <c r="C24" t="s">
        <v>100</v>
      </c>
      <c r="D24">
        <f>B24*K2</f>
        <v>98999.959090909091</v>
      </c>
      <c r="E24" t="s">
        <v>106</v>
      </c>
      <c r="G24">
        <v>1690909.0909090908</v>
      </c>
      <c r="I24">
        <f>4086438.59677766*20</f>
        <v>81728771.935553193</v>
      </c>
      <c r="J24" t="s">
        <v>74</v>
      </c>
    </row>
    <row r="25" spans="1:10" x14ac:dyDescent="0.3">
      <c r="A25" t="s">
        <v>107</v>
      </c>
      <c r="D25">
        <f>D24/N11</f>
        <v>212.22382793668336</v>
      </c>
      <c r="E25" t="s">
        <v>92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90</v>
      </c>
    </row>
    <row r="29" spans="1:10" x14ac:dyDescent="0.3">
      <c r="A29" t="s">
        <v>93</v>
      </c>
      <c r="B29">
        <v>133</v>
      </c>
      <c r="C29" t="s">
        <v>96</v>
      </c>
      <c r="D29" s="8">
        <f>B29/1000000</f>
        <v>1.3300000000000001E-4</v>
      </c>
      <c r="E29" t="s">
        <v>63</v>
      </c>
    </row>
    <row r="30" spans="1:10" x14ac:dyDescent="0.3">
      <c r="A30" t="s">
        <v>94</v>
      </c>
      <c r="B30" s="12" t="s">
        <v>95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76</v>
      </c>
      <c r="C1">
        <v>9.31</v>
      </c>
      <c r="D1" t="s">
        <v>3</v>
      </c>
      <c r="E1" t="s">
        <v>111</v>
      </c>
    </row>
    <row r="2" spans="1:5" x14ac:dyDescent="0.3">
      <c r="A2" t="s">
        <v>112</v>
      </c>
      <c r="C2">
        <v>1.5</v>
      </c>
      <c r="D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E22" sqref="E22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59</v>
      </c>
      <c r="F4" s="2" t="s">
        <v>58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60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61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P40" sqref="P40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114</v>
      </c>
      <c r="I1" s="9">
        <v>0.27779999999999999</v>
      </c>
      <c r="J1" s="2" t="s">
        <v>66</v>
      </c>
    </row>
    <row r="2" spans="1:10" x14ac:dyDescent="0.3">
      <c r="A2" t="s">
        <v>115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117</v>
      </c>
      <c r="B4">
        <v>87</v>
      </c>
      <c r="C4" t="s">
        <v>118</v>
      </c>
      <c r="D4" s="3">
        <f>B4/I1</f>
        <v>313.17494600431968</v>
      </c>
      <c r="E4" t="s">
        <v>119</v>
      </c>
    </row>
    <row r="8" spans="1:10" x14ac:dyDescent="0.3">
      <c r="A8" t="s">
        <v>120</v>
      </c>
    </row>
    <row r="9" spans="1:10" x14ac:dyDescent="0.3">
      <c r="A9" t="s">
        <v>4</v>
      </c>
      <c r="B9">
        <v>0.6</v>
      </c>
    </row>
    <row r="18" spans="1:5" x14ac:dyDescent="0.3">
      <c r="A18" t="s">
        <v>93</v>
      </c>
      <c r="B18" s="3">
        <v>133</v>
      </c>
      <c r="C18" t="s">
        <v>96</v>
      </c>
      <c r="D18" s="8">
        <f>B18/1000000</f>
        <v>1.3300000000000001E-4</v>
      </c>
      <c r="E18" t="s">
        <v>63</v>
      </c>
    </row>
    <row r="19" spans="1:5" x14ac:dyDescent="0.3">
      <c r="A19" t="s">
        <v>94</v>
      </c>
      <c r="B19" s="12" t="s">
        <v>95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M46" sqref="M46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(C3*C2)-I2</f>
        <v>29.436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0.31627938578611225</v>
      </c>
      <c r="F4" t="s">
        <v>78</v>
      </c>
    </row>
    <row r="6" spans="1:10" x14ac:dyDescent="0.3">
      <c r="A6" t="s">
        <v>240</v>
      </c>
      <c r="B6">
        <v>44.1</v>
      </c>
      <c r="C6" t="s">
        <v>133</v>
      </c>
    </row>
    <row r="7" spans="1:10" x14ac:dyDescent="0.3">
      <c r="A7" t="s">
        <v>110</v>
      </c>
      <c r="B7">
        <f>(133815+(B21*70004))*1000</f>
        <v>2233935000</v>
      </c>
      <c r="C7" t="s">
        <v>148</v>
      </c>
    </row>
    <row r="8" spans="1:10" x14ac:dyDescent="0.3">
      <c r="A8" t="s">
        <v>241</v>
      </c>
      <c r="B8">
        <f>B7/B6</f>
        <v>50656122.448979594</v>
      </c>
      <c r="C8" t="s">
        <v>146</v>
      </c>
    </row>
    <row r="9" spans="1:10" x14ac:dyDescent="0.3">
      <c r="A9" t="s">
        <v>242</v>
      </c>
      <c r="B9">
        <f>B8/(B21*1000)</f>
        <v>1688.5374149659865</v>
      </c>
      <c r="C9" t="s">
        <v>123</v>
      </c>
    </row>
    <row r="10" spans="1:10" x14ac:dyDescent="0.3">
      <c r="A10" t="s">
        <v>243</v>
      </c>
      <c r="B10">
        <f>B9/8760</f>
        <v>0.19275541266735005</v>
      </c>
      <c r="C10" t="s">
        <v>139</v>
      </c>
    </row>
    <row r="12" spans="1:10" x14ac:dyDescent="0.3">
      <c r="A12" t="s">
        <v>121</v>
      </c>
      <c r="B12">
        <v>2.5</v>
      </c>
      <c r="C12" t="s">
        <v>122</v>
      </c>
      <c r="D12">
        <f>B12*(365*24*60*60)</f>
        <v>78840000</v>
      </c>
      <c r="E12" t="s">
        <v>69</v>
      </c>
      <c r="F12">
        <v>1688.5374149659865</v>
      </c>
      <c r="G12" t="s">
        <v>123</v>
      </c>
      <c r="I12">
        <v>0.19275541266735</v>
      </c>
      <c r="J12" t="s">
        <v>139</v>
      </c>
    </row>
    <row r="13" spans="1:10" x14ac:dyDescent="0.3">
      <c r="A13" t="s">
        <v>211</v>
      </c>
      <c r="B13">
        <v>24</v>
      </c>
      <c r="C13" t="s">
        <v>122</v>
      </c>
      <c r="D13">
        <f>B13*B21*365*24*3600/1000000000</f>
        <v>22.705919999999999</v>
      </c>
    </row>
    <row r="15" spans="1:10" x14ac:dyDescent="0.3">
      <c r="A15" s="2" t="s">
        <v>124</v>
      </c>
      <c r="B15">
        <f>133815/1000</f>
        <v>133.815</v>
      </c>
      <c r="C15" t="s">
        <v>125</v>
      </c>
      <c r="D15">
        <f>B15/I12</f>
        <v>694.22175049855991</v>
      </c>
      <c r="E15" t="s">
        <v>126</v>
      </c>
      <c r="F15" s="15">
        <f>D15*I1</f>
        <v>763.64392554841595</v>
      </c>
      <c r="G15" t="s">
        <v>140</v>
      </c>
    </row>
    <row r="16" spans="1:10" x14ac:dyDescent="0.3">
      <c r="A16" s="25" t="s">
        <v>230</v>
      </c>
      <c r="B16" s="3">
        <f>450*I1</f>
        <v>495.00000000000006</v>
      </c>
      <c r="C16" s="3" t="s">
        <v>140</v>
      </c>
    </row>
    <row r="17" spans="1:11" x14ac:dyDescent="0.3">
      <c r="A17" s="2" t="s">
        <v>231</v>
      </c>
      <c r="B17">
        <f>B16/F15</f>
        <v>0.64820786683337073</v>
      </c>
    </row>
    <row r="18" spans="1:11" x14ac:dyDescent="0.3">
      <c r="A18" s="2" t="s">
        <v>232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233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145</v>
      </c>
    </row>
    <row r="23" spans="1:11" x14ac:dyDescent="0.3">
      <c r="A23" s="2" t="s">
        <v>127</v>
      </c>
      <c r="D23" s="2" t="s">
        <v>132</v>
      </c>
      <c r="F23" s="2" t="s">
        <v>141</v>
      </c>
      <c r="I23" t="s">
        <v>142</v>
      </c>
      <c r="J23" t="s">
        <v>143</v>
      </c>
      <c r="K23" t="s">
        <v>150</v>
      </c>
    </row>
    <row r="24" spans="1:11" x14ac:dyDescent="0.3">
      <c r="A24" t="s">
        <v>128</v>
      </c>
      <c r="B24">
        <f>61753*1000</f>
        <v>61753000</v>
      </c>
      <c r="C24" t="s">
        <v>131</v>
      </c>
      <c r="D24">
        <v>20</v>
      </c>
      <c r="E24" t="s">
        <v>133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129</v>
      </c>
      <c r="B25">
        <v>1064000</v>
      </c>
      <c r="C25" t="s">
        <v>131</v>
      </c>
      <c r="D25">
        <v>30</v>
      </c>
      <c r="E25" t="s">
        <v>133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130</v>
      </c>
      <c r="B27">
        <v>1089000</v>
      </c>
      <c r="C27" t="s">
        <v>131</v>
      </c>
      <c r="D27">
        <f>B27/1000000</f>
        <v>1.089</v>
      </c>
      <c r="E27" t="s">
        <v>137</v>
      </c>
    </row>
    <row r="29" spans="1:11" x14ac:dyDescent="0.3">
      <c r="A29" t="s">
        <v>134</v>
      </c>
      <c r="B29">
        <v>12</v>
      </c>
      <c r="C29" t="s">
        <v>122</v>
      </c>
    </row>
    <row r="30" spans="1:11" x14ac:dyDescent="0.3">
      <c r="B30">
        <f>B29*(365*24*60*60)</f>
        <v>378432000</v>
      </c>
      <c r="C30" t="s">
        <v>69</v>
      </c>
    </row>
    <row r="31" spans="1:11" x14ac:dyDescent="0.3">
      <c r="B31">
        <f>B30*0.3</f>
        <v>113529600</v>
      </c>
      <c r="C31" t="s">
        <v>100</v>
      </c>
      <c r="D31">
        <f>B31*G1/(1000000)</f>
        <v>1.0320872727272727</v>
      </c>
      <c r="E31" t="s">
        <v>135</v>
      </c>
      <c r="F31">
        <f>D31/I1</f>
        <v>0.93826115702479329</v>
      </c>
      <c r="G31" t="s">
        <v>137</v>
      </c>
    </row>
    <row r="33" spans="1:7" x14ac:dyDescent="0.3">
      <c r="A33" s="2" t="s">
        <v>168</v>
      </c>
      <c r="B33">
        <f>(B24/1000000)+F31</f>
        <v>62.69126115702479</v>
      </c>
      <c r="C33" t="s">
        <v>137</v>
      </c>
      <c r="D33">
        <f>B33*I1</f>
        <v>68.960387272727274</v>
      </c>
      <c r="E33" t="s">
        <v>135</v>
      </c>
      <c r="F33" s="15">
        <f>D33/F12</f>
        <v>4.084030751199931E-2</v>
      </c>
      <c r="G33" t="s">
        <v>35</v>
      </c>
    </row>
    <row r="34" spans="1:7" x14ac:dyDescent="0.3">
      <c r="A34" s="13" t="s">
        <v>152</v>
      </c>
    </row>
    <row r="36" spans="1:7" x14ac:dyDescent="0.3">
      <c r="A36" s="2" t="s">
        <v>138</v>
      </c>
      <c r="B36">
        <f>D27</f>
        <v>1.089</v>
      </c>
      <c r="C36" t="s">
        <v>137</v>
      </c>
      <c r="D36">
        <f>B36*I1</f>
        <v>1.1979</v>
      </c>
      <c r="E36" t="s">
        <v>135</v>
      </c>
      <c r="F36" s="15">
        <f>D36/I12</f>
        <v>6.214611477952583</v>
      </c>
      <c r="G36" t="s">
        <v>140</v>
      </c>
    </row>
    <row r="37" spans="1:7" x14ac:dyDescent="0.3">
      <c r="A37" s="14" t="s">
        <v>169</v>
      </c>
    </row>
    <row r="39" spans="1:7" x14ac:dyDescent="0.3">
      <c r="A39" s="2" t="s">
        <v>144</v>
      </c>
      <c r="B39">
        <f>F12*B21*1000</f>
        <v>50656122.448979594</v>
      </c>
      <c r="C39" t="s">
        <v>146</v>
      </c>
      <c r="D39">
        <f>D13/(B39/1000)</f>
        <v>4.4823644018290594E-4</v>
      </c>
    </row>
    <row r="40" spans="1:7" x14ac:dyDescent="0.3">
      <c r="A40" s="2" t="s">
        <v>147</v>
      </c>
      <c r="B40">
        <f>(B15*1000000)+(70005000*B21)</f>
        <v>2233965000</v>
      </c>
      <c r="C40" t="s">
        <v>148</v>
      </c>
    </row>
    <row r="41" spans="1:7" x14ac:dyDescent="0.3">
      <c r="A41" s="24" t="s">
        <v>149</v>
      </c>
      <c r="B41" s="22">
        <f>B40/B39</f>
        <v>44.100592228511573</v>
      </c>
      <c r="C41" s="22" t="s">
        <v>133</v>
      </c>
      <c r="D41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64</v>
      </c>
      <c r="E1" t="s">
        <v>29</v>
      </c>
      <c r="G1">
        <f>1/110</f>
        <v>9.0909090909090905E-3</v>
      </c>
      <c r="H1" t="s">
        <v>84</v>
      </c>
      <c r="I1">
        <v>1.1000000000000001</v>
      </c>
      <c r="J1" t="s">
        <v>136</v>
      </c>
    </row>
    <row r="2" spans="1:10" x14ac:dyDescent="0.3">
      <c r="A2" s="2"/>
      <c r="B2" s="2"/>
      <c r="C2" s="9">
        <v>0.27779999999999999</v>
      </c>
      <c r="D2" s="2" t="s">
        <v>66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65</v>
      </c>
      <c r="G3">
        <f>C2*E3</f>
        <v>1395.7449839999999</v>
      </c>
      <c r="H3" t="s">
        <v>67</v>
      </c>
      <c r="I3">
        <f>C3*C2</f>
        <v>33.335999999999999</v>
      </c>
      <c r="J3" t="s">
        <v>3</v>
      </c>
    </row>
    <row r="4" spans="1:10" x14ac:dyDescent="0.3">
      <c r="A4" t="s">
        <v>76</v>
      </c>
      <c r="C4">
        <v>9.31</v>
      </c>
      <c r="D4" t="s">
        <v>77</v>
      </c>
      <c r="E4">
        <f>C4/I3</f>
        <v>0.27927765778737701</v>
      </c>
      <c r="F4" t="s">
        <v>78</v>
      </c>
    </row>
    <row r="5" spans="1:10" x14ac:dyDescent="0.3">
      <c r="A5" t="s">
        <v>166</v>
      </c>
      <c r="B5">
        <v>0.9</v>
      </c>
    </row>
    <row r="7" spans="1:10" x14ac:dyDescent="0.3">
      <c r="A7" t="s">
        <v>159</v>
      </c>
      <c r="C7">
        <v>0.65</v>
      </c>
      <c r="E7" s="13" t="s">
        <v>160</v>
      </c>
    </row>
    <row r="9" spans="1:10" x14ac:dyDescent="0.3">
      <c r="A9" t="s">
        <v>121</v>
      </c>
      <c r="B9">
        <v>2.5</v>
      </c>
      <c r="C9" t="s">
        <v>122</v>
      </c>
      <c r="D9">
        <f>B9*(365*24*60*60)</f>
        <v>78840000</v>
      </c>
      <c r="E9" t="s">
        <v>69</v>
      </c>
      <c r="F9">
        <f>($D$9*I3*C7/(1000000))</f>
        <v>1708.3366559999999</v>
      </c>
      <c r="G9" t="s">
        <v>123</v>
      </c>
      <c r="I9">
        <f>F9/8760</f>
        <v>0.19501559999999998</v>
      </c>
      <c r="J9" t="s">
        <v>139</v>
      </c>
    </row>
    <row r="10" spans="1:10" x14ac:dyDescent="0.3">
      <c r="A10" t="s">
        <v>211</v>
      </c>
      <c r="B10">
        <v>11</v>
      </c>
      <c r="C10" t="s">
        <v>122</v>
      </c>
      <c r="D10">
        <f>B10*(365*24*60*60)</f>
        <v>346896000</v>
      </c>
      <c r="E10" t="s">
        <v>69</v>
      </c>
      <c r="F10">
        <f>D10*20</f>
        <v>6937920000</v>
      </c>
      <c r="G10" t="s">
        <v>213</v>
      </c>
    </row>
    <row r="11" spans="1:10" x14ac:dyDescent="0.3">
      <c r="A11" t="s">
        <v>212</v>
      </c>
      <c r="B11">
        <v>14</v>
      </c>
      <c r="C11" t="s">
        <v>122</v>
      </c>
      <c r="D11">
        <f>B11*(365*24*60*60)</f>
        <v>441504000</v>
      </c>
      <c r="E11" t="s">
        <v>69</v>
      </c>
      <c r="F11">
        <f>D11*B15</f>
        <v>8830080000</v>
      </c>
      <c r="G11" t="s">
        <v>213</v>
      </c>
    </row>
    <row r="12" spans="1:10" x14ac:dyDescent="0.3">
      <c r="A12" t="s">
        <v>166</v>
      </c>
      <c r="F12">
        <f>F11/(F11+F10)</f>
        <v>0.56000000000000005</v>
      </c>
    </row>
    <row r="14" spans="1:10" x14ac:dyDescent="0.3">
      <c r="A14" s="2" t="s">
        <v>124</v>
      </c>
      <c r="B14">
        <v>162</v>
      </c>
      <c r="C14" t="s">
        <v>125</v>
      </c>
      <c r="D14">
        <f>B14/I9</f>
        <v>830.70277454726704</v>
      </c>
      <c r="E14" t="s">
        <v>126</v>
      </c>
      <c r="F14" s="15">
        <f>D14*I1</f>
        <v>913.77305200199385</v>
      </c>
      <c r="G14" t="s">
        <v>140</v>
      </c>
    </row>
    <row r="15" spans="1:10" x14ac:dyDescent="0.3">
      <c r="A15" s="2" t="s">
        <v>36</v>
      </c>
      <c r="B15">
        <v>20</v>
      </c>
      <c r="C15" t="s">
        <v>145</v>
      </c>
    </row>
    <row r="17" spans="1:11" x14ac:dyDescent="0.3">
      <c r="A17" s="2" t="s">
        <v>127</v>
      </c>
      <c r="D17" s="2" t="s">
        <v>132</v>
      </c>
      <c r="H17" s="2" t="s">
        <v>141</v>
      </c>
      <c r="J17" s="2" t="s">
        <v>165</v>
      </c>
    </row>
    <row r="18" spans="1:11" x14ac:dyDescent="0.3">
      <c r="A18" t="s">
        <v>128</v>
      </c>
      <c r="B18">
        <f>64546*1000</f>
        <v>64546000</v>
      </c>
      <c r="C18" t="s">
        <v>131</v>
      </c>
      <c r="D18">
        <v>20</v>
      </c>
      <c r="E18" t="s">
        <v>133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129</v>
      </c>
      <c r="B19">
        <v>1064000</v>
      </c>
      <c r="C19" t="s">
        <v>131</v>
      </c>
      <c r="D19">
        <v>30</v>
      </c>
      <c r="E19" t="s">
        <v>133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164</v>
      </c>
      <c r="F20">
        <f>B43</f>
        <v>394.37971068242638</v>
      </c>
      <c r="G20" t="s">
        <v>22</v>
      </c>
    </row>
    <row r="21" spans="1:11" x14ac:dyDescent="0.3">
      <c r="A21" t="s">
        <v>130</v>
      </c>
      <c r="B21">
        <v>1089000</v>
      </c>
      <c r="C21" t="s">
        <v>131</v>
      </c>
      <c r="D21">
        <f>B21/1000000</f>
        <v>1.089</v>
      </c>
      <c r="E21" t="s">
        <v>137</v>
      </c>
    </row>
    <row r="22" spans="1:11" x14ac:dyDescent="0.3">
      <c r="A22" t="s">
        <v>170</v>
      </c>
      <c r="B22">
        <f>(97662-64546-2778-1064-1089)*1000</f>
        <v>28185000</v>
      </c>
      <c r="C22" t="s">
        <v>131</v>
      </c>
      <c r="H22" t="s">
        <v>153</v>
      </c>
      <c r="I22" t="s">
        <v>143</v>
      </c>
      <c r="J22" t="s">
        <v>150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134</v>
      </c>
      <c r="B24">
        <v>12</v>
      </c>
      <c r="C24" t="s">
        <v>122</v>
      </c>
    </row>
    <row r="25" spans="1:11" x14ac:dyDescent="0.3">
      <c r="B25">
        <f>B24*(365*24*60*60)</f>
        <v>378432000</v>
      </c>
      <c r="C25" t="s">
        <v>69</v>
      </c>
    </row>
    <row r="26" spans="1:11" x14ac:dyDescent="0.3">
      <c r="B26">
        <f>B25*0.3</f>
        <v>113529600</v>
      </c>
      <c r="C26" t="s">
        <v>100</v>
      </c>
      <c r="D26">
        <f>B26*G1/(1000000)</f>
        <v>1.0320872727272727</v>
      </c>
      <c r="E26" t="s">
        <v>135</v>
      </c>
      <c r="F26">
        <f>D26/I1</f>
        <v>0.93826115702479329</v>
      </c>
      <c r="G26" t="s">
        <v>137</v>
      </c>
    </row>
    <row r="28" spans="1:11" x14ac:dyDescent="0.3">
      <c r="A28" s="2" t="s">
        <v>168</v>
      </c>
      <c r="B28">
        <f>(B18/1000000)+F26</f>
        <v>65.484261157024804</v>
      </c>
      <c r="C28" t="s">
        <v>137</v>
      </c>
      <c r="D28">
        <f>B28*I1</f>
        <v>72.032687272727287</v>
      </c>
      <c r="E28" t="s">
        <v>135</v>
      </c>
      <c r="F28" s="15">
        <f>(D28/F9)+B41</f>
        <v>5.8665393466056544E-2</v>
      </c>
      <c r="G28" t="s">
        <v>35</v>
      </c>
    </row>
    <row r="29" spans="1:11" x14ac:dyDescent="0.3">
      <c r="A29" s="13" t="s">
        <v>171</v>
      </c>
    </row>
    <row r="31" spans="1:11" x14ac:dyDescent="0.3">
      <c r="A31" s="2" t="s">
        <v>138</v>
      </c>
      <c r="B31">
        <f>D21</f>
        <v>1.089</v>
      </c>
      <c r="C31" t="s">
        <v>137</v>
      </c>
      <c r="D31">
        <f>B31*I1</f>
        <v>1.1979</v>
      </c>
      <c r="E31" t="s">
        <v>135</v>
      </c>
      <c r="F31" s="15">
        <f>D31/I9</f>
        <v>6.1425855162356244</v>
      </c>
      <c r="G31" t="s">
        <v>140</v>
      </c>
    </row>
    <row r="32" spans="1:11" x14ac:dyDescent="0.3">
      <c r="A32" s="14"/>
    </row>
    <row r="34" spans="1:6" x14ac:dyDescent="0.3">
      <c r="A34" s="2" t="s">
        <v>144</v>
      </c>
      <c r="B34">
        <f>F9*B15*1000</f>
        <v>34166733.119999997</v>
      </c>
      <c r="C34" t="s">
        <v>146</v>
      </c>
    </row>
    <row r="35" spans="1:6" x14ac:dyDescent="0.3">
      <c r="A35" s="2" t="s">
        <v>147</v>
      </c>
      <c r="B35">
        <f>(B14*1000000)+(97662000*B15)</f>
        <v>2115240000</v>
      </c>
      <c r="C35" t="s">
        <v>148</v>
      </c>
    </row>
    <row r="36" spans="1:6" x14ac:dyDescent="0.3">
      <c r="A36" s="2" t="s">
        <v>149</v>
      </c>
      <c r="B36">
        <f>B35/B34</f>
        <v>61.909343002471992</v>
      </c>
      <c r="C36" t="s">
        <v>133</v>
      </c>
    </row>
    <row r="38" spans="1:6" x14ac:dyDescent="0.3">
      <c r="A38" s="2" t="s">
        <v>93</v>
      </c>
      <c r="B38">
        <v>3.1300000000000002E-4</v>
      </c>
      <c r="C38" t="s">
        <v>63</v>
      </c>
    </row>
    <row r="39" spans="1:6" x14ac:dyDescent="0.3">
      <c r="A39" s="2" t="s">
        <v>167</v>
      </c>
      <c r="B39">
        <f>B38*F9*B5</f>
        <v>0.48123843599520005</v>
      </c>
      <c r="C39" t="s">
        <v>23</v>
      </c>
    </row>
    <row r="40" spans="1:6" x14ac:dyDescent="0.3">
      <c r="A40" s="14" t="s">
        <v>161</v>
      </c>
      <c r="B40">
        <v>15</v>
      </c>
      <c r="C40" t="s">
        <v>162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125</v>
      </c>
    </row>
    <row r="42" spans="1:6" x14ac:dyDescent="0.3">
      <c r="A42" t="s">
        <v>163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Kato_H2</vt:lpstr>
      <vt:lpstr>Keipi_SMR</vt:lpstr>
      <vt:lpstr>GARBAGE_KEIPI_CCSSMR</vt:lpstr>
      <vt:lpstr>Keipi_electrolysis</vt:lpstr>
      <vt:lpstr>AEC</vt:lpstr>
      <vt:lpstr>PEMEC</vt:lpstr>
      <vt:lpstr>SOEC</vt:lpstr>
      <vt:lpstr>PEMFC</vt:lpstr>
      <vt:lpstr>EIA_LCOE_WND_SOLAR</vt:lpstr>
      <vt:lpstr>SOFC</vt:lpstr>
      <vt:lpstr>Li-ion</vt:lpstr>
      <vt:lpstr>Photoconversion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2020-06-13T23:17:51Z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