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7E0D1D17-3A33-4C12-9C9A-3DE787AD042E}" xr6:coauthVersionLast="44" xr6:coauthVersionMax="44" xr10:uidLastSave="{00000000-0000-0000-0000-000000000000}"/>
  <bookViews>
    <workbookView xWindow="33165" yWindow="3345" windowWidth="13830" windowHeight="7170" firstSheet="4" activeTab="10" xr2:uid="{ECBC9880-2B97-44EA-9887-629A306A84A1}"/>
  </bookViews>
  <sheets>
    <sheet name="CCS" sheetId="2" r:id="rId1"/>
    <sheet name="JHFC" sheetId="1" r:id="rId2"/>
    <sheet name="Acar and Dincer" sheetId="6" r:id="rId3"/>
    <sheet name="H2 Steam Reforming" sheetId="3" r:id="rId4"/>
    <sheet name="Photocatalytic H2" sheetId="4" r:id="rId5"/>
    <sheet name="Kato_H2" sheetId="7" r:id="rId6"/>
    <sheet name="Keipi_SMR" sheetId="5" r:id="rId7"/>
    <sheet name="KEIPI_CCSSMR" sheetId="9" r:id="rId8"/>
    <sheet name="Keipi_electrolysis" sheetId="8" r:id="rId9"/>
    <sheet name="Simons_PEMFC" sheetId="10" r:id="rId10"/>
    <sheet name="EIA_LCO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1" l="1"/>
  <c r="E14" i="11"/>
  <c r="E13" i="11"/>
  <c r="E12" i="11"/>
  <c r="G5" i="11"/>
  <c r="D15" i="11" l="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I3" i="5"/>
  <c r="J3" i="8"/>
  <c r="J2" i="8"/>
  <c r="F5" i="10" l="1"/>
  <c r="F4" i="10"/>
  <c r="C3" i="10"/>
  <c r="F2" i="10"/>
  <c r="I5" i="10"/>
  <c r="C5" i="10"/>
  <c r="C4" i="10"/>
  <c r="F25" i="9" l="1"/>
  <c r="B25" i="9"/>
  <c r="B32" i="9"/>
  <c r="B19" i="9"/>
  <c r="B15" i="9"/>
  <c r="H16" i="9" l="1"/>
  <c r="H15" i="9"/>
  <c r="D39" i="9"/>
  <c r="B38" i="9"/>
  <c r="B22" i="9"/>
  <c r="B23" i="9" s="1"/>
  <c r="D23" i="9" s="1"/>
  <c r="F23" i="9" s="1"/>
  <c r="D25" i="9" s="1"/>
  <c r="D18" i="9"/>
  <c r="B28" i="9" s="1"/>
  <c r="D28" i="9" s="1"/>
  <c r="J15" i="9"/>
  <c r="D9" i="9"/>
  <c r="F9" i="9" s="1"/>
  <c r="B36" i="9" s="1"/>
  <c r="B40" i="9" s="1"/>
  <c r="F17" i="9" s="1"/>
  <c r="J16" i="9" s="1"/>
  <c r="I3" i="9"/>
  <c r="E4" i="9" s="1"/>
  <c r="E3" i="9"/>
  <c r="G3" i="9" s="1"/>
  <c r="G1" i="9"/>
  <c r="E38" i="9" l="1"/>
  <c r="J20" i="9"/>
  <c r="H20" i="9"/>
  <c r="I20" i="9"/>
  <c r="I9" i="9"/>
  <c r="D11" i="9" s="1"/>
  <c r="F11" i="9" s="1"/>
  <c r="B31" i="9"/>
  <c r="B33" i="9" s="1"/>
  <c r="F8" i="5"/>
  <c r="G4" i="8"/>
  <c r="E4" i="8"/>
  <c r="B12" i="8"/>
  <c r="D16" i="8"/>
  <c r="F6" i="8"/>
  <c r="D6" i="8"/>
  <c r="L9" i="8"/>
  <c r="L10" i="8" s="1"/>
  <c r="B20" i="8"/>
  <c r="B19" i="8"/>
  <c r="B21" i="8" s="1"/>
  <c r="D17" i="5"/>
  <c r="B26" i="5" s="1"/>
  <c r="F10" i="8"/>
  <c r="F11" i="8"/>
  <c r="J14" i="8"/>
  <c r="D10" i="8"/>
  <c r="B10" i="8"/>
  <c r="B2" i="8"/>
  <c r="B20" i="5"/>
  <c r="B21" i="5" s="1"/>
  <c r="D21" i="5" s="1"/>
  <c r="F21" i="5" s="1"/>
  <c r="J9" i="8"/>
  <c r="B9" i="8"/>
  <c r="B30" i="5"/>
  <c r="B14" i="5"/>
  <c r="F14" i="5" s="1"/>
  <c r="K14" i="5" s="1"/>
  <c r="F15" i="5"/>
  <c r="B10" i="5"/>
  <c r="D8" i="5"/>
  <c r="E4" i="5"/>
  <c r="E3" i="5"/>
  <c r="G3" i="5" s="1"/>
  <c r="G1" i="5"/>
  <c r="D4" i="7"/>
  <c r="D18" i="7"/>
  <c r="H13" i="1"/>
  <c r="F28" i="9" l="1"/>
  <c r="B23" i="5"/>
  <c r="D26" i="5"/>
  <c r="I14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J14" i="5" l="1"/>
  <c r="I8" i="5"/>
  <c r="B29" i="5"/>
  <c r="B31" i="5" s="1"/>
  <c r="D23" i="5"/>
  <c r="F23" i="5" s="1"/>
  <c r="K9" i="2"/>
  <c r="K10" i="2"/>
  <c r="K8" i="2"/>
  <c r="D10" i="5" l="1"/>
  <c r="F10" i="5" s="1"/>
  <c r="F26" i="5"/>
  <c r="E18" i="2"/>
  <c r="E17" i="2"/>
  <c r="D12" i="2"/>
  <c r="F3" i="4" l="1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4" i="2"/>
  <c r="D14" i="2"/>
  <c r="D15" i="2" s="1"/>
  <c r="K1" i="2"/>
  <c r="D13" i="2" s="1"/>
  <c r="L8" i="2" l="1"/>
  <c r="L9" i="2"/>
  <c r="C23" i="2"/>
  <c r="L10" i="2"/>
  <c r="G9" i="3"/>
  <c r="C5" i="3"/>
  <c r="L12" i="2" l="1"/>
  <c r="N8" i="2"/>
  <c r="L14" i="2"/>
  <c r="N10" i="2"/>
  <c r="L13" i="2"/>
  <c r="N9" i="2"/>
  <c r="D5" i="3"/>
  <c r="C9" i="3"/>
  <c r="L5" i="3" s="1"/>
  <c r="L6" i="3" s="1"/>
  <c r="E19" i="2"/>
  <c r="G24" i="2" l="1"/>
  <c r="G25" i="2"/>
  <c r="C26" i="2"/>
  <c r="F16" i="3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<sst xmlns="http://schemas.openxmlformats.org/spreadsheetml/2006/main" count="455" uniqueCount="241">
  <si>
    <t>H2 Method</t>
  </si>
  <si>
    <t>H2 energy density</t>
  </si>
  <si>
    <t>MJ/kg</t>
  </si>
  <si>
    <t>kWh/kg</t>
  </si>
  <si>
    <t>Efficiency</t>
  </si>
  <si>
    <t>DSCINV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</si>
  <si>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</si>
  <si>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</si>
  <si>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</si>
  <si>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</si>
  <si>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</si>
  <si>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</si>
  <si>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</si>
  <si>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</si>
  <si>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</si>
  <si>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</si>
  <si>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</si>
  <si>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</si>
  <si>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</si>
  <si>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</si>
  <si>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</si>
  <si>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</si>
  <si>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</si>
  <si>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</si>
  <si>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</si>
  <si>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</si>
  <si>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</si>
  <si>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</si>
  <si>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</si>
  <si>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</si>
  <si>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</si>
  <si>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</si>
  <si>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</si>
  <si>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</si>
  <si>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m3</t>
  </si>
  <si>
    <t>GWh</t>
  </si>
  <si>
    <t>Transportation (pipeline)</t>
  </si>
  <si>
    <t>Mt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</si>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</sst>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3" borderId="0" xfId="0" applyFill="1"/>
    <xf numFmtId="0" fontId="0" fillId="0" borderId="0" xfId="0" applyFont="1" applyAlignment="1">
      <alignment horizontal="center"/>
    </xf>
    <xf numFmtId="11" fontId="0" fillId="0" borderId="0" xfId="0" applyNumberFormat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26"/>
  <sheetViews>
    <sheetView topLeftCell="H1" workbookViewId="0">
      <selection activeCell="N8" sqref="N8:N10"/>
    </sheetView>
  </sheetViews>
  <sheetFormatPr defaultRowHeight="14.4" x14ac:dyDescent="0.3"/>
  <cols>
    <col min="1" max="1" width="19.88671875" customWidth="1"/>
    <col min="2" max="2" width="11.33203125" customWidth="1"/>
    <col min="3" max="3" width="15.109375" customWidth="1"/>
    <col min="4" max="4" width="11" bestFit="1" customWidth="1"/>
    <col min="10" max="10" width="12.33203125" customWidth="1"/>
    <col min="11" max="11" width="12.6640625" customWidth="1"/>
    <col min="12" max="12" width="10.6640625" customWidth="1"/>
    <col min="13" max="13" width="12.88671875" customWidth="1"/>
    <col min="14" max="14" width="9.33203125" bestFit="1" customWidth="1"/>
  </cols>
  <sheetData>
    <row r="1" spans="1:15" x14ac:dyDescent="0.3">
      <c r="A1" s="2" t="s">
        <v>15</v>
      </c>
      <c r="J1" t="s">
        <v>45</v>
      </c>
      <c r="K1">
        <f>0.277778/1000000</f>
        <v>2.7777800000000004E-7</v>
      </c>
      <c r="L1" t="s">
        <v>35</v>
      </c>
      <c r="N1" t="s">
        <v>32</v>
      </c>
      <c r="O1">
        <v>8.8999999999999999E-3</v>
      </c>
    </row>
    <row r="2" spans="1:15" x14ac:dyDescent="0.3">
      <c r="A2" s="2" t="s">
        <v>48</v>
      </c>
      <c r="B2">
        <v>2020</v>
      </c>
      <c r="C2" t="s">
        <v>16</v>
      </c>
      <c r="E2">
        <v>17.600000000000001</v>
      </c>
      <c r="F2" t="s">
        <v>18</v>
      </c>
      <c r="H2" t="s">
        <v>56</v>
      </c>
    </row>
    <row r="3" spans="1:15" x14ac:dyDescent="0.3">
      <c r="B3">
        <v>2030</v>
      </c>
      <c r="C3" t="s">
        <v>17</v>
      </c>
      <c r="E3">
        <v>8.8000000000000007</v>
      </c>
      <c r="F3" t="s">
        <v>18</v>
      </c>
    </row>
    <row r="4" spans="1:15" x14ac:dyDescent="0.3">
      <c r="B4">
        <v>2050</v>
      </c>
      <c r="C4" t="s">
        <v>52</v>
      </c>
      <c r="E4">
        <f>500*O1</f>
        <v>4.45</v>
      </c>
      <c r="F4" t="s">
        <v>18</v>
      </c>
    </row>
    <row r="5" spans="1:15" x14ac:dyDescent="0.3">
      <c r="G5" s="3"/>
    </row>
    <row r="6" spans="1:15" x14ac:dyDescent="0.3">
      <c r="A6" s="2" t="s">
        <v>47</v>
      </c>
      <c r="B6" t="s">
        <v>31</v>
      </c>
      <c r="D6">
        <v>4000</v>
      </c>
      <c r="E6" t="s">
        <v>51</v>
      </c>
      <c r="G6" t="s">
        <v>53</v>
      </c>
      <c r="I6" t="s">
        <v>54</v>
      </c>
    </row>
    <row r="7" spans="1:15" x14ac:dyDescent="0.3">
      <c r="A7" s="2"/>
      <c r="J7" t="s">
        <v>104</v>
      </c>
      <c r="K7" t="s">
        <v>23</v>
      </c>
      <c r="L7" t="s">
        <v>105</v>
      </c>
      <c r="M7" t="s">
        <v>106</v>
      </c>
      <c r="N7" t="s">
        <v>107</v>
      </c>
    </row>
    <row r="8" spans="1:15" x14ac:dyDescent="0.3">
      <c r="A8" s="2" t="s">
        <v>46</v>
      </c>
      <c r="B8" t="s">
        <v>38</v>
      </c>
      <c r="C8" t="s">
        <v>39</v>
      </c>
      <c r="D8">
        <v>14.7</v>
      </c>
      <c r="E8" t="s">
        <v>21</v>
      </c>
      <c r="I8" t="s">
        <v>101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3">
      <c r="A9" s="2"/>
      <c r="C9" t="s">
        <v>40</v>
      </c>
      <c r="D9">
        <v>14.7</v>
      </c>
      <c r="E9" t="s">
        <v>41</v>
      </c>
      <c r="I9" t="s">
        <v>102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3">
      <c r="B10" t="s">
        <v>19</v>
      </c>
      <c r="C10" t="s">
        <v>42</v>
      </c>
      <c r="D10">
        <v>52</v>
      </c>
      <c r="E10" t="s">
        <v>21</v>
      </c>
      <c r="I10" t="s">
        <v>103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3">
      <c r="B11" t="s">
        <v>20</v>
      </c>
      <c r="D11">
        <v>3.2</v>
      </c>
      <c r="E11" t="s">
        <v>21</v>
      </c>
    </row>
    <row r="12" spans="1:15" x14ac:dyDescent="0.3">
      <c r="B12" s="2" t="s">
        <v>22</v>
      </c>
      <c r="C12" t="s">
        <v>43</v>
      </c>
      <c r="D12">
        <f>(D9+D11)*1000000</f>
        <v>17900000</v>
      </c>
      <c r="E12" t="s">
        <v>44</v>
      </c>
      <c r="K12" t="s">
        <v>5</v>
      </c>
      <c r="L12" s="9">
        <f>L8/8760</f>
        <v>0.11883889324915139</v>
      </c>
    </row>
    <row r="13" spans="1:15" x14ac:dyDescent="0.3">
      <c r="B13" s="2"/>
      <c r="D13" s="7">
        <f>D12*K1</f>
        <v>4.9722262000000006</v>
      </c>
      <c r="E13" t="s">
        <v>23</v>
      </c>
      <c r="L13" s="9">
        <f t="shared" ref="L13:L14" si="3">L9/8760</f>
        <v>0.18835986296837956</v>
      </c>
    </row>
    <row r="14" spans="1:15" x14ac:dyDescent="0.3">
      <c r="B14" s="2"/>
      <c r="C14" t="s">
        <v>49</v>
      </c>
      <c r="D14" s="7">
        <f>D12+(D10*1000000)</f>
        <v>69900000</v>
      </c>
      <c r="E14" t="s">
        <v>44</v>
      </c>
      <c r="L14" s="9">
        <f t="shared" si="3"/>
        <v>0.15246539588304808</v>
      </c>
    </row>
    <row r="15" spans="1:15" x14ac:dyDescent="0.3">
      <c r="D15" s="6">
        <f>D14*K1</f>
        <v>19.416682200000004</v>
      </c>
      <c r="E15" t="s">
        <v>23</v>
      </c>
    </row>
    <row r="17" spans="1:7" x14ac:dyDescent="0.3">
      <c r="A17" s="2" t="s">
        <v>55</v>
      </c>
      <c r="B17" t="s">
        <v>24</v>
      </c>
      <c r="D17" t="s">
        <v>25</v>
      </c>
      <c r="E17">
        <f>2800*0.0089</f>
        <v>24.919999999999998</v>
      </c>
      <c r="F17" t="s">
        <v>27</v>
      </c>
    </row>
    <row r="18" spans="1:7" x14ac:dyDescent="0.3">
      <c r="B18" t="s">
        <v>36</v>
      </c>
      <c r="D18" t="s">
        <v>26</v>
      </c>
      <c r="E18">
        <f>800*0.0089</f>
        <v>7.12</v>
      </c>
      <c r="F18" t="s">
        <v>18</v>
      </c>
    </row>
    <row r="19" spans="1:7" x14ac:dyDescent="0.3">
      <c r="B19" s="2" t="s">
        <v>28</v>
      </c>
      <c r="E19">
        <f>E17+E18</f>
        <v>32.04</v>
      </c>
      <c r="F19" t="s">
        <v>18</v>
      </c>
      <c r="G19" t="s">
        <v>33</v>
      </c>
    </row>
    <row r="21" spans="1:7" x14ac:dyDescent="0.3">
      <c r="A21" s="2" t="s">
        <v>29</v>
      </c>
      <c r="B21">
        <v>156</v>
      </c>
      <c r="C21" t="s">
        <v>30</v>
      </c>
      <c r="D21" t="s">
        <v>50</v>
      </c>
    </row>
    <row r="23" spans="1:7" x14ac:dyDescent="0.3">
      <c r="A23" s="2" t="s">
        <v>57</v>
      </c>
      <c r="B23" s="2" t="s">
        <v>46</v>
      </c>
      <c r="C23">
        <f>D15</f>
        <v>19.416682200000004</v>
      </c>
      <c r="D23" t="s">
        <v>23</v>
      </c>
    </row>
    <row r="24" spans="1:7" x14ac:dyDescent="0.3">
      <c r="B24" s="2" t="s">
        <v>47</v>
      </c>
      <c r="C24">
        <v>8.8000000000000007</v>
      </c>
      <c r="D24" t="s">
        <v>18</v>
      </c>
      <c r="E24">
        <v>2030</v>
      </c>
      <c r="G24">
        <f>E19+E3</f>
        <v>40.840000000000003</v>
      </c>
    </row>
    <row r="25" spans="1:7" x14ac:dyDescent="0.3">
      <c r="B25" t="s">
        <v>58</v>
      </c>
      <c r="C25">
        <v>4.4000000000000004</v>
      </c>
      <c r="D25" t="s">
        <v>18</v>
      </c>
      <c r="E25">
        <v>2050</v>
      </c>
      <c r="G25">
        <f>E19+E4</f>
        <v>36.49</v>
      </c>
    </row>
    <row r="26" spans="1:7" x14ac:dyDescent="0.3">
      <c r="B26" s="2" t="s">
        <v>55</v>
      </c>
      <c r="C26">
        <f>E19</f>
        <v>32.04</v>
      </c>
      <c r="D26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68</v>
      </c>
      <c r="B1" t="s">
        <v>219</v>
      </c>
      <c r="D1">
        <v>2020</v>
      </c>
      <c r="F1">
        <v>2030</v>
      </c>
    </row>
    <row r="2" spans="1:9" x14ac:dyDescent="0.3">
      <c r="A2" t="s">
        <v>220</v>
      </c>
      <c r="C2">
        <v>25</v>
      </c>
      <c r="D2" t="s">
        <v>221</v>
      </c>
      <c r="F2">
        <f>15</f>
        <v>15</v>
      </c>
      <c r="G2" t="s">
        <v>221</v>
      </c>
    </row>
    <row r="3" spans="1:9" x14ac:dyDescent="0.3">
      <c r="A3" t="s">
        <v>222</v>
      </c>
      <c r="C3">
        <f>8760*10*0.5</f>
        <v>43800</v>
      </c>
      <c r="D3" t="s">
        <v>121</v>
      </c>
    </row>
    <row r="4" spans="1:9" x14ac:dyDescent="0.3">
      <c r="A4" t="s">
        <v>223</v>
      </c>
      <c r="C4">
        <f>C2*1000/C3</f>
        <v>0.57077625570776258</v>
      </c>
      <c r="D4" t="s">
        <v>224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8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tabSelected="1"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20">
        <v>2025</v>
      </c>
      <c r="D3" s="20"/>
      <c r="E3" s="21">
        <v>2040</v>
      </c>
      <c r="F3" s="21"/>
      <c r="G3" t="s">
        <v>234</v>
      </c>
      <c r="Q3" s="19"/>
      <c r="R3" s="19"/>
    </row>
    <row r="4" spans="1:18" x14ac:dyDescent="0.3">
      <c r="B4" s="2" t="s">
        <v>238</v>
      </c>
      <c r="C4" s="2" t="s">
        <v>226</v>
      </c>
      <c r="D4" s="2" t="s">
        <v>227</v>
      </c>
      <c r="E4" s="2" t="s">
        <v>226</v>
      </c>
      <c r="F4" s="2" t="s">
        <v>227</v>
      </c>
      <c r="Q4" s="19"/>
      <c r="R4" s="19"/>
    </row>
    <row r="5" spans="1:18" x14ac:dyDescent="0.3">
      <c r="A5" s="2" t="s">
        <v>225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9"/>
      <c r="R5" s="19"/>
    </row>
    <row r="6" spans="1:18" x14ac:dyDescent="0.3">
      <c r="A6" s="2" t="s">
        <v>228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9"/>
      <c r="R6" s="19"/>
    </row>
    <row r="7" spans="1:18" x14ac:dyDescent="0.3">
      <c r="A7" s="2" t="s">
        <v>229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9"/>
    </row>
    <row r="11" spans="1:18" x14ac:dyDescent="0.3">
      <c r="A11" s="2" t="s">
        <v>230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225</v>
      </c>
      <c r="B12">
        <v>1307</v>
      </c>
      <c r="D12" s="16">
        <f>B12*G5</f>
        <v>1086.1191941801903</v>
      </c>
      <c r="E12" s="16">
        <f>D12*G5</f>
        <v>902.56687373115983</v>
      </c>
    </row>
    <row r="13" spans="1:18" x14ac:dyDescent="0.3">
      <c r="A13" s="2" t="s">
        <v>231</v>
      </c>
      <c r="B13">
        <v>3454</v>
      </c>
      <c r="D13" s="16">
        <f>G6*B13</f>
        <v>3109.8968710888612</v>
      </c>
      <c r="E13" s="16">
        <f>G6*D13</f>
        <v>2800.0748548952779</v>
      </c>
    </row>
    <row r="14" spans="1:18" x14ac:dyDescent="0.3">
      <c r="A14" s="2" t="s">
        <v>232</v>
      </c>
      <c r="B14">
        <v>7772.73</v>
      </c>
      <c r="D14" s="16">
        <f>G7*B14</f>
        <v>5438.0498723926376</v>
      </c>
      <c r="E14" s="16">
        <f>D14*G7</f>
        <v>3804.6331745254988</v>
      </c>
    </row>
    <row r="15" spans="1:18" x14ac:dyDescent="0.3">
      <c r="A15" s="2" t="s">
        <v>233</v>
      </c>
      <c r="B15">
        <v>12897</v>
      </c>
      <c r="D15" s="16">
        <f>G7*B15</f>
        <v>9023.1526380368086</v>
      </c>
      <c r="E15" s="16">
        <f>D15*G7</f>
        <v>6312.8854407467334</v>
      </c>
    </row>
    <row r="16" spans="1:18" x14ac:dyDescent="0.3">
      <c r="I16" t="s">
        <v>240</v>
      </c>
    </row>
    <row r="18" spans="1:4" x14ac:dyDescent="0.3">
      <c r="A18" t="s">
        <v>237</v>
      </c>
      <c r="B18">
        <v>1307</v>
      </c>
      <c r="C18">
        <v>15.19</v>
      </c>
      <c r="D18">
        <v>0</v>
      </c>
    </row>
    <row r="20" spans="1:4" x14ac:dyDescent="0.3">
      <c r="A20" t="s">
        <v>231</v>
      </c>
      <c r="B20">
        <v>1319</v>
      </c>
      <c r="C20">
        <v>26.22</v>
      </c>
      <c r="D20">
        <v>0</v>
      </c>
    </row>
    <row r="21" spans="1:4" x14ac:dyDescent="0.3">
      <c r="A21" t="s">
        <v>239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13</v>
      </c>
      <c r="G2" s="5">
        <v>41.869</v>
      </c>
      <c r="H2" t="s">
        <v>111</v>
      </c>
      <c r="I2" t="s">
        <v>61</v>
      </c>
      <c r="K2">
        <f>1/110</f>
        <v>9.0909090909090905E-3</v>
      </c>
      <c r="L2" t="s">
        <v>131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113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112</v>
      </c>
      <c r="K4">
        <f>G3*I4</f>
        <v>1395.7449839999999</v>
      </c>
      <c r="L4" t="s">
        <v>114</v>
      </c>
      <c r="M4">
        <f>G4*G3</f>
        <v>33.335999999999999</v>
      </c>
      <c r="N4" t="s">
        <v>3</v>
      </c>
    </row>
    <row r="5" spans="1:16" x14ac:dyDescent="0.3">
      <c r="E5" t="s">
        <v>123</v>
      </c>
      <c r="G5">
        <v>9.31</v>
      </c>
      <c r="H5" t="s">
        <v>124</v>
      </c>
      <c r="I5">
        <f>G5/M4</f>
        <v>0.27927765778737701</v>
      </c>
      <c r="J5" t="s">
        <v>125</v>
      </c>
    </row>
    <row r="7" spans="1:16" x14ac:dyDescent="0.3">
      <c r="A7" s="2" t="s">
        <v>68</v>
      </c>
      <c r="B7" t="s">
        <v>150</v>
      </c>
      <c r="C7" s="13" t="s">
        <v>149</v>
      </c>
      <c r="K7" s="1" t="s">
        <v>126</v>
      </c>
      <c r="L7" s="12"/>
      <c r="O7" s="1"/>
    </row>
    <row r="8" spans="1:16" x14ac:dyDescent="0.3">
      <c r="K8" t="s">
        <v>127</v>
      </c>
      <c r="L8" s="12">
        <v>1538396</v>
      </c>
      <c r="M8" t="s">
        <v>115</v>
      </c>
      <c r="N8" s="12">
        <f>G2*L8</f>
        <v>64411102.123999998</v>
      </c>
      <c r="O8" t="s">
        <v>116</v>
      </c>
    </row>
    <row r="9" spans="1:16" x14ac:dyDescent="0.3">
      <c r="A9" s="2" t="s">
        <v>122</v>
      </c>
      <c r="B9">
        <f>186*1000000</f>
        <v>186000000</v>
      </c>
      <c r="C9" t="s">
        <v>135</v>
      </c>
      <c r="K9" t="s">
        <v>117</v>
      </c>
      <c r="L9" s="12">
        <v>1141251</v>
      </c>
      <c r="M9" t="s">
        <v>121</v>
      </c>
      <c r="P9" s="11"/>
    </row>
    <row r="10" spans="1:16" x14ac:dyDescent="0.3">
      <c r="B10">
        <f>B9*K2</f>
        <v>1690909.0909090908</v>
      </c>
      <c r="C10" t="s">
        <v>132</v>
      </c>
      <c r="D10">
        <f>B10/L11</f>
        <v>0.41378551295067767</v>
      </c>
      <c r="E10" t="s">
        <v>138</v>
      </c>
      <c r="F10">
        <f>B10/N11</f>
        <v>3624.7610934479362</v>
      </c>
      <c r="G10" t="s">
        <v>139</v>
      </c>
      <c r="J10" s="17" t="s">
        <v>128</v>
      </c>
      <c r="K10" s="17"/>
      <c r="L10" s="12">
        <f>L9/G5</f>
        <v>122583.35123523093</v>
      </c>
      <c r="M10" t="s">
        <v>120</v>
      </c>
    </row>
    <row r="11" spans="1:16" x14ac:dyDescent="0.3">
      <c r="J11" s="17" t="s">
        <v>129</v>
      </c>
      <c r="K11" s="17"/>
      <c r="L11" s="12">
        <f>M4*L10</f>
        <v>4086438.5967776584</v>
      </c>
      <c r="M11" t="s">
        <v>121</v>
      </c>
      <c r="N11" s="12">
        <f>L11/8760</f>
        <v>466.48842428968703</v>
      </c>
      <c r="O11" t="s">
        <v>136</v>
      </c>
    </row>
    <row r="12" spans="1:16" x14ac:dyDescent="0.3">
      <c r="A12" s="2" t="s">
        <v>144</v>
      </c>
      <c r="H12" t="s">
        <v>163</v>
      </c>
      <c r="K12" t="s">
        <v>155</v>
      </c>
      <c r="L12" s="12">
        <v>1</v>
      </c>
      <c r="N12" s="1"/>
    </row>
    <row r="13" spans="1:16" x14ac:dyDescent="0.3">
      <c r="A13" t="s">
        <v>7</v>
      </c>
      <c r="B13">
        <v>441890</v>
      </c>
      <c r="C13" t="s">
        <v>120</v>
      </c>
      <c r="D13" s="12">
        <f>114*B13</f>
        <v>50375460</v>
      </c>
      <c r="E13" t="s">
        <v>130</v>
      </c>
      <c r="F13" s="12">
        <f>D13*$K$2</f>
        <v>457958.72727272724</v>
      </c>
      <c r="G13" t="s">
        <v>132</v>
      </c>
      <c r="H13" s="12">
        <f>B13*53*G3</f>
        <v>6506123.2259999998</v>
      </c>
      <c r="L13" s="12"/>
    </row>
    <row r="14" spans="1:16" x14ac:dyDescent="0.3">
      <c r="A14" t="s">
        <v>118</v>
      </c>
      <c r="B14">
        <v>3428000</v>
      </c>
      <c r="C14" t="s">
        <v>120</v>
      </c>
      <c r="D14" s="12">
        <f>300*B14</f>
        <v>1028400000</v>
      </c>
      <c r="E14" t="s">
        <v>130</v>
      </c>
      <c r="F14" s="12">
        <f t="shared" ref="F14:F15" si="0">D14*$K$2</f>
        <v>9349090.9090909082</v>
      </c>
      <c r="G14" t="s">
        <v>132</v>
      </c>
    </row>
    <row r="15" spans="1:16" x14ac:dyDescent="0.3">
      <c r="A15" t="s">
        <v>119</v>
      </c>
      <c r="B15">
        <v>1714000</v>
      </c>
      <c r="C15" t="s">
        <v>120</v>
      </c>
      <c r="D15" s="12">
        <f>B15*200</f>
        <v>342800000</v>
      </c>
      <c r="E15" t="s">
        <v>130</v>
      </c>
      <c r="F15" s="12">
        <f t="shared" si="0"/>
        <v>3116363.6363636362</v>
      </c>
      <c r="G15" t="s">
        <v>132</v>
      </c>
    </row>
    <row r="16" spans="1:16" x14ac:dyDescent="0.3">
      <c r="A16" t="s">
        <v>63</v>
      </c>
      <c r="B16" s="1"/>
      <c r="D16" s="12">
        <f>SUM(D13:D15)</f>
        <v>1421575460</v>
      </c>
      <c r="F16" s="12">
        <f>SUM(F13:F15)</f>
        <v>12923413.272727272</v>
      </c>
      <c r="G16" t="s">
        <v>132</v>
      </c>
    </row>
    <row r="17" spans="1:10" x14ac:dyDescent="0.3">
      <c r="A17" t="s">
        <v>134</v>
      </c>
      <c r="B17">
        <f>F16/L11</f>
        <v>3.1625125317967502</v>
      </c>
      <c r="C17" t="s">
        <v>133</v>
      </c>
      <c r="D17" s="3"/>
    </row>
    <row r="19" spans="1:10" x14ac:dyDescent="0.3">
      <c r="A19" s="2" t="s">
        <v>145</v>
      </c>
    </row>
    <row r="20" spans="1:10" x14ac:dyDescent="0.3">
      <c r="A20" t="s">
        <v>146</v>
      </c>
      <c r="B20">
        <f>7000000*1.5</f>
        <v>10500000</v>
      </c>
      <c r="C20" t="s">
        <v>147</v>
      </c>
    </row>
    <row r="21" spans="1:10" x14ac:dyDescent="0.3">
      <c r="A21" t="s">
        <v>148</v>
      </c>
      <c r="B21">
        <f>0.03*B9/20</f>
        <v>279000</v>
      </c>
      <c r="C21" t="s">
        <v>147</v>
      </c>
      <c r="D21" s="3"/>
    </row>
    <row r="22" spans="1:10" x14ac:dyDescent="0.3">
      <c r="A22" t="s">
        <v>151</v>
      </c>
      <c r="B22">
        <f>0.0077*0.55*B9/20</f>
        <v>39385.5</v>
      </c>
      <c r="C22" t="s">
        <v>147</v>
      </c>
    </row>
    <row r="23" spans="1:10" x14ac:dyDescent="0.3">
      <c r="A23" t="s">
        <v>152</v>
      </c>
      <c r="B23">
        <f>0.014*0.55*B9/20</f>
        <v>71610.000000000015</v>
      </c>
      <c r="C23" t="s">
        <v>147</v>
      </c>
      <c r="G23" t="s">
        <v>157</v>
      </c>
      <c r="I23" t="s">
        <v>156</v>
      </c>
    </row>
    <row r="24" spans="1:10" x14ac:dyDescent="0.3">
      <c r="A24" t="s">
        <v>22</v>
      </c>
      <c r="B24">
        <f>SUM(B20:B23)</f>
        <v>10889995.5</v>
      </c>
      <c r="C24" t="s">
        <v>147</v>
      </c>
      <c r="D24">
        <f>B24*K2</f>
        <v>98999.959090909091</v>
      </c>
      <c r="E24" t="s">
        <v>153</v>
      </c>
      <c r="G24">
        <v>1690909.0909090908</v>
      </c>
      <c r="I24">
        <f>4086438.59677766*20</f>
        <v>81728771.935553193</v>
      </c>
      <c r="J24" t="s">
        <v>121</v>
      </c>
    </row>
    <row r="25" spans="1:10" x14ac:dyDescent="0.3">
      <c r="A25" t="s">
        <v>154</v>
      </c>
      <c r="D25">
        <f>D24/N11</f>
        <v>212.22382793668336</v>
      </c>
      <c r="E25" t="s">
        <v>139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137</v>
      </c>
    </row>
    <row r="29" spans="1:10" x14ac:dyDescent="0.3">
      <c r="A29" t="s">
        <v>140</v>
      </c>
      <c r="B29">
        <v>133</v>
      </c>
      <c r="C29" t="s">
        <v>143</v>
      </c>
      <c r="D29" s="9">
        <f>B29/1000000</f>
        <v>1.3300000000000001E-4</v>
      </c>
      <c r="E29" t="s">
        <v>104</v>
      </c>
    </row>
    <row r="30" spans="1:10" x14ac:dyDescent="0.3">
      <c r="A30" t="s">
        <v>141</v>
      </c>
      <c r="B30" s="13" t="s">
        <v>142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123</v>
      </c>
      <c r="C1">
        <v>9.31</v>
      </c>
      <c r="D1" t="s">
        <v>3</v>
      </c>
      <c r="E1" t="s">
        <v>158</v>
      </c>
    </row>
    <row r="2" spans="1:5" x14ac:dyDescent="0.3">
      <c r="A2" t="s">
        <v>159</v>
      </c>
      <c r="C2">
        <v>1.5</v>
      </c>
      <c r="D2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J36" sqref="J36"/>
    </sheetView>
  </sheetViews>
  <sheetFormatPr defaultRowHeight="14.4" x14ac:dyDescent="0.3"/>
  <cols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5" width="13.44140625" customWidth="1"/>
    <col min="16" max="16" width="16.33203125" customWidth="1"/>
    <col min="17" max="17" width="15.109375" customWidth="1"/>
    <col min="18" max="18" width="11" customWidth="1"/>
  </cols>
  <sheetData>
    <row r="1" spans="1:17" x14ac:dyDescent="0.3">
      <c r="D1" t="s">
        <v>59</v>
      </c>
      <c r="G1">
        <v>39444.433400000002</v>
      </c>
      <c r="H1" t="s">
        <v>23</v>
      </c>
    </row>
    <row r="2" spans="1:17" x14ac:dyDescent="0.3">
      <c r="A2" s="4" t="s">
        <v>13</v>
      </c>
      <c r="D2" t="s">
        <v>62</v>
      </c>
      <c r="G2" t="s">
        <v>60</v>
      </c>
      <c r="I2" s="5">
        <f>70.8/(1.8*1000000000)</f>
        <v>3.9333333333333335E-8</v>
      </c>
      <c r="J2" t="s">
        <v>69</v>
      </c>
      <c r="L2" t="s">
        <v>61</v>
      </c>
      <c r="N2">
        <v>8.8999999999999999E-3</v>
      </c>
      <c r="O2" t="s">
        <v>32</v>
      </c>
    </row>
    <row r="3" spans="1:17" x14ac:dyDescent="0.3">
      <c r="A3" s="2" t="s">
        <v>0</v>
      </c>
      <c r="B3" t="s">
        <v>14</v>
      </c>
      <c r="G3" s="2" t="s">
        <v>63</v>
      </c>
      <c r="H3" s="8"/>
      <c r="I3" s="2" t="s">
        <v>88</v>
      </c>
      <c r="Q3" s="2" t="s">
        <v>66</v>
      </c>
    </row>
    <row r="4" spans="1:17" ht="15" customHeight="1" x14ac:dyDescent="0.3">
      <c r="A4" s="2" t="s">
        <v>6</v>
      </c>
      <c r="B4" s="2" t="s">
        <v>65</v>
      </c>
      <c r="C4" s="2" t="s">
        <v>75</v>
      </c>
      <c r="D4" s="2" t="s">
        <v>74</v>
      </c>
      <c r="E4" s="2" t="s">
        <v>98</v>
      </c>
      <c r="F4" s="2" t="s">
        <v>97</v>
      </c>
      <c r="G4" s="2" t="s">
        <v>64</v>
      </c>
      <c r="H4" s="2" t="s">
        <v>10</v>
      </c>
      <c r="I4" s="2" t="s">
        <v>34</v>
      </c>
      <c r="J4" s="2"/>
      <c r="K4" s="2"/>
      <c r="L4" s="2" t="s">
        <v>35</v>
      </c>
      <c r="M4" s="2" t="s">
        <v>76</v>
      </c>
      <c r="N4" s="2" t="s">
        <v>4</v>
      </c>
      <c r="O4" s="2" t="s">
        <v>86</v>
      </c>
      <c r="P4" s="2" t="s">
        <v>85</v>
      </c>
      <c r="Q4" s="2" t="s">
        <v>67</v>
      </c>
    </row>
    <row r="5" spans="1:17" x14ac:dyDescent="0.3">
      <c r="A5" t="s">
        <v>7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12</v>
      </c>
      <c r="I5">
        <v>1538396</v>
      </c>
      <c r="J5" t="s">
        <v>34</v>
      </c>
      <c r="L5" s="3">
        <f>C9*0.7</f>
        <v>5.5676052871483162</v>
      </c>
      <c r="M5">
        <f>L6/I6</f>
        <v>30.363615543241984</v>
      </c>
      <c r="N5" s="1" t="s">
        <v>77</v>
      </c>
      <c r="O5" t="s">
        <v>87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8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37</v>
      </c>
      <c r="K6" t="s">
        <v>73</v>
      </c>
      <c r="L6" s="6">
        <f>0.33*L5</f>
        <v>1.8373097447589444</v>
      </c>
      <c r="N6" t="s">
        <v>78</v>
      </c>
      <c r="O6">
        <f>87/(1000000*0.27777)</f>
        <v>3.1320876984555567E-4</v>
      </c>
      <c r="P6">
        <f>P5*N2</f>
        <v>0.90099124805827935</v>
      </c>
    </row>
    <row r="7" spans="1:17" x14ac:dyDescent="0.3">
      <c r="A7" t="s">
        <v>9</v>
      </c>
      <c r="B7">
        <f>1714</f>
        <v>1714</v>
      </c>
      <c r="E7" t="s">
        <v>99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89</v>
      </c>
      <c r="K7" t="s">
        <v>79</v>
      </c>
      <c r="N7">
        <f>L6/D9</f>
        <v>0.54208059575265499</v>
      </c>
    </row>
    <row r="8" spans="1:17" x14ac:dyDescent="0.3">
      <c r="A8" t="s">
        <v>11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70</v>
      </c>
      <c r="F11" t="s">
        <v>71</v>
      </c>
      <c r="G11">
        <f>60*N2/(1000000*I2*M5)</f>
        <v>0.44712301033802088</v>
      </c>
    </row>
    <row r="12" spans="1:17" x14ac:dyDescent="0.3">
      <c r="G12" t="s">
        <v>67</v>
      </c>
    </row>
    <row r="14" spans="1:17" x14ac:dyDescent="0.3">
      <c r="A14" t="s">
        <v>72</v>
      </c>
      <c r="B14">
        <v>55.5</v>
      </c>
      <c r="C14" t="s">
        <v>2</v>
      </c>
      <c r="D14" s="2" t="s">
        <v>80</v>
      </c>
      <c r="E14" t="s">
        <v>67</v>
      </c>
      <c r="F14" t="s">
        <v>84</v>
      </c>
      <c r="G14" t="s">
        <v>83</v>
      </c>
    </row>
    <row r="15" spans="1:17" x14ac:dyDescent="0.3">
      <c r="B15">
        <f>55.5*0.277777778</f>
        <v>15.416666678999999</v>
      </c>
      <c r="C15" t="s">
        <v>3</v>
      </c>
      <c r="D15" t="s">
        <v>81</v>
      </c>
      <c r="E15">
        <f>G5/D5</f>
        <v>0.19942997527043146</v>
      </c>
      <c r="F15">
        <v>0.44834159400000001</v>
      </c>
    </row>
    <row r="16" spans="1:17" x14ac:dyDescent="0.3">
      <c r="D16" t="s">
        <v>82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90</v>
      </c>
      <c r="C1">
        <v>2050</v>
      </c>
      <c r="D1" t="s">
        <v>91</v>
      </c>
    </row>
    <row r="2" spans="1:9" x14ac:dyDescent="0.3">
      <c r="C2" t="s">
        <v>92</v>
      </c>
      <c r="E2" t="s">
        <v>93</v>
      </c>
      <c r="F2">
        <f>9/(39.4*0.3)</f>
        <v>0.76142131979695438</v>
      </c>
      <c r="G2" t="s">
        <v>67</v>
      </c>
    </row>
    <row r="3" spans="1:9" x14ac:dyDescent="0.3">
      <c r="D3">
        <v>2050</v>
      </c>
      <c r="E3" t="s">
        <v>94</v>
      </c>
      <c r="F3">
        <f>1.5/(39.444*0.3)</f>
        <v>0.12676199168441335</v>
      </c>
      <c r="G3" t="s">
        <v>67</v>
      </c>
      <c r="I3" t="s">
        <v>108</v>
      </c>
    </row>
    <row r="5" spans="1:9" x14ac:dyDescent="0.3">
      <c r="A5" t="s">
        <v>95</v>
      </c>
      <c r="C5" t="s">
        <v>96</v>
      </c>
      <c r="E5" t="s">
        <v>109</v>
      </c>
    </row>
    <row r="6" spans="1:9" x14ac:dyDescent="0.3">
      <c r="E6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161</v>
      </c>
      <c r="I1" s="10">
        <v>0.27779999999999999</v>
      </c>
      <c r="J1" s="2" t="s">
        <v>113</v>
      </c>
    </row>
    <row r="2" spans="1:10" x14ac:dyDescent="0.3">
      <c r="A2" t="s">
        <v>162</v>
      </c>
    </row>
    <row r="3" spans="1:10" x14ac:dyDescent="0.3">
      <c r="A3" t="s">
        <v>4</v>
      </c>
      <c r="B3">
        <v>0.7</v>
      </c>
      <c r="C3" t="s">
        <v>72</v>
      </c>
    </row>
    <row r="4" spans="1:10" x14ac:dyDescent="0.3">
      <c r="A4" t="s">
        <v>164</v>
      </c>
      <c r="B4">
        <v>87</v>
      </c>
      <c r="C4" t="s">
        <v>165</v>
      </c>
      <c r="D4" s="3">
        <f>B4/I1</f>
        <v>313.17494600431968</v>
      </c>
      <c r="E4" t="s">
        <v>166</v>
      </c>
    </row>
    <row r="8" spans="1:10" x14ac:dyDescent="0.3">
      <c r="A8" t="s">
        <v>167</v>
      </c>
    </row>
    <row r="9" spans="1:10" x14ac:dyDescent="0.3">
      <c r="A9" t="s">
        <v>4</v>
      </c>
      <c r="B9">
        <v>0.6</v>
      </c>
    </row>
    <row r="18" spans="1:5" x14ac:dyDescent="0.3">
      <c r="A18" t="s">
        <v>140</v>
      </c>
      <c r="B18" s="3">
        <v>133</v>
      </c>
      <c r="C18" t="s">
        <v>143</v>
      </c>
      <c r="D18" s="9">
        <f>B18/1000000</f>
        <v>1.3300000000000001E-4</v>
      </c>
      <c r="E18" t="s">
        <v>104</v>
      </c>
    </row>
    <row r="19" spans="1:5" x14ac:dyDescent="0.3">
      <c r="A19" t="s">
        <v>141</v>
      </c>
      <c r="B19" s="13" t="s">
        <v>142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1"/>
  <sheetViews>
    <sheetView workbookViewId="0">
      <selection activeCell="H2" sqref="H2:J2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 t="s">
        <v>19</v>
      </c>
      <c r="I2" s="2">
        <v>3.9</v>
      </c>
      <c r="J2" s="2" t="s">
        <v>3</v>
      </c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(C3*C2)-I2</f>
        <v>29.436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0.31627938578611225</v>
      </c>
      <c r="F4" t="s">
        <v>125</v>
      </c>
    </row>
    <row r="6" spans="1:11" x14ac:dyDescent="0.3">
      <c r="A6" t="s">
        <v>206</v>
      </c>
      <c r="C6">
        <v>0.65</v>
      </c>
      <c r="E6" s="14" t="s">
        <v>207</v>
      </c>
    </row>
    <row r="8" spans="1:11" x14ac:dyDescent="0.3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1508.4772559999999</v>
      </c>
      <c r="G8" t="s">
        <v>170</v>
      </c>
      <c r="I8">
        <f>F8/8760</f>
        <v>0.17220059999999998</v>
      </c>
      <c r="J8" t="s">
        <v>186</v>
      </c>
    </row>
    <row r="10" spans="1:11" x14ac:dyDescent="0.3">
      <c r="A10" s="2" t="s">
        <v>171</v>
      </c>
      <c r="B10">
        <f>133815/1000</f>
        <v>133.815</v>
      </c>
      <c r="C10" t="s">
        <v>172</v>
      </c>
      <c r="D10">
        <f>B10/I8</f>
        <v>777.08788471120317</v>
      </c>
      <c r="E10" t="s">
        <v>173</v>
      </c>
      <c r="F10" s="16">
        <f>D10*I1</f>
        <v>854.79667318232362</v>
      </c>
      <c r="G10" t="s">
        <v>187</v>
      </c>
    </row>
    <row r="11" spans="1:11" x14ac:dyDescent="0.3">
      <c r="A11" s="2" t="s">
        <v>68</v>
      </c>
      <c r="B11">
        <v>20</v>
      </c>
      <c r="C11" t="s">
        <v>192</v>
      </c>
    </row>
    <row r="13" spans="1:11" x14ac:dyDescent="0.3">
      <c r="A13" s="2" t="s">
        <v>174</v>
      </c>
      <c r="D13" s="2" t="s">
        <v>179</v>
      </c>
      <c r="F13" s="2" t="s">
        <v>188</v>
      </c>
      <c r="I13" t="s">
        <v>189</v>
      </c>
      <c r="J13" t="s">
        <v>190</v>
      </c>
      <c r="K13" t="s">
        <v>197</v>
      </c>
    </row>
    <row r="14" spans="1:11" x14ac:dyDescent="0.3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F14">
        <f>B14/(D14*1000)</f>
        <v>3087.65</v>
      </c>
      <c r="G14" t="s">
        <v>35</v>
      </c>
      <c r="I14">
        <f>F8/F15</f>
        <v>42.532253458646615</v>
      </c>
      <c r="J14">
        <f>F8/(F15+F14)</f>
        <v>0.48300381221749639</v>
      </c>
      <c r="K14" s="16">
        <f>F15/F14</f>
        <v>1.1486621432696928E-2</v>
      </c>
    </row>
    <row r="15" spans="1:11" x14ac:dyDescent="0.3">
      <c r="A15" t="s">
        <v>176</v>
      </c>
      <c r="B15">
        <v>1064000</v>
      </c>
      <c r="C15" t="s">
        <v>178</v>
      </c>
      <c r="D15">
        <v>30</v>
      </c>
      <c r="E15" t="s">
        <v>180</v>
      </c>
      <c r="F15" s="2">
        <f>B15/(D15*1000)</f>
        <v>35.466666666666669</v>
      </c>
      <c r="G15" t="s">
        <v>35</v>
      </c>
    </row>
    <row r="16" spans="1:11" x14ac:dyDescent="0.3">
      <c r="F16" s="2"/>
    </row>
    <row r="17" spans="1:7" x14ac:dyDescent="0.3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3">
      <c r="A19" t="s">
        <v>181</v>
      </c>
      <c r="B19">
        <v>12</v>
      </c>
      <c r="C19" t="s">
        <v>169</v>
      </c>
    </row>
    <row r="20" spans="1:7" x14ac:dyDescent="0.3">
      <c r="B20">
        <f>B19*(365*24*60*60)</f>
        <v>378432000</v>
      </c>
      <c r="C20" t="s">
        <v>116</v>
      </c>
    </row>
    <row r="21" spans="1:7" x14ac:dyDescent="0.3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3">
      <c r="A23" s="2" t="s">
        <v>215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 s="16">
        <f>D23/F8</f>
        <v>4.5715231700336145E-2</v>
      </c>
      <c r="G23" t="s">
        <v>67</v>
      </c>
    </row>
    <row r="24" spans="1:7" x14ac:dyDescent="0.3">
      <c r="A24" s="14" t="s">
        <v>199</v>
      </c>
    </row>
    <row r="26" spans="1:7" x14ac:dyDescent="0.3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 s="16">
        <f>D26/I8</f>
        <v>6.9564217546280336</v>
      </c>
      <c r="G26" t="s">
        <v>187</v>
      </c>
    </row>
    <row r="27" spans="1:7" x14ac:dyDescent="0.3">
      <c r="A27" s="15" t="s">
        <v>216</v>
      </c>
    </row>
    <row r="29" spans="1:7" x14ac:dyDescent="0.3">
      <c r="A29" s="2" t="s">
        <v>191</v>
      </c>
      <c r="B29">
        <f>F8*B11*1000</f>
        <v>30169545.119999997</v>
      </c>
      <c r="C29" t="s">
        <v>193</v>
      </c>
    </row>
    <row r="30" spans="1:7" x14ac:dyDescent="0.3">
      <c r="A30" s="2" t="s">
        <v>194</v>
      </c>
      <c r="B30">
        <f>(B10*1000000)+(70005000*B11)</f>
        <v>1533915000</v>
      </c>
      <c r="C30" t="s">
        <v>195</v>
      </c>
    </row>
    <row r="31" spans="1:7" x14ac:dyDescent="0.3">
      <c r="A31" s="2" t="s">
        <v>196</v>
      </c>
      <c r="B31">
        <f>B30/B29</f>
        <v>50.843159679697557</v>
      </c>
      <c r="C31" t="s">
        <v>180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0"/>
  <sheetViews>
    <sheetView topLeftCell="A7" workbookViewId="0">
      <selection activeCell="J20" sqref="J20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5" spans="1:11" x14ac:dyDescent="0.3">
      <c r="A5" t="s">
        <v>213</v>
      </c>
      <c r="B5">
        <v>0.9</v>
      </c>
    </row>
    <row r="7" spans="1:11" x14ac:dyDescent="0.3">
      <c r="A7" t="s">
        <v>206</v>
      </c>
      <c r="C7">
        <v>0.7</v>
      </c>
      <c r="E7" s="14" t="s">
        <v>207</v>
      </c>
    </row>
    <row r="9" spans="1:11" x14ac:dyDescent="0.3">
      <c r="A9" t="s">
        <v>168</v>
      </c>
      <c r="B9">
        <v>2.5</v>
      </c>
      <c r="C9" t="s">
        <v>169</v>
      </c>
      <c r="D9">
        <f>B9*(365*24*60*60)</f>
        <v>78840000</v>
      </c>
      <c r="E9" t="s">
        <v>116</v>
      </c>
      <c r="F9">
        <f>(D9*I3*C7/(1000000))</f>
        <v>1839.7471680000001</v>
      </c>
      <c r="G9" t="s">
        <v>170</v>
      </c>
      <c r="I9">
        <f>F9/8760</f>
        <v>0.2100168</v>
      </c>
      <c r="J9" t="s">
        <v>186</v>
      </c>
    </row>
    <row r="11" spans="1:11" x14ac:dyDescent="0.3">
      <c r="A11" s="2" t="s">
        <v>171</v>
      </c>
      <c r="B11">
        <v>162</v>
      </c>
      <c r="C11" t="s">
        <v>172</v>
      </c>
      <c r="D11">
        <f>B11/I9</f>
        <v>771.36686207960508</v>
      </c>
      <c r="E11" t="s">
        <v>173</v>
      </c>
      <c r="F11" s="16">
        <f>D11*I1</f>
        <v>848.50354828756565</v>
      </c>
      <c r="G11" t="s">
        <v>187</v>
      </c>
    </row>
    <row r="12" spans="1:11" x14ac:dyDescent="0.3">
      <c r="A12" s="2" t="s">
        <v>68</v>
      </c>
      <c r="B12">
        <v>20</v>
      </c>
      <c r="C12" t="s">
        <v>192</v>
      </c>
    </row>
    <row r="14" spans="1:11" x14ac:dyDescent="0.3">
      <c r="A14" s="2" t="s">
        <v>174</v>
      </c>
      <c r="D14" s="2" t="s">
        <v>179</v>
      </c>
      <c r="H14" s="2" t="s">
        <v>188</v>
      </c>
      <c r="J14" s="2" t="s">
        <v>212</v>
      </c>
    </row>
    <row r="15" spans="1:11" x14ac:dyDescent="0.3">
      <c r="A15" t="s">
        <v>175</v>
      </c>
      <c r="B15">
        <f>64546*1000</f>
        <v>64546000</v>
      </c>
      <c r="C15" t="s">
        <v>178</v>
      </c>
      <c r="D15">
        <v>20</v>
      </c>
      <c r="E15" t="s">
        <v>180</v>
      </c>
      <c r="H15">
        <f>B15/(D15*1000)</f>
        <v>3227.3</v>
      </c>
      <c r="I15" t="s">
        <v>35</v>
      </c>
      <c r="J15">
        <f>B15/(D15*1000)</f>
        <v>3227.3</v>
      </c>
      <c r="K15" t="s">
        <v>35</v>
      </c>
    </row>
    <row r="16" spans="1:11" x14ac:dyDescent="0.3">
      <c r="A16" t="s">
        <v>176</v>
      </c>
      <c r="B16">
        <v>1064000</v>
      </c>
      <c r="C16" t="s">
        <v>178</v>
      </c>
      <c r="D16">
        <v>30</v>
      </c>
      <c r="E16" t="s">
        <v>180</v>
      </c>
      <c r="H16" s="2">
        <f>B16/(D16*1000)</f>
        <v>35.466666666666669</v>
      </c>
      <c r="I16" t="s">
        <v>35</v>
      </c>
      <c r="J16" s="2">
        <f>H16+F17</f>
        <v>215.93730350389399</v>
      </c>
      <c r="K16" t="s">
        <v>35</v>
      </c>
    </row>
    <row r="17" spans="1:10" x14ac:dyDescent="0.3">
      <c r="A17" t="s">
        <v>211</v>
      </c>
      <c r="F17">
        <f>B40</f>
        <v>180.47063683722732</v>
      </c>
      <c r="G17" t="s">
        <v>35</v>
      </c>
    </row>
    <row r="18" spans="1:10" x14ac:dyDescent="0.3">
      <c r="A18" t="s">
        <v>177</v>
      </c>
      <c r="B18">
        <v>1089000</v>
      </c>
      <c r="C18" t="s">
        <v>178</v>
      </c>
      <c r="D18">
        <f>B18/1000000</f>
        <v>1.089</v>
      </c>
      <c r="E18" t="s">
        <v>184</v>
      </c>
    </row>
    <row r="19" spans="1:10" x14ac:dyDescent="0.3">
      <c r="A19" t="s">
        <v>217</v>
      </c>
      <c r="B19">
        <f>(97662-64546-2778-1064-1089)*1000</f>
        <v>28185000</v>
      </c>
      <c r="C19" t="s">
        <v>178</v>
      </c>
      <c r="H19" t="s">
        <v>200</v>
      </c>
      <c r="I19" t="s">
        <v>190</v>
      </c>
      <c r="J19" t="s">
        <v>197</v>
      </c>
    </row>
    <row r="20" spans="1:10" x14ac:dyDescent="0.3">
      <c r="H20">
        <f>F9/J16</f>
        <v>8.5198209764938735</v>
      </c>
      <c r="I20">
        <f>F9/(J16+J15)</f>
        <v>0.53430739906536318</v>
      </c>
      <c r="J20" s="16">
        <f>J16/J15</f>
        <v>6.6909584948376039E-2</v>
      </c>
    </row>
    <row r="21" spans="1:10" x14ac:dyDescent="0.3">
      <c r="A21" t="s">
        <v>181</v>
      </c>
      <c r="B21">
        <v>12</v>
      </c>
      <c r="C21" t="s">
        <v>169</v>
      </c>
    </row>
    <row r="22" spans="1:10" x14ac:dyDescent="0.3">
      <c r="B22">
        <f>B21*(365*24*60*60)</f>
        <v>378432000</v>
      </c>
      <c r="C22" t="s">
        <v>116</v>
      </c>
    </row>
    <row r="23" spans="1:10" x14ac:dyDescent="0.3">
      <c r="B23">
        <f>B22*0.3</f>
        <v>113529600</v>
      </c>
      <c r="C23" t="s">
        <v>147</v>
      </c>
      <c r="D23">
        <f>B23*G1/(1000000)</f>
        <v>1.0320872727272727</v>
      </c>
      <c r="E23" t="s">
        <v>182</v>
      </c>
      <c r="F23">
        <f>D23/I1</f>
        <v>0.93826115702479329</v>
      </c>
      <c r="G23" t="s">
        <v>184</v>
      </c>
    </row>
    <row r="25" spans="1:10" x14ac:dyDescent="0.3">
      <c r="A25" s="2" t="s">
        <v>215</v>
      </c>
      <c r="B25">
        <f>(B15/1000000)+F23</f>
        <v>65.484261157024804</v>
      </c>
      <c r="C25" t="s">
        <v>184</v>
      </c>
      <c r="D25">
        <f>B25*I1</f>
        <v>72.032687272727287</v>
      </c>
      <c r="E25" t="s">
        <v>182</v>
      </c>
      <c r="F25" s="16">
        <f>(D25/F9)+B38</f>
        <v>5.5653579647052503E-2</v>
      </c>
      <c r="G25" t="s">
        <v>67</v>
      </c>
    </row>
    <row r="26" spans="1:10" x14ac:dyDescent="0.3">
      <c r="A26" s="14" t="s">
        <v>218</v>
      </c>
    </row>
    <row r="28" spans="1:10" x14ac:dyDescent="0.3">
      <c r="A28" s="2" t="s">
        <v>185</v>
      </c>
      <c r="B28">
        <f>D18</f>
        <v>1.089</v>
      </c>
      <c r="C28" t="s">
        <v>184</v>
      </c>
      <c r="D28">
        <f>B28*I1</f>
        <v>1.1979</v>
      </c>
      <c r="E28" t="s">
        <v>182</v>
      </c>
      <c r="F28" s="16">
        <f>D28/I9</f>
        <v>5.7038294079330791</v>
      </c>
      <c r="G28" t="s">
        <v>187</v>
      </c>
    </row>
    <row r="29" spans="1:10" x14ac:dyDescent="0.3">
      <c r="A29" s="15"/>
    </row>
    <row r="31" spans="1:10" x14ac:dyDescent="0.3">
      <c r="A31" s="2" t="s">
        <v>191</v>
      </c>
      <c r="B31">
        <f>F9*B12*1000</f>
        <v>36794943.360000007</v>
      </c>
      <c r="C31" t="s">
        <v>193</v>
      </c>
    </row>
    <row r="32" spans="1:10" x14ac:dyDescent="0.3">
      <c r="A32" s="2" t="s">
        <v>194</v>
      </c>
      <c r="B32">
        <f>(B11*1000000)+(97662000*B12)</f>
        <v>2115240000</v>
      </c>
      <c r="C32" t="s">
        <v>195</v>
      </c>
    </row>
    <row r="33" spans="1:6" x14ac:dyDescent="0.3">
      <c r="A33" s="2" t="s">
        <v>196</v>
      </c>
      <c r="B33">
        <f>B32/B31</f>
        <v>57.487247073723978</v>
      </c>
      <c r="C33" t="s">
        <v>180</v>
      </c>
    </row>
    <row r="35" spans="1:6" x14ac:dyDescent="0.3">
      <c r="A35" s="2" t="s">
        <v>140</v>
      </c>
      <c r="B35">
        <v>1.3300000000000001E-4</v>
      </c>
      <c r="C35" t="s">
        <v>104</v>
      </c>
    </row>
    <row r="36" spans="1:6" x14ac:dyDescent="0.3">
      <c r="A36" s="2" t="s">
        <v>214</v>
      </c>
      <c r="B36">
        <f>B35*F9*B5</f>
        <v>0.22021773600960004</v>
      </c>
      <c r="C36" t="s">
        <v>37</v>
      </c>
    </row>
    <row r="37" spans="1:6" x14ac:dyDescent="0.3">
      <c r="A37" s="15" t="s">
        <v>208</v>
      </c>
      <c r="B37">
        <v>15</v>
      </c>
      <c r="C37" t="s">
        <v>209</v>
      </c>
    </row>
    <row r="38" spans="1:6" x14ac:dyDescent="0.3">
      <c r="B38" s="16">
        <f>B37*I1/1000</f>
        <v>1.6500000000000001E-2</v>
      </c>
      <c r="C38" t="s">
        <v>67</v>
      </c>
      <c r="E38">
        <f>B38*F9*1000000/I1</f>
        <v>27596207.52</v>
      </c>
      <c r="F38" t="s">
        <v>172</v>
      </c>
    </row>
    <row r="39" spans="1:6" x14ac:dyDescent="0.3">
      <c r="A39" t="s">
        <v>210</v>
      </c>
      <c r="B39">
        <v>2950</v>
      </c>
      <c r="C39" t="s">
        <v>51</v>
      </c>
      <c r="D39">
        <f>B39*C2</f>
        <v>819.51</v>
      </c>
      <c r="E39" t="s">
        <v>23</v>
      </c>
    </row>
    <row r="40" spans="1:6" x14ac:dyDescent="0.3">
      <c r="B40" s="3">
        <f>D39*B36</f>
        <v>180.47063683722732</v>
      </c>
      <c r="C40" s="3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J20" sqref="J2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112</v>
      </c>
      <c r="H1">
        <v>1395.7449839999999</v>
      </c>
      <c r="I1" t="s">
        <v>114</v>
      </c>
      <c r="J1">
        <v>33.335999999999999</v>
      </c>
      <c r="K1" t="s">
        <v>3</v>
      </c>
      <c r="M1" s="10">
        <v>0.27779999999999999</v>
      </c>
      <c r="N1" s="2" t="s">
        <v>113</v>
      </c>
    </row>
    <row r="2" spans="1:14" x14ac:dyDescent="0.3">
      <c r="B2">
        <f>1/110</f>
        <v>9.0909090909090905E-3</v>
      </c>
      <c r="C2" t="s">
        <v>131</v>
      </c>
      <c r="D2">
        <v>1.1000000000000001</v>
      </c>
      <c r="E2" t="s">
        <v>183</v>
      </c>
      <c r="I2" t="s">
        <v>19</v>
      </c>
      <c r="J2">
        <f>3.9</f>
        <v>3.9</v>
      </c>
      <c r="K2" t="s">
        <v>3</v>
      </c>
    </row>
    <row r="3" spans="1:14" x14ac:dyDescent="0.3">
      <c r="I3" t="s">
        <v>236</v>
      </c>
      <c r="J3">
        <f>J1-J2</f>
        <v>29.436</v>
      </c>
      <c r="K3" t="s">
        <v>3</v>
      </c>
    </row>
    <row r="4" spans="1:14" x14ac:dyDescent="0.3">
      <c r="A4" t="s">
        <v>68</v>
      </c>
      <c r="B4">
        <v>20</v>
      </c>
      <c r="C4" t="s">
        <v>192</v>
      </c>
      <c r="D4" t="s">
        <v>171</v>
      </c>
      <c r="E4">
        <f>1000*D2</f>
        <v>1100</v>
      </c>
      <c r="F4" t="s">
        <v>139</v>
      </c>
      <c r="G4">
        <f>600*D2</f>
        <v>660</v>
      </c>
    </row>
    <row r="6" spans="1:14" x14ac:dyDescent="0.3">
      <c r="A6" s="2" t="s">
        <v>202</v>
      </c>
      <c r="B6">
        <v>2974000</v>
      </c>
      <c r="C6" t="s">
        <v>195</v>
      </c>
      <c r="D6">
        <f>B6/(1000000*L10)</f>
        <v>1239.0675412633659</v>
      </c>
      <c r="E6" t="s">
        <v>173</v>
      </c>
      <c r="F6">
        <f>D6*D2</f>
        <v>1362.9742953897025</v>
      </c>
      <c r="G6" t="s">
        <v>187</v>
      </c>
    </row>
    <row r="8" spans="1:14" x14ac:dyDescent="0.3">
      <c r="A8" t="s">
        <v>181</v>
      </c>
      <c r="B8">
        <v>0.22</v>
      </c>
      <c r="C8" t="s">
        <v>169</v>
      </c>
      <c r="I8" t="s">
        <v>198</v>
      </c>
      <c r="J8">
        <v>0.02</v>
      </c>
      <c r="K8" t="s">
        <v>169</v>
      </c>
    </row>
    <row r="9" spans="1:14" x14ac:dyDescent="0.3">
      <c r="B9">
        <f>B8*(365*24*60*60)</f>
        <v>6937920</v>
      </c>
      <c r="C9" t="s">
        <v>116</v>
      </c>
      <c r="J9">
        <f>J8*(365*24*60*60)</f>
        <v>630720</v>
      </c>
      <c r="K9" t="s">
        <v>116</v>
      </c>
      <c r="L9">
        <f>J9*J1/1000000</f>
        <v>21.025681919999997</v>
      </c>
      <c r="M9" t="s">
        <v>170</v>
      </c>
    </row>
    <row r="10" spans="1:14" x14ac:dyDescent="0.3">
      <c r="B10">
        <f>0.3*B9</f>
        <v>2081376</v>
      </c>
      <c r="C10" t="s">
        <v>147</v>
      </c>
      <c r="D10">
        <f>B10*B2/1000000</f>
        <v>1.89216E-2</v>
      </c>
      <c r="E10" t="s">
        <v>182</v>
      </c>
      <c r="F10">
        <f>D10/D2</f>
        <v>1.7201454545454544E-2</v>
      </c>
      <c r="G10" t="s">
        <v>184</v>
      </c>
      <c r="L10">
        <f>L9/8760</f>
        <v>2.4001919999999998E-3</v>
      </c>
      <c r="M10" t="s">
        <v>204</v>
      </c>
    </row>
    <row r="11" spans="1:14" x14ac:dyDescent="0.3">
      <c r="F11">
        <f>F10*1000000</f>
        <v>17201.454545454544</v>
      </c>
      <c r="G11" t="s">
        <v>178</v>
      </c>
    </row>
    <row r="12" spans="1:14" x14ac:dyDescent="0.3">
      <c r="A12" s="2" t="s">
        <v>205</v>
      </c>
      <c r="B12">
        <f>D10/L9</f>
        <v>8.9992800575953936E-4</v>
      </c>
      <c r="C12" t="s">
        <v>67</v>
      </c>
    </row>
    <row r="14" spans="1:14" x14ac:dyDescent="0.3">
      <c r="A14" t="s">
        <v>176</v>
      </c>
      <c r="B14">
        <v>52</v>
      </c>
      <c r="C14" t="s">
        <v>124</v>
      </c>
      <c r="I14" t="s">
        <v>200</v>
      </c>
      <c r="J14">
        <f>J1/B14</f>
        <v>0.6410769230769231</v>
      </c>
    </row>
    <row r="16" spans="1:14" x14ac:dyDescent="0.3">
      <c r="A16" s="2" t="s">
        <v>203</v>
      </c>
      <c r="B16">
        <v>15000</v>
      </c>
      <c r="C16" t="s">
        <v>178</v>
      </c>
      <c r="D16">
        <f>B16*D2/(1000000*L10)</f>
        <v>6.8744500439964815</v>
      </c>
      <c r="E16" t="s">
        <v>187</v>
      </c>
    </row>
    <row r="17" spans="1:6" x14ac:dyDescent="0.3">
      <c r="A17" t="s">
        <v>201</v>
      </c>
    </row>
    <row r="19" spans="1:6" x14ac:dyDescent="0.3">
      <c r="A19" s="2" t="s">
        <v>191</v>
      </c>
      <c r="B19">
        <f>L9*B4/1000</f>
        <v>0.42051363839999994</v>
      </c>
      <c r="C19" t="s">
        <v>193</v>
      </c>
    </row>
    <row r="20" spans="1:6" x14ac:dyDescent="0.3">
      <c r="A20" s="2" t="s">
        <v>194</v>
      </c>
      <c r="B20">
        <f>B6+(B16*B4)+(F11*B4)</f>
        <v>3618029.0909090908</v>
      </c>
    </row>
    <row r="21" spans="1:6" x14ac:dyDescent="0.3">
      <c r="A21" s="2" t="s">
        <v>196</v>
      </c>
      <c r="B21">
        <f>B20/B19</f>
        <v>8603832.9331605602</v>
      </c>
    </row>
    <row r="24" spans="1:6" x14ac:dyDescent="0.3">
      <c r="A24" s="2" t="s">
        <v>140</v>
      </c>
      <c r="B24">
        <v>2017</v>
      </c>
      <c r="C24">
        <v>1160</v>
      </c>
      <c r="D24" t="s">
        <v>235</v>
      </c>
      <c r="E24">
        <f>C24/J3</f>
        <v>39.407528196765867</v>
      </c>
      <c r="F24" t="s">
        <v>224</v>
      </c>
    </row>
    <row r="25" spans="1:6" x14ac:dyDescent="0.3">
      <c r="B25">
        <v>2050</v>
      </c>
      <c r="C25">
        <v>480</v>
      </c>
      <c r="D25" t="s">
        <v>235</v>
      </c>
      <c r="E25">
        <f>C25/J3</f>
        <v>16.306563391765184</v>
      </c>
      <c r="F25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CCS</vt:lpstr>
      <vt:lpstr>JHFC</vt:lpstr>
      <vt:lpstr>Acar and Dincer</vt:lpstr>
      <vt:lpstr>H2 Steam Reforming</vt:lpstr>
      <vt:lpstr>Photocatalytic H2</vt:lpstr>
      <vt:lpstr>Kato_H2</vt:lpstr>
      <vt:lpstr>Keipi_SMR</vt:lpstr>
      <vt:lpstr>KEIPI_CCSSMR</vt:lpstr>
      <vt:lpstr>Keipi_electrolysis</vt:lpstr>
      <vt:lpstr>Simons_PEMFC</vt:lpstr>
      <vt:lpstr>EIA_LCOE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2020-03-26T22:41:26Z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