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2cner\data\"/>
    </mc:Choice>
  </mc:AlternateContent>
  <xr:revisionPtr revIDLastSave="0" documentId="13_ncr:1_{006B096D-F042-435E-869B-F93B49E7F92D}" xr6:coauthVersionLast="44" xr6:coauthVersionMax="44" xr10:uidLastSave="{00000000-0000-0000-0000-000000000000}"/>
  <bookViews>
    <workbookView xWindow="32895" yWindow="4095" windowWidth="21600" windowHeight="11325" xr2:uid="{ECBC9880-2B97-44EA-9887-629A306A84A1}"/>
  </bookViews>
  <sheets>
    <sheet name="CCS" sheetId="2" r:id="rId1"/>
    <sheet name="Sheet1" sheetId="12" r:id="rId2"/>
    <sheet name="JHFC" sheetId="1" r:id="rId3"/>
    <sheet name="Acar and Dincer" sheetId="6" r:id="rId4"/>
    <sheet name="H2 Steam Reforming" sheetId="3" r:id="rId5"/>
    <sheet name="Photocatalytic H2" sheetId="4" r:id="rId6"/>
    <sheet name="Kato_H2" sheetId="7" r:id="rId7"/>
    <sheet name="Keipi_SMR" sheetId="5" r:id="rId8"/>
    <sheet name="KEIPI_CCSSMR" sheetId="9" r:id="rId9"/>
    <sheet name="Keipi_electrolysis" sheetId="8" r:id="rId10"/>
    <sheet name="Simons_PEMFC" sheetId="10" r:id="rId11"/>
    <sheet name="EIA_LCO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2" l="1"/>
  <c r="E31" i="2"/>
  <c r="E32" i="2"/>
  <c r="E33" i="2"/>
  <c r="E34" i="2"/>
  <c r="E35" i="2"/>
  <c r="E36" i="2"/>
  <c r="E29" i="2"/>
  <c r="E15" i="11" l="1"/>
  <c r="E14" i="11"/>
  <c r="E13" i="11"/>
  <c r="E12" i="11"/>
  <c r="G5" i="11"/>
  <c r="D15" i="11" l="1"/>
  <c r="D14" i="11"/>
  <c r="D13" i="11"/>
  <c r="D12" i="11"/>
  <c r="G7" i="11"/>
  <c r="G6" i="11"/>
  <c r="B7" i="11"/>
  <c r="B5" i="11"/>
  <c r="B6" i="11"/>
  <c r="E7" i="11"/>
  <c r="E6" i="11"/>
  <c r="E5" i="11"/>
  <c r="C7" i="11"/>
  <c r="C6" i="11"/>
  <c r="C5" i="11"/>
  <c r="E25" i="8"/>
  <c r="E24" i="8"/>
  <c r="I3" i="5"/>
  <c r="J3" i="8"/>
  <c r="J2" i="8"/>
  <c r="F5" i="10" l="1"/>
  <c r="F4" i="10"/>
  <c r="C3" i="10"/>
  <c r="F2" i="10"/>
  <c r="I5" i="10"/>
  <c r="C5" i="10"/>
  <c r="C4" i="10"/>
  <c r="F25" i="9" l="1"/>
  <c r="B25" i="9"/>
  <c r="B32" i="9"/>
  <c r="B19" i="9"/>
  <c r="B15" i="9"/>
  <c r="H16" i="9" l="1"/>
  <c r="H15" i="9"/>
  <c r="D39" i="9"/>
  <c r="B38" i="9"/>
  <c r="B22" i="9"/>
  <c r="B23" i="9" s="1"/>
  <c r="D23" i="9" s="1"/>
  <c r="F23" i="9" s="1"/>
  <c r="D25" i="9" s="1"/>
  <c r="D18" i="9"/>
  <c r="B28" i="9" s="1"/>
  <c r="D28" i="9" s="1"/>
  <c r="J15" i="9"/>
  <c r="D9" i="9"/>
  <c r="F9" i="9" s="1"/>
  <c r="B36" i="9" s="1"/>
  <c r="B40" i="9" s="1"/>
  <c r="F17" i="9" s="1"/>
  <c r="J16" i="9" s="1"/>
  <c r="I3" i="9"/>
  <c r="E4" i="9" s="1"/>
  <c r="E3" i="9"/>
  <c r="G3" i="9" s="1"/>
  <c r="G1" i="9"/>
  <c r="E38" i="9" l="1"/>
  <c r="J20" i="9"/>
  <c r="H20" i="9"/>
  <c r="I20" i="9"/>
  <c r="I9" i="9"/>
  <c r="D11" i="9" s="1"/>
  <c r="F11" i="9" s="1"/>
  <c r="B31" i="9"/>
  <c r="B33" i="9" s="1"/>
  <c r="F8" i="5"/>
  <c r="G4" i="8"/>
  <c r="E4" i="8"/>
  <c r="B12" i="8"/>
  <c r="D16" i="8"/>
  <c r="F6" i="8"/>
  <c r="D6" i="8"/>
  <c r="L9" i="8"/>
  <c r="L10" i="8" s="1"/>
  <c r="B20" i="8"/>
  <c r="B19" i="8"/>
  <c r="B21" i="8" s="1"/>
  <c r="D17" i="5"/>
  <c r="B26" i="5" s="1"/>
  <c r="F10" i="8"/>
  <c r="F11" i="8"/>
  <c r="J14" i="8"/>
  <c r="D10" i="8"/>
  <c r="B10" i="8"/>
  <c r="B2" i="8"/>
  <c r="B20" i="5"/>
  <c r="B21" i="5" s="1"/>
  <c r="D21" i="5" s="1"/>
  <c r="F21" i="5" s="1"/>
  <c r="J9" i="8"/>
  <c r="B9" i="8"/>
  <c r="B30" i="5"/>
  <c r="B14" i="5"/>
  <c r="F14" i="5" s="1"/>
  <c r="K14" i="5" s="1"/>
  <c r="F15" i="5"/>
  <c r="B10" i="5"/>
  <c r="D8" i="5"/>
  <c r="E4" i="5"/>
  <c r="E3" i="5"/>
  <c r="G3" i="5" s="1"/>
  <c r="G1" i="5"/>
  <c r="D4" i="7"/>
  <c r="D18" i="7"/>
  <c r="H13" i="1"/>
  <c r="F28" i="9" l="1"/>
  <c r="B23" i="5"/>
  <c r="D26" i="5"/>
  <c r="I14" i="5"/>
  <c r="I27" i="1"/>
  <c r="G26" i="1"/>
  <c r="G28" i="1" s="1"/>
  <c r="G25" i="1"/>
  <c r="I24" i="1"/>
  <c r="D25" i="1"/>
  <c r="D24" i="1"/>
  <c r="B24" i="1"/>
  <c r="B23" i="1"/>
  <c r="B22" i="1"/>
  <c r="B21" i="1"/>
  <c r="B20" i="1"/>
  <c r="D29" i="1"/>
  <c r="F10" i="1"/>
  <c r="D10" i="1"/>
  <c r="B10" i="1"/>
  <c r="N11" i="1"/>
  <c r="B17" i="1"/>
  <c r="F16" i="1"/>
  <c r="D16" i="1"/>
  <c r="F14" i="1"/>
  <c r="F15" i="1"/>
  <c r="F13" i="1"/>
  <c r="D15" i="1"/>
  <c r="D14" i="1"/>
  <c r="D13" i="1"/>
  <c r="K2" i="1"/>
  <c r="L11" i="1"/>
  <c r="L10" i="1"/>
  <c r="I5" i="1"/>
  <c r="M4" i="1"/>
  <c r="K4" i="1"/>
  <c r="I4" i="1"/>
  <c r="B9" i="1"/>
  <c r="N8" i="1"/>
  <c r="J14" i="5" l="1"/>
  <c r="I8" i="5"/>
  <c r="B29" i="5"/>
  <c r="B31" i="5" s="1"/>
  <c r="D23" i="5"/>
  <c r="F23" i="5" s="1"/>
  <c r="K9" i="2"/>
  <c r="K10" i="2"/>
  <c r="K8" i="2"/>
  <c r="D10" i="5" l="1"/>
  <c r="F10" i="5" s="1"/>
  <c r="F26" i="5"/>
  <c r="E18" i="2"/>
  <c r="E17" i="2"/>
  <c r="D12" i="2"/>
  <c r="F3" i="4" l="1"/>
  <c r="F2" i="4"/>
  <c r="O6" i="3"/>
  <c r="D8" i="3" l="1"/>
  <c r="C8" i="3"/>
  <c r="B15" i="3"/>
  <c r="B5" i="3" l="1"/>
  <c r="G5" i="3" s="1"/>
  <c r="I2" i="3"/>
  <c r="I6" i="3" s="1"/>
  <c r="I7" i="3" s="1"/>
  <c r="G8" i="3"/>
  <c r="B7" i="3"/>
  <c r="G7" i="3" s="1"/>
  <c r="B6" i="3"/>
  <c r="G6" i="3" s="1"/>
  <c r="E4" i="2"/>
  <c r="D14" i="2"/>
  <c r="D15" i="2" s="1"/>
  <c r="K1" i="2"/>
  <c r="D13" i="2" s="1"/>
  <c r="L8" i="2" l="1"/>
  <c r="L9" i="2"/>
  <c r="C23" i="2"/>
  <c r="L10" i="2"/>
  <c r="G9" i="3"/>
  <c r="C5" i="3"/>
  <c r="L12" i="2" l="1"/>
  <c r="N8" i="2"/>
  <c r="L14" i="2"/>
  <c r="N10" i="2"/>
  <c r="L13" i="2"/>
  <c r="N9" i="2"/>
  <c r="D5" i="3"/>
  <c r="C9" i="3"/>
  <c r="L5" i="3" s="1"/>
  <c r="L6" i="3" s="1"/>
  <c r="E19" i="2"/>
  <c r="G24" i="2" l="1"/>
  <c r="G25" i="2"/>
  <c r="C26" i="2"/>
  <c r="F16" i="3"/>
  <c r="G16" i="3" s="1"/>
  <c r="Q5" i="3" s="1"/>
  <c r="E8" i="3"/>
  <c r="N9" i="3"/>
  <c r="P5" i="3"/>
  <c r="P6" i="3" s="1"/>
  <c r="D9" i="3"/>
  <c r="E15" i="3"/>
  <c r="M5" i="3"/>
  <c r="G11" i="3" s="1"/>
  <c r="N7" i="3" l="1"/>
  <c r="E6" i="3"/>
  <c r="E5" i="3"/>
</calcChain>
</file>

<file path=xl/sharedStrings.xml><?xml version="1.0" encoding="utf-8"?>
<sst xmlns="http://schemas.openxmlformats.org/spreadsheetml/2006/main" count="461" uniqueCount="247">
  <si>
    <t>H2 Method</t>
  </si>
  <si>
    <t>H2 energy density</t>
  </si>
  <si>
    <t>MJ/kg</t>
  </si>
  <si>
    <t>kWh/kg</t>
  </si>
  <si>
    <t>Efficiency</t>
  </si>
  <si>
    <t>DSCINV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</si>
  <si>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</si>
  <si>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</si>
  <si>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</si>
  <si>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</si>
  <si>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</si>
  <si>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</si>
  <si>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</si>
  <si>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</si>
  <si>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</si>
  <si>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CCU</t>
  </si>
  <si>
    <t>2000 JPY/tCO2</t>
  </si>
  <si>
    <t>1000 JPY/tCO2</t>
  </si>
  <si>
    <t>MUSD/Mt</t>
  </si>
  <si>
    <t>Liquefaction</t>
  </si>
  <si>
    <t>Geo Injection</t>
  </si>
  <si>
    <t>MJ/t</t>
  </si>
  <si>
    <t>Total</t>
  </si>
  <si>
    <t>GWh/Mt</t>
  </si>
  <si>
    <t>Injection</t>
  </si>
  <si>
    <t>2800 JPY/t</t>
  </si>
  <si>
    <t>800 JPY/t</t>
  </si>
  <si>
    <t xml:space="preserve"> MUSD/Mt</t>
  </si>
  <si>
    <t xml:space="preserve">Total </t>
  </si>
  <si>
    <t>Max Limit</t>
  </si>
  <si>
    <t>Gt</t>
  </si>
  <si>
    <t>monoethanolamine (MEA)</t>
  </si>
  <si>
    <t>JPY/USD</t>
  </si>
  <si>
    <t>EXCLUDING ELC</t>
  </si>
  <si>
    <t>m3</t>
  </si>
  <si>
    <t>GWh</t>
  </si>
  <si>
    <t>Transportation (pipeline)</t>
  </si>
  <si>
    <t>Mt</t>
  </si>
  <si>
    <t>Transport</t>
  </si>
  <si>
    <t>100km pipeline</t>
  </si>
  <si>
    <t>1km pipeline</t>
  </si>
  <si>
    <t>kJ/t</t>
  </si>
  <si>
    <t>for shipping</t>
  </si>
  <si>
    <t>1km,w/o shipping</t>
  </si>
  <si>
    <t>MJ/Mt</t>
  </si>
  <si>
    <t>1 MJ</t>
  </si>
  <si>
    <t>Energy Cost</t>
  </si>
  <si>
    <t>Capture Cost</t>
  </si>
  <si>
    <t>Capture Cost Targets</t>
  </si>
  <si>
    <t>1km pipe+ship</t>
  </si>
  <si>
    <t>Mostly offshore</t>
  </si>
  <si>
    <t>MJ/tCO2</t>
  </si>
  <si>
    <t>500 JPY/tCO2</t>
  </si>
  <si>
    <t xml:space="preserve">Corresponds to </t>
  </si>
  <si>
    <t>4200 JPY/t</t>
  </si>
  <si>
    <t>Fixed Costs</t>
  </si>
  <si>
    <t>Variable Cost</t>
  </si>
  <si>
    <t>Summary</t>
  </si>
  <si>
    <t>(Variable)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</si>
  <si>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</si>
  <si>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</si>
  <si>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</si>
  <si>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</si>
  <si>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</si>
  <si>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</si>
  <si>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</si>
  <si>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</si>
  <si>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</si>
  <si>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</si>
  <si>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</si>
  <si>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</si>
  <si>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</si>
  <si>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</si>
  <si>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</si>
  <si>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</si>
  <si>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</si>
  <si>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</si>
  <si>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</si>
  <si>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</si>
  <si>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</si>
  <si>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</si>
  <si>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</si>
  <si>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</si>
  <si>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</si>
  <si>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</si>
  <si>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</si>
  <si>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</si>
  <si>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</si>
  <si>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</si>
  <si>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</si>
  <si>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</si>
  <si>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</si>
  <si>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</si>
  <si>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</si>
  <si>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</si>
  <si>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</si>
  <si>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</si>
  <si>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</si>
  <si>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</si>
  <si>
    <t>ELC/LNG:</t>
  </si>
  <si>
    <t>LNG input only:</t>
  </si>
  <si>
    <t>COA</t>
  </si>
  <si>
    <t>LNG</t>
  </si>
  <si>
    <t>OIL</t>
  </si>
  <si>
    <t>Mt/GWh</t>
  </si>
  <si>
    <t>CCS Penalty</t>
  </si>
  <si>
    <t>Resid CO2(Mt)</t>
  </si>
  <si>
    <t>New Emi(Mt/GWh)</t>
  </si>
  <si>
    <t>based on competitive cost of h2/elc projections</t>
  </si>
  <si>
    <t>No emissions due to high energy density, uses less steel/concrete than nuclear</t>
  </si>
  <si>
    <t>no data on emissions intensity anyway :(</t>
  </si>
  <si>
    <t>kg/Nm3</t>
  </si>
  <si>
    <t>MJ/Nm3</t>
  </si>
  <si>
    <t>kWh/MJ</t>
  </si>
  <si>
    <t>kWh/Nm3</t>
  </si>
  <si>
    <t>Nm3/yr</t>
  </si>
  <si>
    <t>kg/yr</t>
  </si>
  <si>
    <t>ELC input</t>
  </si>
  <si>
    <t>Clean Water</t>
  </si>
  <si>
    <t>Waste Water</t>
  </si>
  <si>
    <t>kg</t>
  </si>
  <si>
    <t>kWh</t>
  </si>
  <si>
    <t>Investment cost</t>
  </si>
  <si>
    <t>ELC/kg H2</t>
  </si>
  <si>
    <t>kWh/kgH2</t>
  </si>
  <si>
    <t>kWhe/kWh-H2</t>
  </si>
  <si>
    <t>Annual Stats</t>
  </si>
  <si>
    <t>Output H2</t>
  </si>
  <si>
    <t>ELC  based H2output</t>
  </si>
  <si>
    <t>H2 OP ELC worth</t>
  </si>
  <si>
    <t>JPY</t>
  </si>
  <si>
    <t>USD/JPY</t>
  </si>
  <si>
    <t>USD</t>
  </si>
  <si>
    <t>USD/kWh-H2</t>
  </si>
  <si>
    <t>Cost</t>
  </si>
  <si>
    <t>yen</t>
  </si>
  <si>
    <t>kW/yr</t>
  </si>
  <si>
    <t>$/kWh</t>
  </si>
  <si>
    <t>$/kWh-cap</t>
  </si>
  <si>
    <t>$/kW</t>
  </si>
  <si>
    <t>Emissions</t>
  </si>
  <si>
    <t>source</t>
  </si>
  <si>
    <t>https://www.sciencedirect.com/science/article/pii/S0196890417312153</t>
  </si>
  <si>
    <t>kg/MWh-H2</t>
  </si>
  <si>
    <t>Variable O&amp;M Costs</t>
  </si>
  <si>
    <t>Fixed O&amp;M Costs</t>
  </si>
  <si>
    <t>Labour</t>
  </si>
  <si>
    <t>JPY/yr</t>
  </si>
  <si>
    <t>Repair</t>
  </si>
  <si>
    <t>https://www.topsoe.com/sites/default/files/topsoe_large_scale_hydrogen_produc.pdf</t>
  </si>
  <si>
    <t>20 y @13h/d</t>
  </si>
  <si>
    <t>Insurance</t>
  </si>
  <si>
    <t>Tax</t>
  </si>
  <si>
    <t>USD/yr</t>
  </si>
  <si>
    <t>FOM Cost</t>
  </si>
  <si>
    <t>AF</t>
  </si>
  <si>
    <t>total h2</t>
  </si>
  <si>
    <t>Total cost</t>
  </si>
  <si>
    <t>ELC input for 1 kg of H2</t>
  </si>
  <si>
    <t>Cost of H2</t>
  </si>
  <si>
    <t>$/kg</t>
  </si>
  <si>
    <t>ELC to H2 direct conversion</t>
  </si>
  <si>
    <t>Steam Reforming</t>
  </si>
  <si>
    <t>Note</t>
  </si>
  <si>
    <t>Emissions 1</t>
  </si>
  <si>
    <t>g/MJ</t>
  </si>
  <si>
    <t>g/kWh</t>
  </si>
  <si>
    <t>Electrolysis</t>
  </si>
  <si>
    <t>H2 Output</t>
  </si>
  <si>
    <t>kg/s</t>
  </si>
  <si>
    <t>GWh/yr</t>
  </si>
  <si>
    <t>Capex</t>
  </si>
  <si>
    <t>MEUR</t>
  </si>
  <si>
    <t>MEUR/GW</t>
  </si>
  <si>
    <t>VarOM</t>
  </si>
  <si>
    <t>Methane</t>
  </si>
  <si>
    <t>Electricity</t>
  </si>
  <si>
    <t>Other OM</t>
  </si>
  <si>
    <t>EUR/yr</t>
  </si>
  <si>
    <t>Unit cost</t>
  </si>
  <si>
    <t>EUR/MWh</t>
  </si>
  <si>
    <t>Water</t>
  </si>
  <si>
    <t>MUSD/yr</t>
  </si>
  <si>
    <t>USD/EUR</t>
  </si>
  <si>
    <t>MEUR/yr</t>
  </si>
  <si>
    <t>FixedOM</t>
  </si>
  <si>
    <t>GW</t>
  </si>
  <si>
    <t>MUSD/GW</t>
  </si>
  <si>
    <t>Input/yr</t>
  </si>
  <si>
    <t>H2/ELC ratio</t>
  </si>
  <si>
    <t>H2/(ELC+LNG)</t>
  </si>
  <si>
    <t>Total Output</t>
  </si>
  <si>
    <t>y</t>
  </si>
  <si>
    <t>MWh</t>
  </si>
  <si>
    <t>Total Price</t>
  </si>
  <si>
    <t>EUR</t>
  </si>
  <si>
    <t>Unit Price</t>
  </si>
  <si>
    <t>ELC/LNG</t>
  </si>
  <si>
    <t>Hydrogen</t>
  </si>
  <si>
    <t>water+fuel</t>
  </si>
  <si>
    <t>H2/ELC</t>
  </si>
  <si>
    <t>OtherOM</t>
  </si>
  <si>
    <t>Investment</t>
  </si>
  <si>
    <t>FOM</t>
  </si>
  <si>
    <t>GW/yr</t>
  </si>
  <si>
    <t>VAROM</t>
  </si>
  <si>
    <t>Output conversion factor</t>
  </si>
  <si>
    <t>added to make unit price match the paper</t>
  </si>
  <si>
    <t>CCS cost</t>
  </si>
  <si>
    <t>EUR/MWh-H2</t>
  </si>
  <si>
    <t>CCS ELC</t>
  </si>
  <si>
    <t>CCSELC</t>
  </si>
  <si>
    <t>Total /yr</t>
  </si>
  <si>
    <t>CCS Efficiency</t>
  </si>
  <si>
    <t>Captured CO2</t>
  </si>
  <si>
    <t>VAROM(w/o ELC)</t>
  </si>
  <si>
    <t>other OM</t>
  </si>
  <si>
    <t>Difference(CCS)</t>
  </si>
  <si>
    <t>water+fuel+CCS material</t>
  </si>
  <si>
    <t>10y</t>
  </si>
  <si>
    <t>Lifetime emissions</t>
  </si>
  <si>
    <t>kg/kW</t>
  </si>
  <si>
    <t>Total kWh over life</t>
  </si>
  <si>
    <t>Emi coeff</t>
  </si>
  <si>
    <t>gCO2/kWh</t>
  </si>
  <si>
    <t>Solar</t>
  </si>
  <si>
    <t>LCOE</t>
  </si>
  <si>
    <t>CF</t>
  </si>
  <si>
    <t>Onshore</t>
  </si>
  <si>
    <t>Offshore</t>
  </si>
  <si>
    <t>JPN</t>
  </si>
  <si>
    <t>WON</t>
  </si>
  <si>
    <t>WOFX</t>
  </si>
  <si>
    <t>WOFL</t>
  </si>
  <si>
    <t>Ratio</t>
  </si>
  <si>
    <t>g/H2</t>
  </si>
  <si>
    <t>Net energy</t>
  </si>
  <si>
    <t>ELCPVN17</t>
  </si>
  <si>
    <t>LCoE</t>
  </si>
  <si>
    <t>WOFF</t>
  </si>
  <si>
    <t xml:space="preserve"> </t>
  </si>
  <si>
    <t>CCS Trend</t>
  </si>
  <si>
    <t>example: Hadi</t>
  </si>
  <si>
    <t>fraction</t>
  </si>
  <si>
    <t>Total(Mt)</t>
  </si>
  <si>
    <t>Value(Mt)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</si>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</sst>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00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1" fillId="0" borderId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/>
    <xf numFmtId="3" fontId="0" fillId="0" borderId="0" xfId="0" applyNumberFormat="1"/>
    <xf numFmtId="4" fontId="0" fillId="0" borderId="0" xfId="0" applyNumberFormat="1"/>
    <xf numFmtId="0" fontId="8" fillId="0" borderId="0" xfId="1"/>
    <xf numFmtId="0" fontId="9" fillId="0" borderId="0" xfId="0" applyFont="1"/>
    <xf numFmtId="0" fontId="0" fillId="0" borderId="0" xfId="0" applyFont="1"/>
    <xf numFmtId="0" fontId="0" fillId="3" borderId="0" xfId="0" applyFill="1"/>
    <xf numFmtId="11" fontId="0" fillId="0" borderId="0" xfId="0" applyNumberFormat="1"/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10" xfId="2" xr:uid="{0400114F-3974-41D3-B8FB-B111E4BDB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opsoe.com/sites/default/files/topsoe_large_scale_hydrogen_produc.pdf" TargetMode="External"/><Relationship Id="rId1" Type="http://schemas.openxmlformats.org/officeDocument/2006/relationships/hyperlink" Target="https://www.sciencedirect.com/science/article/pii/S019689041731215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731215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E1D-16BA-4023-AA64-49E118FA5EEE}">
  <dimension ref="A1:O36"/>
  <sheetViews>
    <sheetView tabSelected="1" workbookViewId="0">
      <selection activeCell="E30" sqref="E30:E36"/>
    </sheetView>
  </sheetViews>
  <sheetFormatPr defaultRowHeight="14.4" x14ac:dyDescent="0.3"/>
  <cols>
    <col min="1" max="1" width="19.88671875" customWidth="1"/>
    <col min="2" max="2" width="11.33203125" customWidth="1"/>
    <col min="3" max="3" width="15.109375" customWidth="1"/>
    <col min="4" max="4" width="11" bestFit="1" customWidth="1"/>
    <col min="5" max="5" width="9.5546875" customWidth="1"/>
    <col min="10" max="10" width="12.33203125" customWidth="1"/>
    <col min="11" max="11" width="12.6640625" customWidth="1"/>
    <col min="12" max="12" width="10.6640625" customWidth="1"/>
    <col min="13" max="13" width="12.88671875" customWidth="1"/>
    <col min="14" max="14" width="9.33203125" bestFit="1" customWidth="1"/>
  </cols>
  <sheetData>
    <row r="1" spans="1:15" x14ac:dyDescent="0.3">
      <c r="A1" s="2" t="s">
        <v>15</v>
      </c>
      <c r="J1" t="s">
        <v>45</v>
      </c>
      <c r="K1">
        <f>0.277778/1000000</f>
        <v>2.7777800000000004E-7</v>
      </c>
      <c r="L1" t="s">
        <v>35</v>
      </c>
      <c r="N1" t="s">
        <v>32</v>
      </c>
      <c r="O1">
        <v>8.8999999999999999E-3</v>
      </c>
    </row>
    <row r="2" spans="1:15" x14ac:dyDescent="0.3">
      <c r="A2" s="2" t="s">
        <v>48</v>
      </c>
      <c r="B2">
        <v>2020</v>
      </c>
      <c r="C2" t="s">
        <v>16</v>
      </c>
      <c r="E2">
        <v>17.600000000000001</v>
      </c>
      <c r="F2" t="s">
        <v>18</v>
      </c>
      <c r="H2" t="s">
        <v>56</v>
      </c>
    </row>
    <row r="3" spans="1:15" x14ac:dyDescent="0.3">
      <c r="B3">
        <v>2030</v>
      </c>
      <c r="C3" t="s">
        <v>17</v>
      </c>
      <c r="E3">
        <v>8.8000000000000007</v>
      </c>
      <c r="F3" t="s">
        <v>18</v>
      </c>
    </row>
    <row r="4" spans="1:15" x14ac:dyDescent="0.3">
      <c r="B4">
        <v>2050</v>
      </c>
      <c r="C4" t="s">
        <v>52</v>
      </c>
      <c r="E4">
        <f>500*O1</f>
        <v>4.45</v>
      </c>
      <c r="F4" t="s">
        <v>18</v>
      </c>
    </row>
    <row r="5" spans="1:15" x14ac:dyDescent="0.3">
      <c r="G5" s="3"/>
    </row>
    <row r="6" spans="1:15" x14ac:dyDescent="0.3">
      <c r="A6" s="2" t="s">
        <v>47</v>
      </c>
      <c r="B6" t="s">
        <v>31</v>
      </c>
      <c r="D6">
        <v>4000</v>
      </c>
      <c r="E6" t="s">
        <v>51</v>
      </c>
      <c r="G6" t="s">
        <v>53</v>
      </c>
      <c r="I6" t="s">
        <v>54</v>
      </c>
    </row>
    <row r="7" spans="1:15" x14ac:dyDescent="0.3">
      <c r="A7" s="2"/>
      <c r="J7" t="s">
        <v>104</v>
      </c>
      <c r="K7" t="s">
        <v>23</v>
      </c>
      <c r="L7" t="s">
        <v>105</v>
      </c>
      <c r="M7" t="s">
        <v>106</v>
      </c>
      <c r="N7" t="s">
        <v>107</v>
      </c>
    </row>
    <row r="8" spans="1:15" x14ac:dyDescent="0.3">
      <c r="A8" s="2" t="s">
        <v>46</v>
      </c>
      <c r="B8" t="s">
        <v>38</v>
      </c>
      <c r="C8" t="s">
        <v>39</v>
      </c>
      <c r="D8">
        <v>14.7</v>
      </c>
      <c r="E8" t="s">
        <v>21</v>
      </c>
      <c r="I8" t="s">
        <v>101</v>
      </c>
      <c r="J8" s="9">
        <v>9.4300000000000004E-4</v>
      </c>
      <c r="K8" s="9">
        <f>1/J8</f>
        <v>1060.4453870625662</v>
      </c>
      <c r="L8" s="9">
        <f>K8-$D$15</f>
        <v>1041.0287048625662</v>
      </c>
      <c r="M8">
        <v>0.05</v>
      </c>
      <c r="N8" s="9">
        <f>M8/L8</f>
        <v>4.8029415295134311E-5</v>
      </c>
    </row>
    <row r="9" spans="1:15" x14ac:dyDescent="0.3">
      <c r="A9" s="2"/>
      <c r="C9" t="s">
        <v>40</v>
      </c>
      <c r="D9">
        <v>14.7</v>
      </c>
      <c r="E9" t="s">
        <v>41</v>
      </c>
      <c r="I9" t="s">
        <v>102</v>
      </c>
      <c r="J9" s="9">
        <v>5.9900000000000003E-4</v>
      </c>
      <c r="K9" s="9">
        <f t="shared" ref="K9:K10" si="0">1/J9</f>
        <v>1669.4490818030049</v>
      </c>
      <c r="L9" s="9">
        <f t="shared" ref="L9:L10" si="1">K9-$D$15</f>
        <v>1650.0323996030049</v>
      </c>
      <c r="M9">
        <v>0.05</v>
      </c>
      <c r="N9" s="9">
        <f t="shared" ref="N9:N10" si="2">M9/L9</f>
        <v>3.0302435280682926E-5</v>
      </c>
    </row>
    <row r="10" spans="1:15" x14ac:dyDescent="0.3">
      <c r="B10" t="s">
        <v>19</v>
      </c>
      <c r="C10" t="s">
        <v>42</v>
      </c>
      <c r="D10">
        <v>52</v>
      </c>
      <c r="E10" t="s">
        <v>21</v>
      </c>
      <c r="I10" t="s">
        <v>103</v>
      </c>
      <c r="J10" s="9">
        <v>7.3800000000000005E-4</v>
      </c>
      <c r="K10" s="9">
        <f t="shared" si="0"/>
        <v>1355.0135501355012</v>
      </c>
      <c r="L10" s="9">
        <f t="shared" si="1"/>
        <v>1335.5968679355012</v>
      </c>
      <c r="M10">
        <v>0.05</v>
      </c>
      <c r="N10" s="9">
        <f t="shared" si="2"/>
        <v>3.7436445981853416E-5</v>
      </c>
    </row>
    <row r="11" spans="1:15" x14ac:dyDescent="0.3">
      <c r="B11" t="s">
        <v>20</v>
      </c>
      <c r="D11">
        <v>3.2</v>
      </c>
      <c r="E11" t="s">
        <v>21</v>
      </c>
    </row>
    <row r="12" spans="1:15" x14ac:dyDescent="0.3">
      <c r="B12" s="2" t="s">
        <v>22</v>
      </c>
      <c r="C12" t="s">
        <v>43</v>
      </c>
      <c r="D12">
        <f>(D9+D11)*1000000</f>
        <v>17900000</v>
      </c>
      <c r="E12" t="s">
        <v>44</v>
      </c>
      <c r="K12" t="s">
        <v>5</v>
      </c>
      <c r="L12" s="9">
        <f>L8/8760</f>
        <v>0.11883889324915139</v>
      </c>
    </row>
    <row r="13" spans="1:15" x14ac:dyDescent="0.3">
      <c r="B13" s="2"/>
      <c r="D13" s="7">
        <f>D12*K1</f>
        <v>4.9722262000000006</v>
      </c>
      <c r="E13" t="s">
        <v>23</v>
      </c>
      <c r="L13" s="9">
        <f t="shared" ref="L13:L14" si="3">L9/8760</f>
        <v>0.18835986296837956</v>
      </c>
    </row>
    <row r="14" spans="1:15" x14ac:dyDescent="0.3">
      <c r="B14" s="2"/>
      <c r="C14" t="s">
        <v>49</v>
      </c>
      <c r="D14" s="7">
        <f>D12+(D10*1000000)</f>
        <v>69900000</v>
      </c>
      <c r="E14" t="s">
        <v>44</v>
      </c>
      <c r="L14" s="9">
        <f t="shared" si="3"/>
        <v>0.15246539588304808</v>
      </c>
    </row>
    <row r="15" spans="1:15" x14ac:dyDescent="0.3">
      <c r="D15" s="6">
        <f>D14*K1</f>
        <v>19.416682200000004</v>
      </c>
      <c r="E15" t="s">
        <v>23</v>
      </c>
    </row>
    <row r="17" spans="1:7" x14ac:dyDescent="0.3">
      <c r="A17" s="2" t="s">
        <v>55</v>
      </c>
      <c r="B17" t="s">
        <v>24</v>
      </c>
      <c r="D17" t="s">
        <v>25</v>
      </c>
      <c r="E17">
        <f>2800*0.0089</f>
        <v>24.919999999999998</v>
      </c>
      <c r="F17" t="s">
        <v>27</v>
      </c>
    </row>
    <row r="18" spans="1:7" x14ac:dyDescent="0.3">
      <c r="B18" t="s">
        <v>36</v>
      </c>
      <c r="D18" t="s">
        <v>26</v>
      </c>
      <c r="E18">
        <f>800*0.0089</f>
        <v>7.12</v>
      </c>
      <c r="F18" t="s">
        <v>18</v>
      </c>
    </row>
    <row r="19" spans="1:7" x14ac:dyDescent="0.3">
      <c r="B19" s="2" t="s">
        <v>28</v>
      </c>
      <c r="E19">
        <f>E17+E18</f>
        <v>32.04</v>
      </c>
      <c r="F19" t="s">
        <v>18</v>
      </c>
      <c r="G19" t="s">
        <v>33</v>
      </c>
    </row>
    <row r="21" spans="1:7" x14ac:dyDescent="0.3">
      <c r="A21" s="2" t="s">
        <v>29</v>
      </c>
      <c r="B21">
        <v>156</v>
      </c>
      <c r="C21" t="s">
        <v>30</v>
      </c>
      <c r="D21" t="s">
        <v>50</v>
      </c>
    </row>
    <row r="23" spans="1:7" x14ac:dyDescent="0.3">
      <c r="A23" s="2" t="s">
        <v>57</v>
      </c>
      <c r="B23" s="2" t="s">
        <v>46</v>
      </c>
      <c r="C23">
        <f>D15</f>
        <v>19.416682200000004</v>
      </c>
      <c r="D23" t="s">
        <v>23</v>
      </c>
    </row>
    <row r="24" spans="1:7" x14ac:dyDescent="0.3">
      <c r="B24" s="2" t="s">
        <v>47</v>
      </c>
      <c r="C24">
        <v>8.8000000000000007</v>
      </c>
      <c r="D24" t="s">
        <v>18</v>
      </c>
      <c r="E24">
        <v>2030</v>
      </c>
      <c r="G24">
        <f>E19+E3</f>
        <v>40.840000000000003</v>
      </c>
    </row>
    <row r="25" spans="1:7" x14ac:dyDescent="0.3">
      <c r="B25" t="s">
        <v>58</v>
      </c>
      <c r="C25">
        <v>4.4000000000000004</v>
      </c>
      <c r="D25" t="s">
        <v>18</v>
      </c>
      <c r="E25">
        <v>2050</v>
      </c>
      <c r="G25">
        <f>E19+E4</f>
        <v>36.49</v>
      </c>
    </row>
    <row r="26" spans="1:7" x14ac:dyDescent="0.3">
      <c r="B26" s="2" t="s">
        <v>55</v>
      </c>
      <c r="C26">
        <f>E19</f>
        <v>32.04</v>
      </c>
      <c r="D26" t="s">
        <v>18</v>
      </c>
    </row>
    <row r="28" spans="1:7" x14ac:dyDescent="0.3">
      <c r="A28" s="2" t="s">
        <v>241</v>
      </c>
      <c r="B28" s="2" t="s">
        <v>246</v>
      </c>
      <c r="C28" s="2" t="s">
        <v>243</v>
      </c>
      <c r="D28" s="2" t="s">
        <v>244</v>
      </c>
      <c r="E28" s="2" t="s">
        <v>245</v>
      </c>
    </row>
    <row r="29" spans="1:7" x14ac:dyDescent="0.3">
      <c r="A29" t="s">
        <v>242</v>
      </c>
      <c r="B29">
        <v>2020</v>
      </c>
      <c r="C29">
        <v>2E-3</v>
      </c>
      <c r="D29">
        <v>100</v>
      </c>
      <c r="E29">
        <f>C29*$D$29</f>
        <v>0.2</v>
      </c>
    </row>
    <row r="30" spans="1:7" x14ac:dyDescent="0.3">
      <c r="B30">
        <v>2025</v>
      </c>
      <c r="C30">
        <v>6.0000000000000001E-3</v>
      </c>
      <c r="E30">
        <f t="shared" ref="E30:E36" si="4">C30*$D$29</f>
        <v>0.6</v>
      </c>
    </row>
    <row r="31" spans="1:7" x14ac:dyDescent="0.3">
      <c r="B31">
        <v>2030</v>
      </c>
      <c r="C31">
        <v>0.02</v>
      </c>
      <c r="E31">
        <f t="shared" si="4"/>
        <v>2</v>
      </c>
    </row>
    <row r="32" spans="1:7" x14ac:dyDescent="0.3">
      <c r="B32">
        <v>2035</v>
      </c>
      <c r="C32">
        <v>0.06</v>
      </c>
      <c r="E32">
        <f t="shared" si="4"/>
        <v>6</v>
      </c>
    </row>
    <row r="33" spans="2:5" x14ac:dyDescent="0.3">
      <c r="B33">
        <v>2040</v>
      </c>
      <c r="C33">
        <v>0.2</v>
      </c>
      <c r="E33">
        <f t="shared" si="4"/>
        <v>20</v>
      </c>
    </row>
    <row r="34" spans="2:5" x14ac:dyDescent="0.3">
      <c r="B34">
        <v>2045</v>
      </c>
      <c r="C34">
        <v>0.5</v>
      </c>
      <c r="E34">
        <f t="shared" si="4"/>
        <v>50</v>
      </c>
    </row>
    <row r="35" spans="2:5" x14ac:dyDescent="0.3">
      <c r="B35">
        <v>2050</v>
      </c>
      <c r="C35">
        <v>1</v>
      </c>
      <c r="E35">
        <f t="shared" si="4"/>
        <v>100</v>
      </c>
    </row>
    <row r="36" spans="2:5" x14ac:dyDescent="0.3">
      <c r="B36">
        <v>2100</v>
      </c>
      <c r="C36">
        <v>2</v>
      </c>
      <c r="E36">
        <f t="shared" si="4"/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6BEB-6091-4743-A766-86BDD24D02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2:P30"/>
  <sheetViews>
    <sheetView workbookViewId="0">
      <selection activeCell="G3" sqref="G3:H3"/>
    </sheetView>
  </sheetViews>
  <sheetFormatPr defaultRowHeight="14.4" x14ac:dyDescent="0.3"/>
  <cols>
    <col min="1" max="1" width="22.88671875" customWidth="1"/>
    <col min="2" max="3" width="12.6640625" customWidth="1"/>
    <col min="4" max="4" width="15.109375" customWidth="1"/>
    <col min="5" max="5" width="13.109375" customWidth="1"/>
    <col min="6" max="6" width="12.6640625" bestFit="1" customWidth="1"/>
    <col min="7" max="7" width="10.6640625" customWidth="1"/>
    <col min="8" max="8" width="13" customWidth="1"/>
    <col min="9" max="9" width="16.109375" customWidth="1"/>
    <col min="11" max="11" width="13.33203125" customWidth="1"/>
    <col min="12" max="12" width="11.6640625" bestFit="1" customWidth="1"/>
    <col min="13" max="13" width="13.44140625" customWidth="1"/>
    <col min="14" max="14" width="14.109375" customWidth="1"/>
  </cols>
  <sheetData>
    <row r="2" spans="1:16" x14ac:dyDescent="0.3">
      <c r="A2" s="4" t="s">
        <v>13</v>
      </c>
      <c r="G2" s="5">
        <v>41.869</v>
      </c>
      <c r="H2" t="s">
        <v>111</v>
      </c>
      <c r="I2" t="s">
        <v>61</v>
      </c>
      <c r="K2">
        <f>1/110</f>
        <v>9.0909090909090905E-3</v>
      </c>
      <c r="L2" t="s">
        <v>131</v>
      </c>
    </row>
    <row r="3" spans="1:16" x14ac:dyDescent="0.3">
      <c r="A3" s="2"/>
      <c r="B3" s="2"/>
      <c r="C3" s="2"/>
      <c r="D3" s="2"/>
      <c r="E3" s="2"/>
      <c r="F3" s="2"/>
      <c r="G3" s="10">
        <v>0.27779999999999999</v>
      </c>
      <c r="H3" s="2" t="s">
        <v>113</v>
      </c>
      <c r="I3" s="2"/>
      <c r="J3" s="2"/>
      <c r="K3" s="2"/>
      <c r="L3" s="2"/>
      <c r="M3" s="2"/>
      <c r="N3" s="2"/>
      <c r="O3" s="2"/>
    </row>
    <row r="4" spans="1:16" x14ac:dyDescent="0.3">
      <c r="E4" t="s">
        <v>1</v>
      </c>
      <c r="G4">
        <v>120</v>
      </c>
      <c r="H4" t="s">
        <v>2</v>
      </c>
      <c r="I4">
        <f>G4*G2</f>
        <v>5024.28</v>
      </c>
      <c r="J4" t="s">
        <v>112</v>
      </c>
      <c r="K4">
        <f>G3*I4</f>
        <v>1395.7449839999999</v>
      </c>
      <c r="L4" t="s">
        <v>114</v>
      </c>
      <c r="M4">
        <f>G4*G3</f>
        <v>33.335999999999999</v>
      </c>
      <c r="N4" t="s">
        <v>3</v>
      </c>
    </row>
    <row r="5" spans="1:16" x14ac:dyDescent="0.3">
      <c r="E5" t="s">
        <v>123</v>
      </c>
      <c r="G5">
        <v>9.31</v>
      </c>
      <c r="H5" t="s">
        <v>124</v>
      </c>
      <c r="I5">
        <f>G5/M4</f>
        <v>0.27927765778737701</v>
      </c>
      <c r="J5" t="s">
        <v>125</v>
      </c>
    </row>
    <row r="7" spans="1:16" x14ac:dyDescent="0.3">
      <c r="A7" s="2" t="s">
        <v>68</v>
      </c>
      <c r="B7" t="s">
        <v>150</v>
      </c>
      <c r="C7" s="13" t="s">
        <v>149</v>
      </c>
      <c r="K7" s="1" t="s">
        <v>126</v>
      </c>
      <c r="L7" s="12"/>
      <c r="O7" s="1"/>
    </row>
    <row r="8" spans="1:16" x14ac:dyDescent="0.3">
      <c r="K8" t="s">
        <v>127</v>
      </c>
      <c r="L8" s="12">
        <v>1538396</v>
      </c>
      <c r="M8" t="s">
        <v>115</v>
      </c>
      <c r="N8" s="12">
        <f>G2*L8</f>
        <v>64411102.123999998</v>
      </c>
      <c r="O8" t="s">
        <v>116</v>
      </c>
    </row>
    <row r="9" spans="1:16" x14ac:dyDescent="0.3">
      <c r="A9" s="2" t="s">
        <v>122</v>
      </c>
      <c r="B9">
        <f>186*1000000</f>
        <v>186000000</v>
      </c>
      <c r="C9" t="s">
        <v>135</v>
      </c>
      <c r="K9" t="s">
        <v>117</v>
      </c>
      <c r="L9" s="12">
        <v>1141251</v>
      </c>
      <c r="M9" t="s">
        <v>121</v>
      </c>
      <c r="P9" s="11"/>
    </row>
    <row r="10" spans="1:16" x14ac:dyDescent="0.3">
      <c r="B10">
        <f>B9*K2</f>
        <v>1690909.0909090908</v>
      </c>
      <c r="C10" t="s">
        <v>132</v>
      </c>
      <c r="D10">
        <f>B10/L11</f>
        <v>0.41378551295067767</v>
      </c>
      <c r="E10" t="s">
        <v>138</v>
      </c>
      <c r="F10">
        <f>B10/N11</f>
        <v>3624.7610934479362</v>
      </c>
      <c r="G10" t="s">
        <v>139</v>
      </c>
      <c r="J10" s="21" t="s">
        <v>128</v>
      </c>
      <c r="K10" s="21"/>
      <c r="L10" s="12">
        <f>L9/G5</f>
        <v>122583.35123523093</v>
      </c>
      <c r="M10" t="s">
        <v>120</v>
      </c>
    </row>
    <row r="11" spans="1:16" x14ac:dyDescent="0.3">
      <c r="J11" s="21" t="s">
        <v>129</v>
      </c>
      <c r="K11" s="21"/>
      <c r="L11" s="12">
        <f>M4*L10</f>
        <v>4086438.5967776584</v>
      </c>
      <c r="M11" t="s">
        <v>121</v>
      </c>
      <c r="N11" s="12">
        <f>L11/8760</f>
        <v>466.48842428968703</v>
      </c>
      <c r="O11" t="s">
        <v>136</v>
      </c>
    </row>
    <row r="12" spans="1:16" x14ac:dyDescent="0.3">
      <c r="A12" s="2" t="s">
        <v>144</v>
      </c>
      <c r="H12" t="s">
        <v>163</v>
      </c>
      <c r="K12" t="s">
        <v>155</v>
      </c>
      <c r="L12" s="12">
        <v>1</v>
      </c>
      <c r="N12" s="1"/>
    </row>
    <row r="13" spans="1:16" x14ac:dyDescent="0.3">
      <c r="A13" t="s">
        <v>7</v>
      </c>
      <c r="B13">
        <v>441890</v>
      </c>
      <c r="C13" t="s">
        <v>120</v>
      </c>
      <c r="D13" s="12">
        <f>114*B13</f>
        <v>50375460</v>
      </c>
      <c r="E13" t="s">
        <v>130</v>
      </c>
      <c r="F13" s="12">
        <f>D13*$K$2</f>
        <v>457958.72727272724</v>
      </c>
      <c r="G13" t="s">
        <v>132</v>
      </c>
      <c r="H13" s="12">
        <f>B13*53*G3</f>
        <v>6506123.2259999998</v>
      </c>
      <c r="L13" s="12"/>
    </row>
    <row r="14" spans="1:16" x14ac:dyDescent="0.3">
      <c r="A14" t="s">
        <v>118</v>
      </c>
      <c r="B14">
        <v>3428000</v>
      </c>
      <c r="C14" t="s">
        <v>120</v>
      </c>
      <c r="D14" s="12">
        <f>300*B14</f>
        <v>1028400000</v>
      </c>
      <c r="E14" t="s">
        <v>130</v>
      </c>
      <c r="F14" s="12">
        <f t="shared" ref="F14:F15" si="0">D14*$K$2</f>
        <v>9349090.9090909082</v>
      </c>
      <c r="G14" t="s">
        <v>132</v>
      </c>
    </row>
    <row r="15" spans="1:16" x14ac:dyDescent="0.3">
      <c r="A15" t="s">
        <v>119</v>
      </c>
      <c r="B15">
        <v>1714000</v>
      </c>
      <c r="C15" t="s">
        <v>120</v>
      </c>
      <c r="D15" s="12">
        <f>B15*200</f>
        <v>342800000</v>
      </c>
      <c r="E15" t="s">
        <v>130</v>
      </c>
      <c r="F15" s="12">
        <f t="shared" si="0"/>
        <v>3116363.6363636362</v>
      </c>
      <c r="G15" t="s">
        <v>132</v>
      </c>
    </row>
    <row r="16" spans="1:16" x14ac:dyDescent="0.3">
      <c r="A16" t="s">
        <v>63</v>
      </c>
      <c r="B16" s="1"/>
      <c r="D16" s="12">
        <f>SUM(D13:D15)</f>
        <v>1421575460</v>
      </c>
      <c r="F16" s="12">
        <f>SUM(F13:F15)</f>
        <v>12923413.272727272</v>
      </c>
      <c r="G16" t="s">
        <v>132</v>
      </c>
    </row>
    <row r="17" spans="1:10" x14ac:dyDescent="0.3">
      <c r="A17" t="s">
        <v>134</v>
      </c>
      <c r="B17">
        <f>F16/L11</f>
        <v>3.1625125317967502</v>
      </c>
      <c r="C17" t="s">
        <v>133</v>
      </c>
      <c r="D17" s="3"/>
    </row>
    <row r="19" spans="1:10" x14ac:dyDescent="0.3">
      <c r="A19" s="2" t="s">
        <v>145</v>
      </c>
    </row>
    <row r="20" spans="1:10" x14ac:dyDescent="0.3">
      <c r="A20" t="s">
        <v>146</v>
      </c>
      <c r="B20">
        <f>7000000*1.5</f>
        <v>10500000</v>
      </c>
      <c r="C20" t="s">
        <v>147</v>
      </c>
    </row>
    <row r="21" spans="1:10" x14ac:dyDescent="0.3">
      <c r="A21" t="s">
        <v>148</v>
      </c>
      <c r="B21">
        <f>0.03*B9/20</f>
        <v>279000</v>
      </c>
      <c r="C21" t="s">
        <v>147</v>
      </c>
      <c r="D21" s="3"/>
    </row>
    <row r="22" spans="1:10" x14ac:dyDescent="0.3">
      <c r="A22" t="s">
        <v>151</v>
      </c>
      <c r="B22">
        <f>0.0077*0.55*B9/20</f>
        <v>39385.5</v>
      </c>
      <c r="C22" t="s">
        <v>147</v>
      </c>
    </row>
    <row r="23" spans="1:10" x14ac:dyDescent="0.3">
      <c r="A23" t="s">
        <v>152</v>
      </c>
      <c r="B23">
        <f>0.014*0.55*B9/20</f>
        <v>71610.000000000015</v>
      </c>
      <c r="C23" t="s">
        <v>147</v>
      </c>
      <c r="G23" t="s">
        <v>157</v>
      </c>
      <c r="I23" t="s">
        <v>156</v>
      </c>
    </row>
    <row r="24" spans="1:10" x14ac:dyDescent="0.3">
      <c r="A24" t="s">
        <v>22</v>
      </c>
      <c r="B24">
        <f>SUM(B20:B23)</f>
        <v>10889995.5</v>
      </c>
      <c r="C24" t="s">
        <v>147</v>
      </c>
      <c r="D24">
        <f>B24*K2</f>
        <v>98999.959090909091</v>
      </c>
      <c r="E24" t="s">
        <v>153</v>
      </c>
      <c r="G24">
        <v>1690909.0909090908</v>
      </c>
      <c r="I24">
        <f>4086438.59677766*20</f>
        <v>81728771.935553193</v>
      </c>
      <c r="J24" t="s">
        <v>121</v>
      </c>
    </row>
    <row r="25" spans="1:10" x14ac:dyDescent="0.3">
      <c r="A25" t="s">
        <v>154</v>
      </c>
      <c r="D25">
        <f>D24/N11</f>
        <v>212.22382793668336</v>
      </c>
      <c r="E25" t="s">
        <v>139</v>
      </c>
      <c r="G25">
        <f>D24*20</f>
        <v>1979999.1818181819</v>
      </c>
    </row>
    <row r="26" spans="1:10" x14ac:dyDescent="0.3">
      <c r="G26">
        <f>F16*20</f>
        <v>258468265.45454544</v>
      </c>
    </row>
    <row r="27" spans="1:10" x14ac:dyDescent="0.3">
      <c r="I27">
        <f>SUM(G24:G26)/(L10*20)</f>
        <v>106.92282886941211</v>
      </c>
    </row>
    <row r="28" spans="1:10" x14ac:dyDescent="0.3">
      <c r="A28" s="2"/>
      <c r="G28">
        <f>SUM(G24:G26)/I24</f>
        <v>3.2074282718206168</v>
      </c>
      <c r="H28" t="s">
        <v>137</v>
      </c>
    </row>
    <row r="29" spans="1:10" x14ac:dyDescent="0.3">
      <c r="A29" t="s">
        <v>140</v>
      </c>
      <c r="B29">
        <v>133</v>
      </c>
      <c r="C29" t="s">
        <v>143</v>
      </c>
      <c r="D29" s="9">
        <f>B29/1000000</f>
        <v>1.3300000000000001E-4</v>
      </c>
      <c r="E29" t="s">
        <v>104</v>
      </c>
    </row>
    <row r="30" spans="1:10" x14ac:dyDescent="0.3">
      <c r="A30" t="s">
        <v>141</v>
      </c>
      <c r="B30" s="13" t="s">
        <v>142</v>
      </c>
    </row>
  </sheetData>
  <mergeCells count="2">
    <mergeCell ref="J10:K10"/>
    <mergeCell ref="J11:K11"/>
  </mergeCells>
  <hyperlinks>
    <hyperlink ref="B30" r:id="rId1" xr:uid="{177C782A-8AA1-4D91-B9EC-1036244F9B44}"/>
    <hyperlink ref="C7" r:id="rId2" xr:uid="{DB1ADAF0-30AF-4C87-848C-F1A882EFDD6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B48-4038-4170-8B3C-AD75DD5549D7}">
  <dimension ref="A1:E2"/>
  <sheetViews>
    <sheetView workbookViewId="0">
      <selection activeCell="G35" sqref="G35"/>
    </sheetView>
  </sheetViews>
  <sheetFormatPr defaultRowHeight="14.4" x14ac:dyDescent="0.3"/>
  <sheetData>
    <row r="1" spans="1:5" x14ac:dyDescent="0.3">
      <c r="A1" t="s">
        <v>123</v>
      </c>
      <c r="C1">
        <v>9.31</v>
      </c>
      <c r="D1" t="s">
        <v>3</v>
      </c>
      <c r="E1" t="s">
        <v>158</v>
      </c>
    </row>
    <row r="2" spans="1:5" x14ac:dyDescent="0.3">
      <c r="A2" t="s">
        <v>159</v>
      </c>
      <c r="C2">
        <v>1.5</v>
      </c>
      <c r="D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workbookViewId="0">
      <selection activeCell="O6" sqref="O6"/>
    </sheetView>
  </sheetViews>
  <sheetFormatPr defaultRowHeight="14.4" x14ac:dyDescent="0.3"/>
  <cols>
    <col min="1" max="1" width="13.33203125" customWidth="1"/>
    <col min="3" max="3" width="17" customWidth="1"/>
    <col min="4" max="5" width="17.44140625" customWidth="1"/>
    <col min="6" max="6" width="13.44140625" customWidth="1"/>
    <col min="7" max="7" width="17.33203125" customWidth="1"/>
    <col min="8" max="8" width="11.44140625" bestFit="1" customWidth="1"/>
    <col min="10" max="11" width="13.33203125" customWidth="1"/>
    <col min="12" max="12" width="16.6640625" customWidth="1"/>
    <col min="14" max="14" width="15.33203125" customWidth="1"/>
    <col min="15" max="16" width="16.33203125" customWidth="1"/>
    <col min="17" max="17" width="15.109375" customWidth="1"/>
    <col min="18" max="18" width="11" customWidth="1"/>
  </cols>
  <sheetData>
    <row r="1" spans="1:17" x14ac:dyDescent="0.3">
      <c r="D1" t="s">
        <v>59</v>
      </c>
      <c r="G1">
        <v>39444.433400000002</v>
      </c>
      <c r="H1" t="s">
        <v>23</v>
      </c>
    </row>
    <row r="2" spans="1:17" x14ac:dyDescent="0.3">
      <c r="A2" s="4" t="s">
        <v>13</v>
      </c>
      <c r="D2" t="s">
        <v>62</v>
      </c>
      <c r="G2" t="s">
        <v>60</v>
      </c>
      <c r="I2" s="5">
        <f>70.8/(1.8*1000000000)</f>
        <v>3.9333333333333335E-8</v>
      </c>
      <c r="J2" t="s">
        <v>69</v>
      </c>
      <c r="L2" t="s">
        <v>61</v>
      </c>
      <c r="N2">
        <v>8.8999999999999999E-3</v>
      </c>
      <c r="O2" t="s">
        <v>32</v>
      </c>
    </row>
    <row r="3" spans="1:17" x14ac:dyDescent="0.3">
      <c r="A3" s="2" t="s">
        <v>0</v>
      </c>
      <c r="B3" t="s">
        <v>14</v>
      </c>
      <c r="G3" s="2" t="s">
        <v>63</v>
      </c>
      <c r="H3" s="8"/>
      <c r="I3" s="2" t="s">
        <v>88</v>
      </c>
      <c r="Q3" s="2" t="s">
        <v>66</v>
      </c>
    </row>
    <row r="4" spans="1:17" ht="15" customHeight="1" x14ac:dyDescent="0.3">
      <c r="A4" s="2" t="s">
        <v>6</v>
      </c>
      <c r="B4" s="2" t="s">
        <v>65</v>
      </c>
      <c r="C4" s="2" t="s">
        <v>75</v>
      </c>
      <c r="D4" s="2" t="s">
        <v>74</v>
      </c>
      <c r="E4" s="2" t="s">
        <v>98</v>
      </c>
      <c r="F4" s="2" t="s">
        <v>97</v>
      </c>
      <c r="G4" s="2" t="s">
        <v>64</v>
      </c>
      <c r="H4" s="2" t="s">
        <v>10</v>
      </c>
      <c r="I4" s="2" t="s">
        <v>34</v>
      </c>
      <c r="J4" s="2"/>
      <c r="K4" s="2"/>
      <c r="L4" s="2" t="s">
        <v>35</v>
      </c>
      <c r="M4" s="2" t="s">
        <v>76</v>
      </c>
      <c r="N4" s="2" t="s">
        <v>4</v>
      </c>
      <c r="O4" s="2" t="s">
        <v>86</v>
      </c>
      <c r="P4" s="2" t="s">
        <v>85</v>
      </c>
      <c r="Q4" s="2" t="s">
        <v>67</v>
      </c>
    </row>
    <row r="5" spans="1:17" x14ac:dyDescent="0.3">
      <c r="A5" t="s">
        <v>7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12</v>
      </c>
      <c r="I5">
        <v>1538396</v>
      </c>
      <c r="J5" t="s">
        <v>34</v>
      </c>
      <c r="L5" s="3">
        <f>C9*0.7</f>
        <v>5.5676052871483162</v>
      </c>
      <c r="M5">
        <f>L6/I6</f>
        <v>30.363615543241984</v>
      </c>
      <c r="N5" s="1" t="s">
        <v>77</v>
      </c>
      <c r="O5" t="s">
        <v>87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8</v>
      </c>
      <c r="B6">
        <f>3428</f>
        <v>3428</v>
      </c>
      <c r="E6">
        <f>D8/D9</f>
        <v>0.33671514764892313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37</v>
      </c>
      <c r="K6" t="s">
        <v>73</v>
      </c>
      <c r="L6" s="6">
        <f>0.33*L5</f>
        <v>1.8373097447589444</v>
      </c>
      <c r="N6" t="s">
        <v>78</v>
      </c>
      <c r="O6" s="20">
        <f>87/(1000000*0.27777)</f>
        <v>3.1320876984555567E-4</v>
      </c>
      <c r="P6">
        <f>P5*N2</f>
        <v>0.90099124805827935</v>
      </c>
    </row>
    <row r="7" spans="1:17" x14ac:dyDescent="0.3">
      <c r="A7" t="s">
        <v>9</v>
      </c>
      <c r="B7">
        <f>1714</f>
        <v>1714</v>
      </c>
      <c r="E7" t="s">
        <v>99</v>
      </c>
      <c r="F7">
        <v>200</v>
      </c>
      <c r="G7">
        <f>F7*B7*$N$2/1000000</f>
        <v>3.0509199999999999E-3</v>
      </c>
      <c r="I7">
        <f>G1*I6</f>
        <v>2386.7922368831719</v>
      </c>
      <c r="J7" t="s">
        <v>89</v>
      </c>
      <c r="K7" t="s">
        <v>79</v>
      </c>
      <c r="N7">
        <f>L6/D9</f>
        <v>0.54208059575265499</v>
      </c>
    </row>
    <row r="8" spans="1:17" x14ac:dyDescent="0.3">
      <c r="A8" t="s">
        <v>11</v>
      </c>
      <c r="B8">
        <v>1141251</v>
      </c>
      <c r="C8">
        <f>1141251/1000000</f>
        <v>1.141251</v>
      </c>
      <c r="D8">
        <f>1141251/1000000</f>
        <v>1.141251</v>
      </c>
      <c r="E8">
        <f>D8/D5</f>
        <v>0.50764787776383546</v>
      </c>
      <c r="F8">
        <v>16</v>
      </c>
      <c r="G8">
        <f>F8*B8*$N$2/1000000</f>
        <v>0.16251414240000001</v>
      </c>
      <c r="N8" t="s">
        <v>100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  <c r="N9">
        <f>L6/D5</f>
        <v>0.81726665976344592</v>
      </c>
    </row>
    <row r="11" spans="1:17" x14ac:dyDescent="0.3">
      <c r="D11" t="s">
        <v>70</v>
      </c>
      <c r="F11" t="s">
        <v>71</v>
      </c>
      <c r="G11">
        <f>60*N2/(1000000*I2*M5)</f>
        <v>0.44712301033802088</v>
      </c>
    </row>
    <row r="12" spans="1:17" x14ac:dyDescent="0.3">
      <c r="G12" t="s">
        <v>67</v>
      </c>
    </row>
    <row r="14" spans="1:17" x14ac:dyDescent="0.3">
      <c r="A14" t="s">
        <v>72</v>
      </c>
      <c r="B14">
        <v>55.5</v>
      </c>
      <c r="C14" t="s">
        <v>2</v>
      </c>
      <c r="D14" s="2" t="s">
        <v>80</v>
      </c>
      <c r="E14" t="s">
        <v>67</v>
      </c>
      <c r="F14" t="s">
        <v>84</v>
      </c>
      <c r="G14" t="s">
        <v>83</v>
      </c>
    </row>
    <row r="15" spans="1:17" x14ac:dyDescent="0.3">
      <c r="B15">
        <f>55.5*0.277777778</f>
        <v>15.416666678999999</v>
      </c>
      <c r="C15" t="s">
        <v>3</v>
      </c>
      <c r="D15" t="s">
        <v>81</v>
      </c>
      <c r="E15">
        <f>G5/D5</f>
        <v>0.19942997527043146</v>
      </c>
      <c r="F15">
        <v>0.44834159400000001</v>
      </c>
    </row>
    <row r="16" spans="1:17" x14ac:dyDescent="0.3">
      <c r="D16" t="s">
        <v>82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I6"/>
  <sheetViews>
    <sheetView workbookViewId="0">
      <selection activeCell="E24" sqref="E24:F24"/>
    </sheetView>
  </sheetViews>
  <sheetFormatPr defaultRowHeight="14.4" x14ac:dyDescent="0.3"/>
  <cols>
    <col min="4" max="4" width="9.6640625" customWidth="1"/>
  </cols>
  <sheetData>
    <row r="1" spans="1:9" x14ac:dyDescent="0.3">
      <c r="A1" t="s">
        <v>90</v>
      </c>
      <c r="C1">
        <v>2050</v>
      </c>
      <c r="D1" t="s">
        <v>91</v>
      </c>
    </row>
    <row r="2" spans="1:9" x14ac:dyDescent="0.3">
      <c r="C2" t="s">
        <v>92</v>
      </c>
      <c r="E2" t="s">
        <v>93</v>
      </c>
      <c r="F2">
        <f>9/(39.4*0.3)</f>
        <v>0.76142131979695438</v>
      </c>
      <c r="G2" t="s">
        <v>67</v>
      </c>
    </row>
    <row r="3" spans="1:9" x14ac:dyDescent="0.3">
      <c r="D3">
        <v>2050</v>
      </c>
      <c r="E3" t="s">
        <v>94</v>
      </c>
      <c r="F3">
        <f>1.5/(39.444*0.3)</f>
        <v>0.12676199168441335</v>
      </c>
      <c r="G3" t="s">
        <v>67</v>
      </c>
      <c r="I3" t="s">
        <v>108</v>
      </c>
    </row>
    <row r="5" spans="1:9" x14ac:dyDescent="0.3">
      <c r="A5" t="s">
        <v>95</v>
      </c>
      <c r="C5" t="s">
        <v>96</v>
      </c>
      <c r="E5" t="s">
        <v>109</v>
      </c>
    </row>
    <row r="6" spans="1:9" x14ac:dyDescent="0.3">
      <c r="E6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0F7-EE40-41D8-8D6F-926E6C8520D6}">
  <dimension ref="A1:J19"/>
  <sheetViews>
    <sheetView workbookViewId="0">
      <selection activeCell="J41" sqref="J41"/>
    </sheetView>
  </sheetViews>
  <sheetFormatPr defaultRowHeight="14.4" x14ac:dyDescent="0.3"/>
  <cols>
    <col min="1" max="1" width="11.109375" customWidth="1"/>
    <col min="15" max="15" width="12" bestFit="1" customWidth="1"/>
  </cols>
  <sheetData>
    <row r="1" spans="1:10" x14ac:dyDescent="0.3">
      <c r="A1" t="s">
        <v>161</v>
      </c>
      <c r="I1" s="10">
        <v>0.27779999999999999</v>
      </c>
      <c r="J1" s="2" t="s">
        <v>113</v>
      </c>
    </row>
    <row r="2" spans="1:10" x14ac:dyDescent="0.3">
      <c r="A2" t="s">
        <v>162</v>
      </c>
    </row>
    <row r="3" spans="1:10" x14ac:dyDescent="0.3">
      <c r="A3" t="s">
        <v>4</v>
      </c>
      <c r="B3">
        <v>0.7</v>
      </c>
      <c r="C3" t="s">
        <v>72</v>
      </c>
    </row>
    <row r="4" spans="1:10" x14ac:dyDescent="0.3">
      <c r="A4" t="s">
        <v>164</v>
      </c>
      <c r="B4">
        <v>87</v>
      </c>
      <c r="C4" t="s">
        <v>165</v>
      </c>
      <c r="D4" s="3">
        <f>B4/I1</f>
        <v>313.17494600431968</v>
      </c>
      <c r="E4" t="s">
        <v>166</v>
      </c>
    </row>
    <row r="8" spans="1:10" x14ac:dyDescent="0.3">
      <c r="A8" t="s">
        <v>167</v>
      </c>
    </row>
    <row r="9" spans="1:10" x14ac:dyDescent="0.3">
      <c r="A9" t="s">
        <v>4</v>
      </c>
      <c r="B9">
        <v>0.6</v>
      </c>
    </row>
    <row r="18" spans="1:5" x14ac:dyDescent="0.3">
      <c r="A18" t="s">
        <v>140</v>
      </c>
      <c r="B18" s="3">
        <v>133</v>
      </c>
      <c r="C18" t="s">
        <v>143</v>
      </c>
      <c r="D18" s="9">
        <f>B18/1000000</f>
        <v>1.3300000000000001E-4</v>
      </c>
      <c r="E18" t="s">
        <v>104</v>
      </c>
    </row>
    <row r="19" spans="1:5" x14ac:dyDescent="0.3">
      <c r="A19" t="s">
        <v>141</v>
      </c>
      <c r="B19" s="13" t="s">
        <v>142</v>
      </c>
    </row>
  </sheetData>
  <hyperlinks>
    <hyperlink ref="B19" r:id="rId1" xr:uid="{C66773E2-8228-41BA-9227-1EE786CABB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EF8-915B-4056-B382-3EF1CD6D8429}">
  <dimension ref="A1:K31"/>
  <sheetViews>
    <sheetView workbookViewId="0">
      <selection activeCell="H2" sqref="H2:J2"/>
    </sheetView>
  </sheetViews>
  <sheetFormatPr defaultRowHeight="14.4" x14ac:dyDescent="0.3"/>
  <cols>
    <col min="1" max="1" width="16.6640625" customWidth="1"/>
    <col min="2" max="2" width="11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</cols>
  <sheetData>
    <row r="1" spans="1:11" x14ac:dyDescent="0.3">
      <c r="C1" s="5">
        <v>41.869</v>
      </c>
      <c r="D1" t="s">
        <v>111</v>
      </c>
      <c r="E1" t="s">
        <v>61</v>
      </c>
      <c r="G1">
        <f>1/110</f>
        <v>9.0909090909090905E-3</v>
      </c>
      <c r="H1" t="s">
        <v>131</v>
      </c>
      <c r="I1">
        <v>1.1000000000000001</v>
      </c>
      <c r="J1" t="s">
        <v>183</v>
      </c>
    </row>
    <row r="2" spans="1:11" x14ac:dyDescent="0.3">
      <c r="A2" s="2"/>
      <c r="B2" s="2"/>
      <c r="C2" s="10">
        <v>0.27779999999999999</v>
      </c>
      <c r="D2" s="2" t="s">
        <v>113</v>
      </c>
      <c r="E2" s="2"/>
      <c r="F2" s="2"/>
      <c r="G2" s="2"/>
      <c r="H2" s="2" t="s">
        <v>19</v>
      </c>
      <c r="I2" s="2">
        <v>3.9</v>
      </c>
      <c r="J2" s="2" t="s">
        <v>3</v>
      </c>
    </row>
    <row r="3" spans="1:11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112</v>
      </c>
      <c r="G3">
        <f>C2*E3</f>
        <v>1395.7449839999999</v>
      </c>
      <c r="H3" t="s">
        <v>114</v>
      </c>
      <c r="I3">
        <f>(C3*C2)-I2</f>
        <v>29.436</v>
      </c>
      <c r="J3" t="s">
        <v>3</v>
      </c>
    </row>
    <row r="4" spans="1:11" x14ac:dyDescent="0.3">
      <c r="A4" t="s">
        <v>123</v>
      </c>
      <c r="C4">
        <v>9.31</v>
      </c>
      <c r="D4" t="s">
        <v>124</v>
      </c>
      <c r="E4">
        <f>C4/I3</f>
        <v>0.31627938578611225</v>
      </c>
      <c r="F4" t="s">
        <v>125</v>
      </c>
    </row>
    <row r="6" spans="1:11" x14ac:dyDescent="0.3">
      <c r="A6" t="s">
        <v>206</v>
      </c>
      <c r="C6">
        <v>0.65</v>
      </c>
      <c r="E6" s="14" t="s">
        <v>207</v>
      </c>
    </row>
    <row r="8" spans="1:11" x14ac:dyDescent="0.3">
      <c r="A8" t="s">
        <v>168</v>
      </c>
      <c r="B8">
        <v>2.5</v>
      </c>
      <c r="C8" t="s">
        <v>169</v>
      </c>
      <c r="D8">
        <f>B8*(365*24*60*60)</f>
        <v>78840000</v>
      </c>
      <c r="E8" t="s">
        <v>116</v>
      </c>
      <c r="F8">
        <f>(D8*I3*C6/(1000000))</f>
        <v>1508.4772559999999</v>
      </c>
      <c r="G8" t="s">
        <v>170</v>
      </c>
      <c r="I8">
        <f>F8/8760</f>
        <v>0.17220059999999998</v>
      </c>
      <c r="J8" t="s">
        <v>186</v>
      </c>
    </row>
    <row r="10" spans="1:11" x14ac:dyDescent="0.3">
      <c r="A10" s="2" t="s">
        <v>171</v>
      </c>
      <c r="B10">
        <f>133815/1000</f>
        <v>133.815</v>
      </c>
      <c r="C10" t="s">
        <v>172</v>
      </c>
      <c r="D10">
        <f>B10/I8</f>
        <v>777.08788471120317</v>
      </c>
      <c r="E10" t="s">
        <v>173</v>
      </c>
      <c r="F10" s="16">
        <f>D10*I1</f>
        <v>854.79667318232362</v>
      </c>
      <c r="G10" t="s">
        <v>187</v>
      </c>
    </row>
    <row r="11" spans="1:11" x14ac:dyDescent="0.3">
      <c r="A11" s="2" t="s">
        <v>68</v>
      </c>
      <c r="B11">
        <v>20</v>
      </c>
      <c r="C11" t="s">
        <v>192</v>
      </c>
    </row>
    <row r="13" spans="1:11" x14ac:dyDescent="0.3">
      <c r="A13" s="2" t="s">
        <v>174</v>
      </c>
      <c r="D13" s="2" t="s">
        <v>179</v>
      </c>
      <c r="F13" s="2" t="s">
        <v>188</v>
      </c>
      <c r="I13" t="s">
        <v>189</v>
      </c>
      <c r="J13" t="s">
        <v>190</v>
      </c>
      <c r="K13" t="s">
        <v>197</v>
      </c>
    </row>
    <row r="14" spans="1:11" x14ac:dyDescent="0.3">
      <c r="A14" t="s">
        <v>175</v>
      </c>
      <c r="B14">
        <f>61753*1000</f>
        <v>61753000</v>
      </c>
      <c r="C14" t="s">
        <v>178</v>
      </c>
      <c r="D14">
        <v>20</v>
      </c>
      <c r="E14" t="s">
        <v>180</v>
      </c>
      <c r="F14">
        <f>B14/(D14*1000)</f>
        <v>3087.65</v>
      </c>
      <c r="G14" t="s">
        <v>35</v>
      </c>
      <c r="I14">
        <f>F8/F15</f>
        <v>42.532253458646615</v>
      </c>
      <c r="J14">
        <f>F8/(F15+F14)</f>
        <v>0.48300381221749639</v>
      </c>
      <c r="K14" s="16">
        <f>F15/F14</f>
        <v>1.1486621432696928E-2</v>
      </c>
    </row>
    <row r="15" spans="1:11" x14ac:dyDescent="0.3">
      <c r="A15" t="s">
        <v>176</v>
      </c>
      <c r="B15">
        <v>1064000</v>
      </c>
      <c r="C15" t="s">
        <v>178</v>
      </c>
      <c r="D15">
        <v>30</v>
      </c>
      <c r="E15" t="s">
        <v>180</v>
      </c>
      <c r="F15" s="2">
        <f>B15/(D15*1000)</f>
        <v>35.466666666666669</v>
      </c>
      <c r="G15" t="s">
        <v>35</v>
      </c>
    </row>
    <row r="16" spans="1:11" x14ac:dyDescent="0.3">
      <c r="F16" s="2"/>
    </row>
    <row r="17" spans="1:7" x14ac:dyDescent="0.3">
      <c r="A17" t="s">
        <v>177</v>
      </c>
      <c r="B17">
        <v>1089000</v>
      </c>
      <c r="C17" t="s">
        <v>178</v>
      </c>
      <c r="D17">
        <f>B17/1000000</f>
        <v>1.089</v>
      </c>
      <c r="E17" t="s">
        <v>184</v>
      </c>
    </row>
    <row r="19" spans="1:7" x14ac:dyDescent="0.3">
      <c r="A19" t="s">
        <v>181</v>
      </c>
      <c r="B19">
        <v>12</v>
      </c>
      <c r="C19" t="s">
        <v>169</v>
      </c>
    </row>
    <row r="20" spans="1:7" x14ac:dyDescent="0.3">
      <c r="B20">
        <f>B19*(365*24*60*60)</f>
        <v>378432000</v>
      </c>
      <c r="C20" t="s">
        <v>116</v>
      </c>
    </row>
    <row r="21" spans="1:7" x14ac:dyDescent="0.3">
      <c r="B21">
        <f>B20*0.3</f>
        <v>113529600</v>
      </c>
      <c r="C21" t="s">
        <v>147</v>
      </c>
      <c r="D21">
        <f>B21*G1/(1000000)</f>
        <v>1.0320872727272727</v>
      </c>
      <c r="E21" t="s">
        <v>182</v>
      </c>
      <c r="F21">
        <f>D21/I1</f>
        <v>0.93826115702479329</v>
      </c>
      <c r="G21" t="s">
        <v>184</v>
      </c>
    </row>
    <row r="23" spans="1:7" x14ac:dyDescent="0.3">
      <c r="A23" s="2" t="s">
        <v>215</v>
      </c>
      <c r="B23">
        <f>(B14/1000000)+F21</f>
        <v>62.69126115702479</v>
      </c>
      <c r="C23" t="s">
        <v>184</v>
      </c>
      <c r="D23">
        <f>B23*I1</f>
        <v>68.960387272727274</v>
      </c>
      <c r="E23" t="s">
        <v>182</v>
      </c>
      <c r="F23" s="16">
        <f>D23/F8</f>
        <v>4.5715231700336145E-2</v>
      </c>
      <c r="G23" t="s">
        <v>67</v>
      </c>
    </row>
    <row r="24" spans="1:7" x14ac:dyDescent="0.3">
      <c r="A24" s="14" t="s">
        <v>199</v>
      </c>
    </row>
    <row r="26" spans="1:7" x14ac:dyDescent="0.3">
      <c r="A26" s="2" t="s">
        <v>185</v>
      </c>
      <c r="B26">
        <f>D17</f>
        <v>1.089</v>
      </c>
      <c r="C26" t="s">
        <v>184</v>
      </c>
      <c r="D26">
        <f>B26*I1</f>
        <v>1.1979</v>
      </c>
      <c r="E26" t="s">
        <v>182</v>
      </c>
      <c r="F26" s="16">
        <f>D26/I8</f>
        <v>6.9564217546280336</v>
      </c>
      <c r="G26" t="s">
        <v>187</v>
      </c>
    </row>
    <row r="27" spans="1:7" x14ac:dyDescent="0.3">
      <c r="A27" s="15" t="s">
        <v>216</v>
      </c>
    </row>
    <row r="29" spans="1:7" x14ac:dyDescent="0.3">
      <c r="A29" s="2" t="s">
        <v>191</v>
      </c>
      <c r="B29">
        <f>F8*B11*1000</f>
        <v>30169545.119999997</v>
      </c>
      <c r="C29" t="s">
        <v>193</v>
      </c>
    </row>
    <row r="30" spans="1:7" x14ac:dyDescent="0.3">
      <c r="A30" s="2" t="s">
        <v>194</v>
      </c>
      <c r="B30">
        <f>(B10*1000000)+(70005000*B11)</f>
        <v>1533915000</v>
      </c>
      <c r="C30" t="s">
        <v>195</v>
      </c>
    </row>
    <row r="31" spans="1:7" x14ac:dyDescent="0.3">
      <c r="A31" s="2" t="s">
        <v>196</v>
      </c>
      <c r="B31">
        <f>B30/B29</f>
        <v>50.843159679697557</v>
      </c>
      <c r="C31" t="s">
        <v>180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5B1-F75D-401E-9CDA-9DC2F24930C6}">
  <dimension ref="A1:K40"/>
  <sheetViews>
    <sheetView topLeftCell="A7" workbookViewId="0">
      <selection activeCell="J20" sqref="J20"/>
    </sheetView>
  </sheetViews>
  <sheetFormatPr defaultRowHeight="14.4" x14ac:dyDescent="0.3"/>
  <cols>
    <col min="1" max="1" width="14.6640625" customWidth="1"/>
    <col min="2" max="2" width="12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  <col min="13" max="13" width="12" bestFit="1" customWidth="1"/>
    <col min="14" max="14" width="12.88671875" bestFit="1" customWidth="1"/>
    <col min="15" max="15" width="11" bestFit="1" customWidth="1"/>
  </cols>
  <sheetData>
    <row r="1" spans="1:11" x14ac:dyDescent="0.3">
      <c r="C1" s="5">
        <v>41.869</v>
      </c>
      <c r="D1" t="s">
        <v>111</v>
      </c>
      <c r="E1" t="s">
        <v>61</v>
      </c>
      <c r="G1">
        <f>1/110</f>
        <v>9.0909090909090905E-3</v>
      </c>
      <c r="H1" t="s">
        <v>131</v>
      </c>
      <c r="I1">
        <v>1.1000000000000001</v>
      </c>
      <c r="J1" t="s">
        <v>183</v>
      </c>
    </row>
    <row r="2" spans="1:11" x14ac:dyDescent="0.3">
      <c r="A2" s="2"/>
      <c r="B2" s="2"/>
      <c r="C2" s="10">
        <v>0.27779999999999999</v>
      </c>
      <c r="D2" s="2" t="s">
        <v>113</v>
      </c>
      <c r="E2" s="2"/>
      <c r="F2" s="2"/>
      <c r="G2" s="2"/>
      <c r="H2" s="2"/>
      <c r="I2" s="2"/>
      <c r="J2" s="2"/>
    </row>
    <row r="3" spans="1:11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112</v>
      </c>
      <c r="G3">
        <f>C2*E3</f>
        <v>1395.7449839999999</v>
      </c>
      <c r="H3" t="s">
        <v>114</v>
      </c>
      <c r="I3">
        <f>C3*C2</f>
        <v>33.335999999999999</v>
      </c>
      <c r="J3" t="s">
        <v>3</v>
      </c>
    </row>
    <row r="4" spans="1:11" x14ac:dyDescent="0.3">
      <c r="A4" t="s">
        <v>123</v>
      </c>
      <c r="C4">
        <v>9.31</v>
      </c>
      <c r="D4" t="s">
        <v>124</v>
      </c>
      <c r="E4">
        <f>C4/I3</f>
        <v>0.27927765778737701</v>
      </c>
      <c r="F4" t="s">
        <v>125</v>
      </c>
    </row>
    <row r="5" spans="1:11" x14ac:dyDescent="0.3">
      <c r="A5" t="s">
        <v>213</v>
      </c>
      <c r="B5">
        <v>0.9</v>
      </c>
    </row>
    <row r="7" spans="1:11" x14ac:dyDescent="0.3">
      <c r="A7" t="s">
        <v>206</v>
      </c>
      <c r="C7">
        <v>0.7</v>
      </c>
      <c r="E7" s="14" t="s">
        <v>207</v>
      </c>
    </row>
    <row r="9" spans="1:11" x14ac:dyDescent="0.3">
      <c r="A9" t="s">
        <v>168</v>
      </c>
      <c r="B9">
        <v>2.5</v>
      </c>
      <c r="C9" t="s">
        <v>169</v>
      </c>
      <c r="D9">
        <f>B9*(365*24*60*60)</f>
        <v>78840000</v>
      </c>
      <c r="E9" t="s">
        <v>116</v>
      </c>
      <c r="F9">
        <f>(D9*I3*C7/(1000000))</f>
        <v>1839.7471680000001</v>
      </c>
      <c r="G9" t="s">
        <v>170</v>
      </c>
      <c r="I9">
        <f>F9/8760</f>
        <v>0.2100168</v>
      </c>
      <c r="J9" t="s">
        <v>186</v>
      </c>
    </row>
    <row r="11" spans="1:11" x14ac:dyDescent="0.3">
      <c r="A11" s="2" t="s">
        <v>171</v>
      </c>
      <c r="B11">
        <v>162</v>
      </c>
      <c r="C11" t="s">
        <v>172</v>
      </c>
      <c r="D11">
        <f>B11/I9</f>
        <v>771.36686207960508</v>
      </c>
      <c r="E11" t="s">
        <v>173</v>
      </c>
      <c r="F11" s="16">
        <f>D11*I1</f>
        <v>848.50354828756565</v>
      </c>
      <c r="G11" t="s">
        <v>187</v>
      </c>
    </row>
    <row r="12" spans="1:11" x14ac:dyDescent="0.3">
      <c r="A12" s="2" t="s">
        <v>68</v>
      </c>
      <c r="B12">
        <v>20</v>
      </c>
      <c r="C12" t="s">
        <v>192</v>
      </c>
    </row>
    <row r="14" spans="1:11" x14ac:dyDescent="0.3">
      <c r="A14" s="2" t="s">
        <v>174</v>
      </c>
      <c r="D14" s="2" t="s">
        <v>179</v>
      </c>
      <c r="H14" s="2" t="s">
        <v>188</v>
      </c>
      <c r="J14" s="2" t="s">
        <v>212</v>
      </c>
    </row>
    <row r="15" spans="1:11" x14ac:dyDescent="0.3">
      <c r="A15" t="s">
        <v>175</v>
      </c>
      <c r="B15">
        <f>64546*1000</f>
        <v>64546000</v>
      </c>
      <c r="C15" t="s">
        <v>178</v>
      </c>
      <c r="D15">
        <v>20</v>
      </c>
      <c r="E15" t="s">
        <v>180</v>
      </c>
      <c r="H15">
        <f>B15/(D15*1000)</f>
        <v>3227.3</v>
      </c>
      <c r="I15" t="s">
        <v>35</v>
      </c>
      <c r="J15">
        <f>B15/(D15*1000)</f>
        <v>3227.3</v>
      </c>
      <c r="K15" t="s">
        <v>35</v>
      </c>
    </row>
    <row r="16" spans="1:11" x14ac:dyDescent="0.3">
      <c r="A16" t="s">
        <v>176</v>
      </c>
      <c r="B16">
        <v>1064000</v>
      </c>
      <c r="C16" t="s">
        <v>178</v>
      </c>
      <c r="D16">
        <v>30</v>
      </c>
      <c r="E16" t="s">
        <v>180</v>
      </c>
      <c r="H16" s="2">
        <f>B16/(D16*1000)</f>
        <v>35.466666666666669</v>
      </c>
      <c r="I16" t="s">
        <v>35</v>
      </c>
      <c r="J16" s="2">
        <f>H16+F17</f>
        <v>215.93730350389399</v>
      </c>
      <c r="K16" t="s">
        <v>35</v>
      </c>
    </row>
    <row r="17" spans="1:10" x14ac:dyDescent="0.3">
      <c r="A17" t="s">
        <v>211</v>
      </c>
      <c r="F17">
        <f>B40</f>
        <v>180.47063683722732</v>
      </c>
      <c r="G17" t="s">
        <v>35</v>
      </c>
    </row>
    <row r="18" spans="1:10" x14ac:dyDescent="0.3">
      <c r="A18" t="s">
        <v>177</v>
      </c>
      <c r="B18">
        <v>1089000</v>
      </c>
      <c r="C18" t="s">
        <v>178</v>
      </c>
      <c r="D18">
        <f>B18/1000000</f>
        <v>1.089</v>
      </c>
      <c r="E18" t="s">
        <v>184</v>
      </c>
    </row>
    <row r="19" spans="1:10" x14ac:dyDescent="0.3">
      <c r="A19" t="s">
        <v>217</v>
      </c>
      <c r="B19">
        <f>(97662-64546-2778-1064-1089)*1000</f>
        <v>28185000</v>
      </c>
      <c r="C19" t="s">
        <v>178</v>
      </c>
      <c r="H19" t="s">
        <v>200</v>
      </c>
      <c r="I19" t="s">
        <v>190</v>
      </c>
      <c r="J19" t="s">
        <v>197</v>
      </c>
    </row>
    <row r="20" spans="1:10" x14ac:dyDescent="0.3">
      <c r="H20">
        <f>F9/J16</f>
        <v>8.5198209764938735</v>
      </c>
      <c r="I20">
        <f>F9/(J16+J15)</f>
        <v>0.53430739906536318</v>
      </c>
      <c r="J20" s="16">
        <f>J16/J15</f>
        <v>6.6909584948376039E-2</v>
      </c>
    </row>
    <row r="21" spans="1:10" x14ac:dyDescent="0.3">
      <c r="A21" t="s">
        <v>181</v>
      </c>
      <c r="B21">
        <v>12</v>
      </c>
      <c r="C21" t="s">
        <v>169</v>
      </c>
    </row>
    <row r="22" spans="1:10" x14ac:dyDescent="0.3">
      <c r="B22">
        <f>B21*(365*24*60*60)</f>
        <v>378432000</v>
      </c>
      <c r="C22" t="s">
        <v>116</v>
      </c>
    </row>
    <row r="23" spans="1:10" x14ac:dyDescent="0.3">
      <c r="B23">
        <f>B22*0.3</f>
        <v>113529600</v>
      </c>
      <c r="C23" t="s">
        <v>147</v>
      </c>
      <c r="D23">
        <f>B23*G1/(1000000)</f>
        <v>1.0320872727272727</v>
      </c>
      <c r="E23" t="s">
        <v>182</v>
      </c>
      <c r="F23">
        <f>D23/I1</f>
        <v>0.93826115702479329</v>
      </c>
      <c r="G23" t="s">
        <v>184</v>
      </c>
    </row>
    <row r="25" spans="1:10" x14ac:dyDescent="0.3">
      <c r="A25" s="2" t="s">
        <v>215</v>
      </c>
      <c r="B25">
        <f>(B15/1000000)+F23</f>
        <v>65.484261157024804</v>
      </c>
      <c r="C25" t="s">
        <v>184</v>
      </c>
      <c r="D25">
        <f>B25*I1</f>
        <v>72.032687272727287</v>
      </c>
      <c r="E25" t="s">
        <v>182</v>
      </c>
      <c r="F25" s="16">
        <f>(D25/F9)+B38</f>
        <v>5.5653579647052503E-2</v>
      </c>
      <c r="G25" t="s">
        <v>67</v>
      </c>
    </row>
    <row r="26" spans="1:10" x14ac:dyDescent="0.3">
      <c r="A26" s="14" t="s">
        <v>218</v>
      </c>
    </row>
    <row r="28" spans="1:10" x14ac:dyDescent="0.3">
      <c r="A28" s="2" t="s">
        <v>185</v>
      </c>
      <c r="B28">
        <f>D18</f>
        <v>1.089</v>
      </c>
      <c r="C28" t="s">
        <v>184</v>
      </c>
      <c r="D28">
        <f>B28*I1</f>
        <v>1.1979</v>
      </c>
      <c r="E28" t="s">
        <v>182</v>
      </c>
      <c r="F28" s="16">
        <f>D28/I9</f>
        <v>5.7038294079330791</v>
      </c>
      <c r="G28" t="s">
        <v>187</v>
      </c>
    </row>
    <row r="29" spans="1:10" x14ac:dyDescent="0.3">
      <c r="A29" s="15"/>
    </row>
    <row r="31" spans="1:10" x14ac:dyDescent="0.3">
      <c r="A31" s="2" t="s">
        <v>191</v>
      </c>
      <c r="B31">
        <f>F9*B12*1000</f>
        <v>36794943.360000007</v>
      </c>
      <c r="C31" t="s">
        <v>193</v>
      </c>
    </row>
    <row r="32" spans="1:10" x14ac:dyDescent="0.3">
      <c r="A32" s="2" t="s">
        <v>194</v>
      </c>
      <c r="B32">
        <f>(B11*1000000)+(97662000*B12)</f>
        <v>2115240000</v>
      </c>
      <c r="C32" t="s">
        <v>195</v>
      </c>
    </row>
    <row r="33" spans="1:6" x14ac:dyDescent="0.3">
      <c r="A33" s="2" t="s">
        <v>196</v>
      </c>
      <c r="B33">
        <f>B32/B31</f>
        <v>57.487247073723978</v>
      </c>
      <c r="C33" t="s">
        <v>180</v>
      </c>
    </row>
    <row r="35" spans="1:6" x14ac:dyDescent="0.3">
      <c r="A35" s="2" t="s">
        <v>140</v>
      </c>
      <c r="B35">
        <v>1.3300000000000001E-4</v>
      </c>
      <c r="C35" t="s">
        <v>104</v>
      </c>
    </row>
    <row r="36" spans="1:6" x14ac:dyDescent="0.3">
      <c r="A36" s="2" t="s">
        <v>214</v>
      </c>
      <c r="B36">
        <f>B35*F9*B5</f>
        <v>0.22021773600960004</v>
      </c>
      <c r="C36" t="s">
        <v>37</v>
      </c>
    </row>
    <row r="37" spans="1:6" x14ac:dyDescent="0.3">
      <c r="A37" s="15" t="s">
        <v>208</v>
      </c>
      <c r="B37">
        <v>15</v>
      </c>
      <c r="C37" t="s">
        <v>209</v>
      </c>
    </row>
    <row r="38" spans="1:6" x14ac:dyDescent="0.3">
      <c r="B38" s="16">
        <f>B37*I1/1000</f>
        <v>1.6500000000000001E-2</v>
      </c>
      <c r="C38" t="s">
        <v>67</v>
      </c>
      <c r="E38">
        <f>B38*F9*1000000/I1</f>
        <v>27596207.52</v>
      </c>
      <c r="F38" t="s">
        <v>172</v>
      </c>
    </row>
    <row r="39" spans="1:6" x14ac:dyDescent="0.3">
      <c r="A39" t="s">
        <v>210</v>
      </c>
      <c r="B39">
        <v>2950</v>
      </c>
      <c r="C39" t="s">
        <v>51</v>
      </c>
      <c r="D39">
        <f>B39*C2</f>
        <v>819.51</v>
      </c>
      <c r="E39" t="s">
        <v>23</v>
      </c>
    </row>
    <row r="40" spans="1:6" x14ac:dyDescent="0.3">
      <c r="B40" s="3">
        <f>D39*B36</f>
        <v>180.47063683722732</v>
      </c>
      <c r="C40" s="3" t="s">
        <v>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23C-69C1-4E4C-92FB-4F8D7DC530BE}">
  <dimension ref="A1:N25"/>
  <sheetViews>
    <sheetView workbookViewId="0">
      <selection activeCell="J20" sqref="J20"/>
    </sheetView>
  </sheetViews>
  <sheetFormatPr defaultRowHeight="14.4" x14ac:dyDescent="0.3"/>
  <cols>
    <col min="1" max="1" width="12.5546875" customWidth="1"/>
    <col min="2" max="2" width="12" bestFit="1" customWidth="1"/>
    <col min="3" max="3" width="10.33203125" customWidth="1"/>
    <col min="9" max="9" width="11.33203125" customWidth="1"/>
  </cols>
  <sheetData>
    <row r="1" spans="1:14" x14ac:dyDescent="0.3">
      <c r="B1" t="s">
        <v>1</v>
      </c>
      <c r="D1">
        <v>120</v>
      </c>
      <c r="E1" t="s">
        <v>2</v>
      </c>
      <c r="F1">
        <v>5024.28</v>
      </c>
      <c r="G1" t="s">
        <v>112</v>
      </c>
      <c r="H1">
        <v>1395.7449839999999</v>
      </c>
      <c r="I1" t="s">
        <v>114</v>
      </c>
      <c r="J1">
        <v>33.335999999999999</v>
      </c>
      <c r="K1" t="s">
        <v>3</v>
      </c>
      <c r="M1" s="10">
        <v>0.27779999999999999</v>
      </c>
      <c r="N1" s="2" t="s">
        <v>113</v>
      </c>
    </row>
    <row r="2" spans="1:14" x14ac:dyDescent="0.3">
      <c r="B2">
        <f>1/110</f>
        <v>9.0909090909090905E-3</v>
      </c>
      <c r="C2" t="s">
        <v>131</v>
      </c>
      <c r="D2">
        <v>1.1000000000000001</v>
      </c>
      <c r="E2" t="s">
        <v>183</v>
      </c>
      <c r="I2" t="s">
        <v>19</v>
      </c>
      <c r="J2">
        <f>3.9</f>
        <v>3.9</v>
      </c>
      <c r="K2" t="s">
        <v>3</v>
      </c>
    </row>
    <row r="3" spans="1:14" x14ac:dyDescent="0.3">
      <c r="I3" t="s">
        <v>236</v>
      </c>
      <c r="J3">
        <f>J1-J2</f>
        <v>29.436</v>
      </c>
      <c r="K3" t="s">
        <v>3</v>
      </c>
    </row>
    <row r="4" spans="1:14" x14ac:dyDescent="0.3">
      <c r="A4" t="s">
        <v>68</v>
      </c>
      <c r="B4">
        <v>20</v>
      </c>
      <c r="C4" t="s">
        <v>192</v>
      </c>
      <c r="D4" t="s">
        <v>171</v>
      </c>
      <c r="E4">
        <f>1000*D2</f>
        <v>1100</v>
      </c>
      <c r="F4" t="s">
        <v>139</v>
      </c>
      <c r="G4">
        <f>600*D2</f>
        <v>660</v>
      </c>
    </row>
    <row r="6" spans="1:14" x14ac:dyDescent="0.3">
      <c r="A6" s="2" t="s">
        <v>202</v>
      </c>
      <c r="B6">
        <v>2974000</v>
      </c>
      <c r="C6" t="s">
        <v>195</v>
      </c>
      <c r="D6">
        <f>B6/(1000000*L10)</f>
        <v>1239.0675412633659</v>
      </c>
      <c r="E6" t="s">
        <v>173</v>
      </c>
      <c r="F6">
        <f>D6*D2</f>
        <v>1362.9742953897025</v>
      </c>
      <c r="G6" t="s">
        <v>187</v>
      </c>
    </row>
    <row r="8" spans="1:14" x14ac:dyDescent="0.3">
      <c r="A8" t="s">
        <v>181</v>
      </c>
      <c r="B8">
        <v>0.22</v>
      </c>
      <c r="C8" t="s">
        <v>169</v>
      </c>
      <c r="I8" t="s">
        <v>198</v>
      </c>
      <c r="J8">
        <v>0.02</v>
      </c>
      <c r="K8" t="s">
        <v>169</v>
      </c>
    </row>
    <row r="9" spans="1:14" x14ac:dyDescent="0.3">
      <c r="B9">
        <f>B8*(365*24*60*60)</f>
        <v>6937920</v>
      </c>
      <c r="C9" t="s">
        <v>116</v>
      </c>
      <c r="J9">
        <f>J8*(365*24*60*60)</f>
        <v>630720</v>
      </c>
      <c r="K9" t="s">
        <v>116</v>
      </c>
      <c r="L9">
        <f>J9*J1/1000000</f>
        <v>21.025681919999997</v>
      </c>
      <c r="M9" t="s">
        <v>170</v>
      </c>
    </row>
    <row r="10" spans="1:14" x14ac:dyDescent="0.3">
      <c r="B10">
        <f>0.3*B9</f>
        <v>2081376</v>
      </c>
      <c r="C10" t="s">
        <v>147</v>
      </c>
      <c r="D10">
        <f>B10*B2/1000000</f>
        <v>1.89216E-2</v>
      </c>
      <c r="E10" t="s">
        <v>182</v>
      </c>
      <c r="F10">
        <f>D10/D2</f>
        <v>1.7201454545454544E-2</v>
      </c>
      <c r="G10" t="s">
        <v>184</v>
      </c>
      <c r="L10">
        <f>L9/8760</f>
        <v>2.4001919999999998E-3</v>
      </c>
      <c r="M10" t="s">
        <v>204</v>
      </c>
    </row>
    <row r="11" spans="1:14" x14ac:dyDescent="0.3">
      <c r="F11">
        <f>F10*1000000</f>
        <v>17201.454545454544</v>
      </c>
      <c r="G11" t="s">
        <v>178</v>
      </c>
    </row>
    <row r="12" spans="1:14" x14ac:dyDescent="0.3">
      <c r="A12" s="2" t="s">
        <v>205</v>
      </c>
      <c r="B12">
        <f>D10/L9</f>
        <v>8.9992800575953936E-4</v>
      </c>
      <c r="C12" t="s">
        <v>67</v>
      </c>
    </row>
    <row r="14" spans="1:14" x14ac:dyDescent="0.3">
      <c r="A14" t="s">
        <v>176</v>
      </c>
      <c r="B14">
        <v>52</v>
      </c>
      <c r="C14" t="s">
        <v>124</v>
      </c>
      <c r="I14" t="s">
        <v>200</v>
      </c>
      <c r="J14">
        <f>J1/B14</f>
        <v>0.6410769230769231</v>
      </c>
    </row>
    <row r="16" spans="1:14" x14ac:dyDescent="0.3">
      <c r="A16" s="2" t="s">
        <v>203</v>
      </c>
      <c r="B16">
        <v>15000</v>
      </c>
      <c r="C16" t="s">
        <v>178</v>
      </c>
      <c r="D16">
        <f>B16*D2/(1000000*L10)</f>
        <v>6.8744500439964815</v>
      </c>
      <c r="E16" t="s">
        <v>187</v>
      </c>
    </row>
    <row r="17" spans="1:6" x14ac:dyDescent="0.3">
      <c r="A17" t="s">
        <v>201</v>
      </c>
    </row>
    <row r="19" spans="1:6" x14ac:dyDescent="0.3">
      <c r="A19" s="2" t="s">
        <v>191</v>
      </c>
      <c r="B19">
        <f>L9*B4/1000</f>
        <v>0.42051363839999994</v>
      </c>
      <c r="C19" t="s">
        <v>193</v>
      </c>
    </row>
    <row r="20" spans="1:6" x14ac:dyDescent="0.3">
      <c r="A20" s="2" t="s">
        <v>194</v>
      </c>
      <c r="B20">
        <f>B6+(B16*B4)+(F11*B4)</f>
        <v>3618029.0909090908</v>
      </c>
    </row>
    <row r="21" spans="1:6" x14ac:dyDescent="0.3">
      <c r="A21" s="2" t="s">
        <v>196</v>
      </c>
      <c r="B21">
        <f>B20/B19</f>
        <v>8603832.9331605602</v>
      </c>
    </row>
    <row r="24" spans="1:6" x14ac:dyDescent="0.3">
      <c r="A24" s="2" t="s">
        <v>140</v>
      </c>
      <c r="B24">
        <v>2017</v>
      </c>
      <c r="C24">
        <v>1160</v>
      </c>
      <c r="D24" t="s">
        <v>235</v>
      </c>
      <c r="E24">
        <f>C24/J3</f>
        <v>39.407528196765867</v>
      </c>
      <c r="F24" t="s">
        <v>224</v>
      </c>
    </row>
    <row r="25" spans="1:6" x14ac:dyDescent="0.3">
      <c r="B25">
        <v>2050</v>
      </c>
      <c r="C25">
        <v>480</v>
      </c>
      <c r="D25" t="s">
        <v>235</v>
      </c>
      <c r="E25">
        <f>C25/J3</f>
        <v>16.306563391765184</v>
      </c>
      <c r="F25" t="s">
        <v>224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C190-EC74-43BE-8FB1-1D4B5E66E226}">
  <dimension ref="A1:I5"/>
  <sheetViews>
    <sheetView workbookViewId="0">
      <selection activeCell="K7" sqref="K7"/>
    </sheetView>
  </sheetViews>
  <sheetFormatPr defaultRowHeight="14.4" x14ac:dyDescent="0.3"/>
  <cols>
    <col min="3" max="3" width="12" bestFit="1" customWidth="1"/>
    <col min="6" max="6" width="12" bestFit="1" customWidth="1"/>
  </cols>
  <sheetData>
    <row r="1" spans="1:9" x14ac:dyDescent="0.3">
      <c r="A1" t="s">
        <v>68</v>
      </c>
      <c r="B1" t="s">
        <v>219</v>
      </c>
      <c r="D1">
        <v>2020</v>
      </c>
      <c r="F1">
        <v>2030</v>
      </c>
    </row>
    <row r="2" spans="1:9" x14ac:dyDescent="0.3">
      <c r="A2" t="s">
        <v>220</v>
      </c>
      <c r="C2">
        <v>25</v>
      </c>
      <c r="D2" t="s">
        <v>221</v>
      </c>
      <c r="F2">
        <f>15</f>
        <v>15</v>
      </c>
      <c r="G2" t="s">
        <v>221</v>
      </c>
    </row>
    <row r="3" spans="1:9" x14ac:dyDescent="0.3">
      <c r="A3" t="s">
        <v>222</v>
      </c>
      <c r="C3">
        <f>8760*10*0.5</f>
        <v>43800</v>
      </c>
      <c r="D3" t="s">
        <v>121</v>
      </c>
    </row>
    <row r="4" spans="1:9" x14ac:dyDescent="0.3">
      <c r="A4" t="s">
        <v>223</v>
      </c>
      <c r="C4">
        <f>C2*1000/C3</f>
        <v>0.57077625570776258</v>
      </c>
      <c r="D4" t="s">
        <v>224</v>
      </c>
      <c r="F4">
        <f>F2*1000/C3</f>
        <v>0.34246575342465752</v>
      </c>
    </row>
    <row r="5" spans="1:9" x14ac:dyDescent="0.3">
      <c r="C5">
        <f>C4/1000000</f>
        <v>5.7077625570776257E-7</v>
      </c>
      <c r="F5">
        <f>F4/1000000</f>
        <v>3.424657534246575E-7</v>
      </c>
      <c r="I5" s="17">
        <f>942/1000000</f>
        <v>9.4200000000000002E-4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F198-3247-41A0-820F-167859A4EE2B}">
  <dimension ref="A3:R21"/>
  <sheetViews>
    <sheetView workbookViewId="0">
      <selection activeCell="I16" sqref="I16"/>
    </sheetView>
  </sheetViews>
  <sheetFormatPr defaultRowHeight="14.4" x14ac:dyDescent="0.3"/>
  <cols>
    <col min="1" max="1" width="11.109375" customWidth="1"/>
  </cols>
  <sheetData>
    <row r="3" spans="1:18" x14ac:dyDescent="0.3">
      <c r="B3" s="2">
        <v>2017</v>
      </c>
      <c r="C3" s="19">
        <v>2025</v>
      </c>
      <c r="D3" s="19"/>
      <c r="E3" s="22">
        <v>2040</v>
      </c>
      <c r="F3" s="22"/>
      <c r="G3" t="s">
        <v>234</v>
      </c>
      <c r="Q3" s="18"/>
      <c r="R3" s="18"/>
    </row>
    <row r="4" spans="1:18" x14ac:dyDescent="0.3">
      <c r="B4" s="2" t="s">
        <v>238</v>
      </c>
      <c r="C4" s="2" t="s">
        <v>226</v>
      </c>
      <c r="D4" s="2" t="s">
        <v>227</v>
      </c>
      <c r="E4" s="2" t="s">
        <v>226</v>
      </c>
      <c r="F4" s="2" t="s">
        <v>227</v>
      </c>
      <c r="Q4" s="18"/>
      <c r="R4" s="18"/>
    </row>
    <row r="5" spans="1:18" x14ac:dyDescent="0.3">
      <c r="A5" s="2" t="s">
        <v>225</v>
      </c>
      <c r="B5">
        <f>(B18+(25*C18))/(8760*0.2*25)</f>
        <v>3.8510273972602739E-2</v>
      </c>
      <c r="C5">
        <f>35.74/1000</f>
        <v>3.5740000000000001E-2</v>
      </c>
      <c r="D5">
        <v>29</v>
      </c>
      <c r="E5">
        <f>29.7/1000</f>
        <v>2.9700000000000001E-2</v>
      </c>
      <c r="F5">
        <v>29</v>
      </c>
      <c r="G5">
        <f>E5/C5</f>
        <v>0.83100167879127029</v>
      </c>
      <c r="Q5" s="18"/>
      <c r="R5" s="18"/>
    </row>
    <row r="6" spans="1:18" x14ac:dyDescent="0.3">
      <c r="A6" s="2" t="s">
        <v>228</v>
      </c>
      <c r="B6">
        <f>(B20+(25*C20))/(8760*0.4*25)</f>
        <v>2.2539954337899543E-2</v>
      </c>
      <c r="C6">
        <f>39.95/1000</f>
        <v>3.9949999999999999E-2</v>
      </c>
      <c r="D6">
        <v>40</v>
      </c>
      <c r="E6">
        <f>35.97/1000</f>
        <v>3.5970000000000002E-2</v>
      </c>
      <c r="F6">
        <v>40</v>
      </c>
      <c r="G6">
        <f>E6/C6</f>
        <v>0.9003754693366709</v>
      </c>
      <c r="Q6" s="18"/>
      <c r="R6" s="18"/>
    </row>
    <row r="7" spans="1:18" x14ac:dyDescent="0.3">
      <c r="A7" s="2" t="s">
        <v>229</v>
      </c>
      <c r="B7">
        <f>(B21+(25*C21))/(8760*0.44*20)</f>
        <v>0.1061708696554587</v>
      </c>
      <c r="C7">
        <f>122.25/1000</f>
        <v>0.12225</v>
      </c>
      <c r="D7">
        <v>44</v>
      </c>
      <c r="E7">
        <f>85.53/1000</f>
        <v>8.5529999999999995E-2</v>
      </c>
      <c r="F7">
        <v>44</v>
      </c>
      <c r="G7">
        <f>E7/C7</f>
        <v>0.69963190184049073</v>
      </c>
      <c r="R7" s="18"/>
    </row>
    <row r="11" spans="1:18" x14ac:dyDescent="0.3">
      <c r="A11" s="2" t="s">
        <v>230</v>
      </c>
      <c r="B11" s="2">
        <v>2017</v>
      </c>
      <c r="C11" s="2">
        <v>2025</v>
      </c>
      <c r="D11" s="2">
        <v>2040</v>
      </c>
      <c r="E11" s="2">
        <v>2050</v>
      </c>
    </row>
    <row r="12" spans="1:18" x14ac:dyDescent="0.3">
      <c r="A12" s="2" t="s">
        <v>225</v>
      </c>
      <c r="B12">
        <v>1307</v>
      </c>
      <c r="D12" s="16">
        <f>B12*G5</f>
        <v>1086.1191941801903</v>
      </c>
      <c r="E12" s="16">
        <f>D12*G5</f>
        <v>902.56687373115983</v>
      </c>
    </row>
    <row r="13" spans="1:18" x14ac:dyDescent="0.3">
      <c r="A13" s="2" t="s">
        <v>231</v>
      </c>
      <c r="B13">
        <v>3454</v>
      </c>
      <c r="D13" s="16">
        <f>G6*B13</f>
        <v>3109.8968710888612</v>
      </c>
      <c r="E13" s="16">
        <f>G6*D13</f>
        <v>2800.0748548952779</v>
      </c>
    </row>
    <row r="14" spans="1:18" x14ac:dyDescent="0.3">
      <c r="A14" s="2" t="s">
        <v>232</v>
      </c>
      <c r="B14">
        <v>7772.73</v>
      </c>
      <c r="D14" s="16">
        <f>G7*B14</f>
        <v>5438.0498723926376</v>
      </c>
      <c r="E14" s="16">
        <f>D14*G7</f>
        <v>3804.6331745254988</v>
      </c>
    </row>
    <row r="15" spans="1:18" x14ac:dyDescent="0.3">
      <c r="A15" s="2" t="s">
        <v>233</v>
      </c>
      <c r="B15">
        <v>12897</v>
      </c>
      <c r="D15" s="16">
        <f>G7*B15</f>
        <v>9023.1526380368086</v>
      </c>
      <c r="E15" s="16">
        <f>D15*G7</f>
        <v>6312.8854407467334</v>
      </c>
    </row>
    <row r="16" spans="1:18" x14ac:dyDescent="0.3">
      <c r="I16" t="s">
        <v>240</v>
      </c>
    </row>
    <row r="18" spans="1:4" x14ac:dyDescent="0.3">
      <c r="A18" t="s">
        <v>237</v>
      </c>
      <c r="B18">
        <v>1307</v>
      </c>
      <c r="C18">
        <v>15.19</v>
      </c>
      <c r="D18">
        <v>0</v>
      </c>
    </row>
    <row r="20" spans="1:4" x14ac:dyDescent="0.3">
      <c r="A20" t="s">
        <v>231</v>
      </c>
      <c r="B20">
        <v>1319</v>
      </c>
      <c r="C20">
        <v>26.22</v>
      </c>
      <c r="D20">
        <v>0</v>
      </c>
    </row>
    <row r="21" spans="1:4" x14ac:dyDescent="0.3">
      <c r="A21" t="s">
        <v>239</v>
      </c>
      <c r="B21">
        <v>5446</v>
      </c>
      <c r="C21">
        <v>109.54</v>
      </c>
      <c r="D21">
        <v>0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CCS</vt:lpstr>
      <vt:lpstr>Sheet1</vt:lpstr>
      <vt:lpstr>JHFC</vt:lpstr>
      <vt:lpstr>Acar and Dincer</vt:lpstr>
      <vt:lpstr>H2 Steam Reforming</vt:lpstr>
      <vt:lpstr>Photocatalytic H2</vt:lpstr>
      <vt:lpstr>Kato_H2</vt:lpstr>
      <vt:lpstr>Keipi_SMR</vt:lpstr>
      <vt:lpstr>KEIPI_CCSSMR</vt:lpstr>
      <vt:lpstr>Keipi_electrolysis</vt:lpstr>
      <vt:lpstr>Simons_PEMFC</vt:lpstr>
      <vt:lpstr>EIA_LCOE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Ansh Chaube</cp:lastModifiedBy>
  <dcterms:created xsi:type="dcterms:W3CDTF">2018-12-04T05:57:54Z</dcterms:created>
  <dcterms:modified xsi:type="dcterms:W3CDTF">2020-04-02T20:34:29Z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