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C0B8D1DB-AE62-469C-AF97-FE561E227A13}" xr6:coauthVersionLast="44" xr6:coauthVersionMax="44" xr10:uidLastSave="{00000000-0000-0000-0000-000000000000}"/>
  <bookViews>
    <workbookView xWindow="37095" yWindow="4395" windowWidth="17280" windowHeight="8970" firstSheet="1" activeTab="1" xr2:uid="{ECBC9880-2B97-44EA-9887-629A306A84A1}"/>
  </bookViews>
  <sheets>
    <sheet name="CCS_Kato" sheetId="2" r:id="rId1"/>
    <sheet name="CCS_Rubin" sheetId="14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Simons_PEMFC" sheetId="10" r:id="rId12"/>
    <sheet name="EIA_LCOE" sheetId="11" r:id="rId13"/>
    <sheet name="Sheet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4" l="1"/>
  <c r="O34" i="14"/>
  <c r="O35" i="14"/>
  <c r="O36" i="14"/>
  <c r="O37" i="14"/>
  <c r="O38" i="14"/>
  <c r="O39" i="14"/>
  <c r="O40" i="14"/>
  <c r="O41" i="14"/>
  <c r="O42" i="14"/>
  <c r="O43" i="14"/>
  <c r="O33" i="14"/>
  <c r="L33" i="14"/>
  <c r="F29" i="5"/>
  <c r="F32" i="5"/>
  <c r="D35" i="5"/>
  <c r="D9" i="5"/>
  <c r="K20" i="5"/>
  <c r="J20" i="5"/>
  <c r="I20" i="5"/>
  <c r="F20" i="5"/>
  <c r="D8" i="5"/>
  <c r="F8" i="5" s="1"/>
  <c r="I3" i="5"/>
  <c r="B12" i="5"/>
  <c r="I8" i="5" l="1"/>
  <c r="P34" i="14"/>
  <c r="P35" i="14"/>
  <c r="P36" i="14"/>
  <c r="P37" i="14"/>
  <c r="P38" i="14"/>
  <c r="P39" i="14"/>
  <c r="P40" i="14"/>
  <c r="P41" i="14"/>
  <c r="P42" i="14"/>
  <c r="P43" i="14"/>
  <c r="P33" i="14"/>
  <c r="P20" i="14"/>
  <c r="P21" i="14"/>
  <c r="P22" i="14"/>
  <c r="P23" i="14"/>
  <c r="P24" i="14"/>
  <c r="P25" i="14"/>
  <c r="P26" i="14"/>
  <c r="P27" i="14"/>
  <c r="P28" i="14"/>
  <c r="P29" i="14"/>
  <c r="P19" i="14"/>
  <c r="P5" i="14"/>
  <c r="P6" i="14"/>
  <c r="P7" i="14"/>
  <c r="P8" i="14"/>
  <c r="P9" i="14"/>
  <c r="P10" i="14"/>
  <c r="P11" i="14"/>
  <c r="P12" i="14"/>
  <c r="P13" i="14"/>
  <c r="P14" i="14"/>
  <c r="P15" i="14"/>
  <c r="C11" i="14" l="1"/>
  <c r="B11" i="14"/>
  <c r="B36" i="14"/>
  <c r="B32" i="14" l="1"/>
  <c r="K43" i="14"/>
  <c r="B21" i="14"/>
  <c r="D16" i="2"/>
  <c r="D17" i="2"/>
  <c r="D15" i="2"/>
  <c r="B13" i="14"/>
  <c r="D6" i="2"/>
  <c r="D7" i="2"/>
  <c r="D8" i="2"/>
  <c r="D9" i="2"/>
  <c r="D5" i="2"/>
  <c r="K8" i="14"/>
  <c r="K9" i="14"/>
  <c r="K10" i="14"/>
  <c r="K11" i="14"/>
  <c r="K13" i="14"/>
  <c r="K14" i="14"/>
  <c r="K15" i="14"/>
  <c r="B12" i="2"/>
  <c r="C4" i="14"/>
  <c r="K12" i="14"/>
  <c r="O12" i="14" s="1"/>
  <c r="B37" i="14"/>
  <c r="K39" i="14" s="1"/>
  <c r="B35" i="14"/>
  <c r="K29" i="14" s="1"/>
  <c r="D30" i="14"/>
  <c r="D29" i="14"/>
  <c r="K1" i="14"/>
  <c r="B10" i="2"/>
  <c r="B11" i="2" s="1"/>
  <c r="F12" i="9"/>
  <c r="F10" i="9"/>
  <c r="F11" i="9"/>
  <c r="F9" i="9"/>
  <c r="F28" i="9"/>
  <c r="D10" i="9"/>
  <c r="D11" i="9"/>
  <c r="D9" i="9"/>
  <c r="K36" i="2"/>
  <c r="K40" i="2"/>
  <c r="K42" i="2"/>
  <c r="K21" i="2"/>
  <c r="K27" i="2"/>
  <c r="B18" i="2"/>
  <c r="P42" i="2" s="1"/>
  <c r="K10" i="2"/>
  <c r="K14" i="2"/>
  <c r="K5" i="2"/>
  <c r="B32" i="2"/>
  <c r="K37" i="2" s="1"/>
  <c r="B31" i="2"/>
  <c r="K11" i="2" s="1"/>
  <c r="B30" i="2"/>
  <c r="K28" i="2" s="1"/>
  <c r="D26" i="2"/>
  <c r="D25" i="2"/>
  <c r="E9" i="13"/>
  <c r="E8" i="13"/>
  <c r="E7" i="13"/>
  <c r="E6" i="13"/>
  <c r="E5" i="13"/>
  <c r="E4" i="13"/>
  <c r="E3" i="13"/>
  <c r="E2" i="13"/>
  <c r="O1" i="2"/>
  <c r="K38" i="14" l="1"/>
  <c r="K42" i="14"/>
  <c r="K23" i="14"/>
  <c r="K22" i="14"/>
  <c r="K37" i="14"/>
  <c r="K28" i="14"/>
  <c r="L28" i="14" s="1"/>
  <c r="K21" i="14"/>
  <c r="K36" i="14"/>
  <c r="K41" i="14"/>
  <c r="K20" i="14"/>
  <c r="K35" i="14"/>
  <c r="K25" i="14"/>
  <c r="O25" i="14" s="1"/>
  <c r="K24" i="14"/>
  <c r="K34" i="14"/>
  <c r="K40" i="14"/>
  <c r="K19" i="14"/>
  <c r="O19" i="14" s="1"/>
  <c r="K33" i="14"/>
  <c r="K27" i="14"/>
  <c r="O27" i="14" s="1"/>
  <c r="K26" i="14"/>
  <c r="O15" i="14"/>
  <c r="O14" i="14"/>
  <c r="O13" i="14"/>
  <c r="O11" i="14"/>
  <c r="O10" i="14"/>
  <c r="O9" i="14"/>
  <c r="O26" i="14"/>
  <c r="B22" i="14"/>
  <c r="O8" i="14"/>
  <c r="O29" i="14"/>
  <c r="O28" i="14"/>
  <c r="O24" i="14"/>
  <c r="O23" i="14"/>
  <c r="O22" i="14"/>
  <c r="O21" i="14"/>
  <c r="O20" i="14"/>
  <c r="K7" i="14"/>
  <c r="B7" i="14"/>
  <c r="K6" i="14"/>
  <c r="C7" i="14"/>
  <c r="C8" i="14" s="1"/>
  <c r="C12" i="14" s="1"/>
  <c r="L22" i="14" s="1"/>
  <c r="K5" i="14"/>
  <c r="C13" i="14"/>
  <c r="P5" i="2"/>
  <c r="L27" i="2"/>
  <c r="L10" i="2"/>
  <c r="M10" i="2" s="1"/>
  <c r="L28" i="2"/>
  <c r="L11" i="2"/>
  <c r="L5" i="2"/>
  <c r="L14" i="2"/>
  <c r="L40" i="2"/>
  <c r="L21" i="2"/>
  <c r="L39" i="2"/>
  <c r="L22" i="2"/>
  <c r="L9" i="2"/>
  <c r="L25" i="2"/>
  <c r="P11" i="2"/>
  <c r="P36" i="2"/>
  <c r="K9" i="2"/>
  <c r="K26" i="2"/>
  <c r="P26" i="2" s="1"/>
  <c r="P21" i="2"/>
  <c r="K35" i="2"/>
  <c r="L35" i="2" s="1"/>
  <c r="K8" i="2"/>
  <c r="K25" i="2"/>
  <c r="P25" i="2" s="1"/>
  <c r="K34" i="2"/>
  <c r="L34" i="2" s="1"/>
  <c r="K7" i="2"/>
  <c r="P14" i="2"/>
  <c r="P38" i="2"/>
  <c r="K24" i="2"/>
  <c r="L24" i="2" s="1"/>
  <c r="M24" i="2" s="1"/>
  <c r="K6" i="2"/>
  <c r="L6" i="2" s="1"/>
  <c r="M6" i="2" s="1"/>
  <c r="K23" i="2"/>
  <c r="K33" i="2"/>
  <c r="K22" i="2"/>
  <c r="P22" i="2" s="1"/>
  <c r="K43" i="2"/>
  <c r="P28" i="2"/>
  <c r="K15" i="2"/>
  <c r="P10" i="2"/>
  <c r="K20" i="2"/>
  <c r="L20" i="2" s="1"/>
  <c r="P27" i="2"/>
  <c r="K41" i="2"/>
  <c r="K13" i="2"/>
  <c r="K19" i="2"/>
  <c r="K39" i="2"/>
  <c r="P39" i="2" s="1"/>
  <c r="K29" i="2"/>
  <c r="P29" i="2" s="1"/>
  <c r="K38" i="2"/>
  <c r="L38" i="2" s="1"/>
  <c r="M38" i="2" s="1"/>
  <c r="K12" i="2"/>
  <c r="P37" i="2"/>
  <c r="L43" i="2"/>
  <c r="P33" i="2"/>
  <c r="L42" i="2"/>
  <c r="L37" i="2"/>
  <c r="P40" i="2"/>
  <c r="L36" i="2"/>
  <c r="E15" i="11"/>
  <c r="E14" i="11"/>
  <c r="E13" i="11"/>
  <c r="E12" i="11"/>
  <c r="G5" i="11"/>
  <c r="L20" i="14" l="1"/>
  <c r="L25" i="14"/>
  <c r="O5" i="14"/>
  <c r="L26" i="14"/>
  <c r="O6" i="14"/>
  <c r="L29" i="14"/>
  <c r="C14" i="14"/>
  <c r="C15" i="14" s="1"/>
  <c r="L19" i="14"/>
  <c r="L21" i="14"/>
  <c r="L24" i="14"/>
  <c r="M24" i="14" s="1"/>
  <c r="L23" i="14"/>
  <c r="B8" i="14"/>
  <c r="B12" i="14" s="1"/>
  <c r="L5" i="14" s="1"/>
  <c r="O7" i="14"/>
  <c r="L27" i="14"/>
  <c r="M9" i="2"/>
  <c r="Q38" i="2"/>
  <c r="Q10" i="2"/>
  <c r="M35" i="2"/>
  <c r="Q35" i="2" s="1"/>
  <c r="M27" i="2"/>
  <c r="Q27" i="2" s="1"/>
  <c r="M39" i="2"/>
  <c r="Q39" i="2" s="1"/>
  <c r="M40" i="2"/>
  <c r="Q40" i="2" s="1"/>
  <c r="M43" i="2"/>
  <c r="M21" i="2"/>
  <c r="Q21" i="2" s="1"/>
  <c r="L7" i="2"/>
  <c r="M7" i="2" s="1"/>
  <c r="M14" i="2"/>
  <c r="Q14" i="2" s="1"/>
  <c r="M36" i="2"/>
  <c r="Q36" i="2" s="1"/>
  <c r="M34" i="2"/>
  <c r="Q34" i="2" s="1"/>
  <c r="P6" i="2"/>
  <c r="Q6" i="2" s="1"/>
  <c r="P12" i="2"/>
  <c r="P9" i="2"/>
  <c r="Q9" i="2" s="1"/>
  <c r="L15" i="2"/>
  <c r="M15" i="2" s="1"/>
  <c r="Q15" i="2" s="1"/>
  <c r="P34" i="2"/>
  <c r="L12" i="2"/>
  <c r="M12" i="2" s="1"/>
  <c r="M22" i="2"/>
  <c r="Q22" i="2" s="1"/>
  <c r="L19" i="2"/>
  <c r="M19" i="2" s="1"/>
  <c r="P19" i="2"/>
  <c r="P43" i="2"/>
  <c r="L26" i="2"/>
  <c r="M26" i="2" s="1"/>
  <c r="Q26" i="2" s="1"/>
  <c r="P41" i="2"/>
  <c r="L23" i="2"/>
  <c r="M23" i="2" s="1"/>
  <c r="L29" i="2"/>
  <c r="M29" i="2" s="1"/>
  <c r="Q29" i="2" s="1"/>
  <c r="L8" i="2"/>
  <c r="M8" i="2" s="1"/>
  <c r="P35" i="2"/>
  <c r="M37" i="2"/>
  <c r="Q37" i="2" s="1"/>
  <c r="M42" i="2"/>
  <c r="Q42" i="2" s="1"/>
  <c r="P24" i="2"/>
  <c r="Q24" i="2" s="1"/>
  <c r="P20" i="2"/>
  <c r="P7" i="2"/>
  <c r="L41" i="2"/>
  <c r="M41" i="2" s="1"/>
  <c r="M11" i="2"/>
  <c r="Q11" i="2" s="1"/>
  <c r="P23" i="2"/>
  <c r="M25" i="2"/>
  <c r="Q25" i="2" s="1"/>
  <c r="P8" i="2"/>
  <c r="M20" i="2"/>
  <c r="M5" i="2"/>
  <c r="Q5" i="2" s="1"/>
  <c r="P13" i="2"/>
  <c r="P15" i="2"/>
  <c r="L13" i="2"/>
  <c r="M13" i="2" s="1"/>
  <c r="Q13" i="2" s="1"/>
  <c r="L33" i="2"/>
  <c r="M33" i="2" s="1"/>
  <c r="Q33" i="2" s="1"/>
  <c r="M28" i="2"/>
  <c r="Q28" i="2" s="1"/>
  <c r="D15" i="1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3" i="14"/>
  <c r="N43" i="14" s="1"/>
  <c r="L42" i="14"/>
  <c r="N42" i="14" s="1"/>
  <c r="L41" i="14"/>
  <c r="N41" i="14" s="1"/>
  <c r="L12" i="14"/>
  <c r="L13" i="14"/>
  <c r="B14" i="14"/>
  <c r="B15" i="14" s="1"/>
  <c r="L35" i="14"/>
  <c r="N35" i="14" s="1"/>
  <c r="L11" i="14"/>
  <c r="L10" i="14"/>
  <c r="M10" i="14" s="1"/>
  <c r="L34" i="14"/>
  <c r="N34" i="14" s="1"/>
  <c r="L39" i="14"/>
  <c r="N39" i="14" s="1"/>
  <c r="L9" i="14"/>
  <c r="M9" i="14" s="1"/>
  <c r="L40" i="14"/>
  <c r="N40" i="14" s="1"/>
  <c r="L15" i="14"/>
  <c r="L38" i="14"/>
  <c r="N38" i="14" s="1"/>
  <c r="L37" i="14"/>
  <c r="N37" i="14" s="1"/>
  <c r="L36" i="14"/>
  <c r="N36" i="14" s="1"/>
  <c r="L8" i="14"/>
  <c r="L14" i="14"/>
  <c r="L7" i="14"/>
  <c r="M7" i="14" s="1"/>
  <c r="M5" i="14"/>
  <c r="L6" i="14"/>
  <c r="M6" i="14" s="1"/>
  <c r="N20" i="14"/>
  <c r="N23" i="14"/>
  <c r="N24" i="14"/>
  <c r="M22" i="14"/>
  <c r="N22" i="14" s="1"/>
  <c r="Q41" i="2"/>
  <c r="Q43" i="2"/>
  <c r="Q23" i="2"/>
  <c r="Q8" i="2"/>
  <c r="Q20" i="2"/>
  <c r="Q12" i="2"/>
  <c r="Q7" i="2"/>
  <c r="Q19" i="2"/>
  <c r="F5" i="10"/>
  <c r="F4" i="10"/>
  <c r="C3" i="10"/>
  <c r="F2" i="10"/>
  <c r="I5" i="10"/>
  <c r="C5" i="10"/>
  <c r="C4" i="10"/>
  <c r="M11" i="14" l="1"/>
  <c r="N11" i="14" s="1"/>
  <c r="M8" i="14"/>
  <c r="N8" i="14" s="1"/>
  <c r="M12" i="14"/>
  <c r="N12" i="14" s="1"/>
  <c r="N10" i="14"/>
  <c r="N5" i="14"/>
  <c r="N9" i="14"/>
  <c r="N7" i="14"/>
  <c r="N6" i="14"/>
  <c r="M14" i="14"/>
  <c r="N14" i="14" s="1"/>
  <c r="M13" i="14"/>
  <c r="N13" i="14" s="1"/>
  <c r="M15" i="14"/>
  <c r="N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D16" i="8"/>
  <c r="F6" i="8"/>
  <c r="D6" i="8"/>
  <c r="L9" i="8"/>
  <c r="L10" i="8" s="1"/>
  <c r="B20" i="8"/>
  <c r="B19" i="8"/>
  <c r="B21" i="8" s="1"/>
  <c r="D23" i="5"/>
  <c r="B32" i="5" s="1"/>
  <c r="F10" i="8"/>
  <c r="F11" i="8"/>
  <c r="J14" i="8"/>
  <c r="D10" i="8"/>
  <c r="B10" i="8"/>
  <c r="B2" i="8"/>
  <c r="B26" i="5"/>
  <c r="B27" i="5" s="1"/>
  <c r="D27" i="5" s="1"/>
  <c r="F27" i="5" s="1"/>
  <c r="J9" i="8"/>
  <c r="B9" i="8"/>
  <c r="B20" i="5"/>
  <c r="F21" i="5"/>
  <c r="B11" i="5"/>
  <c r="E4" i="5"/>
  <c r="E3" i="5"/>
  <c r="G3" i="5" s="1"/>
  <c r="G1" i="5"/>
  <c r="D4" i="7"/>
  <c r="D18" i="7"/>
  <c r="H13" i="1"/>
  <c r="B36" i="5" l="1"/>
  <c r="B29" i="5"/>
  <c r="F31" i="9"/>
  <c r="D32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5" i="5" l="1"/>
  <c r="B37" i="5" s="1"/>
  <c r="D29" i="5"/>
  <c r="D11" i="5" l="1"/>
  <c r="F11" i="5"/>
  <c r="B13" i="5" s="1"/>
  <c r="B15" i="5" l="1"/>
  <c r="B14" i="5"/>
  <c r="D14" i="5" s="1"/>
  <c r="F3" i="4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22" i="2"/>
  <c r="K1" i="2"/>
  <c r="N5" i="2" l="1"/>
  <c r="G9" i="3"/>
  <c r="C5" i="3"/>
  <c r="N27" i="2" l="1"/>
  <c r="O27" i="2" s="1"/>
  <c r="N36" i="2"/>
  <c r="O36" i="2" s="1"/>
  <c r="N28" i="2"/>
  <c r="O28" i="2" s="1"/>
  <c r="O5" i="2"/>
  <c r="N11" i="2"/>
  <c r="O11" i="2" s="1"/>
  <c r="N37" i="2"/>
  <c r="O37" i="2" s="1"/>
  <c r="N21" i="2"/>
  <c r="O21" i="2" s="1"/>
  <c r="N10" i="2"/>
  <c r="O10" i="2" s="1"/>
  <c r="N42" i="2"/>
  <c r="O42" i="2" s="1"/>
  <c r="N14" i="2"/>
  <c r="O14" i="2" s="1"/>
  <c r="N40" i="2"/>
  <c r="O40" i="2" s="1"/>
  <c r="N12" i="2"/>
  <c r="O12" i="2" s="1"/>
  <c r="N43" i="2"/>
  <c r="O43" i="2" s="1"/>
  <c r="N7" i="2"/>
  <c r="O7" i="2" s="1"/>
  <c r="N35" i="2"/>
  <c r="O35" i="2" s="1"/>
  <c r="N20" i="2"/>
  <c r="O20" i="2" s="1"/>
  <c r="N34" i="2"/>
  <c r="O34" i="2" s="1"/>
  <c r="N33" i="2"/>
  <c r="O33" i="2" s="1"/>
  <c r="N24" i="2"/>
  <c r="O24" i="2" s="1"/>
  <c r="N38" i="2"/>
  <c r="O38" i="2" s="1"/>
  <c r="N29" i="2"/>
  <c r="O29" i="2" s="1"/>
  <c r="N26" i="2"/>
  <c r="O26" i="2" s="1"/>
  <c r="N25" i="2"/>
  <c r="O25" i="2" s="1"/>
  <c r="N8" i="2"/>
  <c r="O8" i="2" s="1"/>
  <c r="N19" i="2"/>
  <c r="O19" i="2" s="1"/>
  <c r="N39" i="2"/>
  <c r="O39" i="2" s="1"/>
  <c r="N23" i="2"/>
  <c r="O23" i="2" s="1"/>
  <c r="N13" i="2"/>
  <c r="O13" i="2" s="1"/>
  <c r="N15" i="2"/>
  <c r="O15" i="2" s="1"/>
  <c r="N22" i="2"/>
  <c r="O22" i="2" s="1"/>
  <c r="N9" i="2"/>
  <c r="O9" i="2" s="1"/>
  <c r="N6" i="2"/>
  <c r="O6" i="2" s="1"/>
  <c r="N41" i="2"/>
  <c r="O41" i="2" s="1"/>
  <c r="D5" i="3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<sst xmlns="http://schemas.openxmlformats.org/spreadsheetml/2006/main" count="570" uniqueCount="266">
  <si>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</si>
  <si>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</si>
  <si>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</si>
  <si>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</si>
  <si>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</si>
  <si>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</si>
  <si>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</si>
  <si>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</si>
  <si>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</si>
  <si>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</si>
  <si>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</si>
  <si>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</si>
  <si>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</si>
  <si>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</si>
  <si>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</si>
  <si>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</si>
  <si>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</si>
  <si>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Geo Injection</t>
  </si>
  <si>
    <t>MJ/t</t>
  </si>
  <si>
    <t>Total</t>
  </si>
  <si>
    <t>GWh/Mt</t>
  </si>
  <si>
    <t>Injection</t>
  </si>
  <si>
    <t>JPY/USD</t>
  </si>
  <si>
    <t>m3</t>
  </si>
  <si>
    <t>GWh</t>
  </si>
  <si>
    <t>Transportation (pipeline)</t>
  </si>
  <si>
    <t>Mt</t>
  </si>
  <si>
    <t>Transport</t>
  </si>
  <si>
    <t>kJ/t</t>
  </si>
  <si>
    <t>1 MJ</t>
  </si>
  <si>
    <t>Capture Cost</t>
  </si>
  <si>
    <t>Capture Cost Targets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</si>
  <si>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</si>
  <si>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</si>
  <si>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</si>
  <si>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</si>
  <si>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</si>
  <si>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</si>
  <si>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</si>
  <si>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</si>
  <si>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</si>
  <si>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</si>
  <si>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</si>
  <si>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</si>
  <si>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</si>
  <si>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</si>
  <si>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</si>
  <si>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</si>
  <si>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</si>
  <si>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</si>
  <si>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</si>
  <si>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</si>
  <si>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</si>
  <si>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</si>
  <si>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</si>
  <si>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</si>
  <si>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</si>
  <si>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</si>
  <si>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</si>
  <si>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</si>
  <si>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</si>
  <si>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</si>
  <si>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</si>
  <si>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</si>
  <si>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</si>
  <si>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</si>
  <si>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</si>
  <si>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</si>
  <si>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</si>
  <si>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</si>
  <si>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</si>
  <si>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</si>
  <si>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</si>
  <si>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</si>
  <si>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</si>
  <si>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</si>
  <si>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</si>
  <si>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</si>
  <si>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</si>
  <si>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</si>
  <si>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</si>
  <si>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</si>
  <si>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</si>
  <si>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</si>
  <si>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</si>
  <si>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</si>
  <si>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</si>
  <si>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</si>
  <si>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</si>
  <si>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</si>
  <si>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</si>
  <si>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</si>
  <si>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</si>
  <si>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</si>
  <si>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</si>
  <si>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</si>
  <si>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</si>
  <si>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</si>
  <si>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</si>
  <si>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</si>
  <si>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</si>
  <si>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</si>
  <si>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</si>
  <si>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</si>
  <si>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</si>
  <si>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</si>
  <si>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</si>
  <si>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</si>
  <si>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</si>
  <si>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</si>
  <si>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</si>
  <si>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</si>
  <si>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</si>
  <si>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</si>
  <si>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</si>
  <si>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</si>
  <si>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</si>
  <si>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</si>
  <si>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</si>
  <si>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</si>
  <si>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</si>
  <si>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</si>
  <si>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</si>
  <si>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</si>
  <si>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</si>
  <si>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</si>
  <si>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</si>
  <si>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</si>
  <si>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</si>
  <si>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</si>
  <si>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</si>
  <si>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</si>
  <si>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</si>
  <si>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</si>
  <si>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</si>
  <si>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</si>
  <si>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</si>
  <si>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</si>
  <si>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</si>
  <si>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</si>
  <si>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</si>
  <si>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</si>
  <si>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</si>
  <si>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</si>
  <si>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</si>
  <si>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</si>
  <si>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</si>
  <si>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</si>
  <si>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</si>
  <si>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</si>
  <si>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</si>
  <si>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</si>
  <si>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</si>
  <si>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</si>
  <si>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</si>
  <si>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</si>
  <si>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</si>
  <si>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</si>
  <si>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</si>
  <si>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</si>
  <si>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</si>
  <si>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</si>
  <si>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</si>
  <si>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</si>
  <si>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</si>
  <si>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</si>
  <si>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</si>
  <si>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</si>
  <si>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</si>
  <si>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</si>
  <si>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</si>
  <si>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</si>
  <si>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</si>
  <si>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</si>
  <si>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</si>
  <si>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</si>
  <si>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</si>
  <si>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</si>
  <si>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</si>
  <si>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</si>
  <si>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</si>
  <si>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</si>
  <si>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</si>
  <si>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</si>
  <si>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</si>
  <si>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</si>
  <si>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</si>
  <si>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</si>
  <si>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</si>
  <si>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</si>
  <si>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</si>
  <si>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</si>
  <si>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</si>
  <si>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</si>
  <si>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</si>
  <si>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</si>
  <si>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</si>
  <si>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</si>
  <si>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</si>
  <si>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</si>
  <si>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</si>
  <si>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</si>
  <si>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</si>
  <si>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</si>
  <si>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</si>
  <si>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</si>
  <si>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</si>
  <si>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</si>
  <si>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</si>
  <si>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</si>
  <si>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</si>
  <si>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</si>
  <si>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</si>
  <si>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</si>
  <si>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</si>
  <si>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</si>
  <si>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JPY/tCO2</t>
  </si>
  <si>
    <t xml:space="preserve"> JPY/t</t>
  </si>
  <si>
    <t>Assumption = Capture/liquefaction plant is atmost 1km away</t>
  </si>
  <si>
    <t>Costs</t>
  </si>
  <si>
    <t>Energy Penalty</t>
  </si>
  <si>
    <t>Assuming EIA excludes pipeline cost</t>
  </si>
  <si>
    <t>(affects CF)</t>
  </si>
  <si>
    <t>EIA Numbers(90% CCS)</t>
  </si>
  <si>
    <t>USC</t>
  </si>
  <si>
    <t>VOM</t>
  </si>
  <si>
    <t>Base emission Coeff</t>
  </si>
  <si>
    <t>LNG Surcharges</t>
  </si>
  <si>
    <t>Ratio to 90%</t>
  </si>
  <si>
    <t>Capture</t>
  </si>
  <si>
    <t>CO2 Captured(Mt/GWh)</t>
  </si>
  <si>
    <t>Capture Cost(MUSD/GWh)</t>
  </si>
  <si>
    <t>New CF</t>
  </si>
  <si>
    <t>(100km)</t>
  </si>
  <si>
    <t>1km pipe</t>
  </si>
  <si>
    <t>Inject+transport Costs</t>
  </si>
  <si>
    <t>Total (excluding capture)</t>
  </si>
  <si>
    <t>New VOM</t>
  </si>
  <si>
    <t>USC Surcharges</t>
  </si>
  <si>
    <t>SREF Surcharges</t>
  </si>
  <si>
    <t>CO2 output</t>
  </si>
  <si>
    <t>CO2 Captured</t>
  </si>
  <si>
    <t>kg(lifetime)</t>
  </si>
  <si>
    <t>Capture @ 90%</t>
  </si>
  <si>
    <t>Transport to Capture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</si>
  <si>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</si>
  <si>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</si>
  <si>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</si>
  <si>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</si>
  <si>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</si>
  <si>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</si>
  <si>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</si>
  <si>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% (excluding cap/cap)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</si>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</sst>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1" fillId="0" borderId="0" xfId="2"/>
    <xf numFmtId="0" fontId="11" fillId="0" borderId="0" xfId="2" applyFill="1"/>
    <xf numFmtId="0" fontId="0" fillId="4" borderId="0" xfId="0" applyFill="1"/>
    <xf numFmtId="0" fontId="9" fillId="4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Q43"/>
  <sheetViews>
    <sheetView workbookViewId="0">
      <selection activeCell="B40" sqref="B40"/>
    </sheetView>
  </sheetViews>
  <sheetFormatPr defaultRowHeight="14.4" x14ac:dyDescent="0.3"/>
  <cols>
    <col min="1" max="1" width="22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12.33203125" customWidth="1"/>
    <col min="11" max="11" width="21.33203125" customWidth="1"/>
    <col min="12" max="12" width="16" customWidth="1"/>
    <col min="13" max="13" width="14.6640625" customWidth="1"/>
    <col min="14" max="14" width="14.109375" customWidth="1"/>
    <col min="15" max="15" width="16.44140625" customWidth="1"/>
    <col min="16" max="16" width="14.5546875" customWidth="1"/>
    <col min="17" max="17" width="9.88671875" customWidth="1"/>
    <col min="19" max="19" width="18.6640625" customWidth="1"/>
    <col min="20" max="20" width="5.77734375" customWidth="1"/>
  </cols>
  <sheetData>
    <row r="1" spans="1:17" x14ac:dyDescent="0.3">
      <c r="A1" s="2" t="s">
        <v>14</v>
      </c>
      <c r="B1" t="s">
        <v>218</v>
      </c>
      <c r="C1" s="9"/>
      <c r="D1" s="9"/>
      <c r="E1" s="9"/>
      <c r="J1" t="s">
        <v>29</v>
      </c>
      <c r="K1">
        <f>0.277778/1000000</f>
        <v>2.7777800000000004E-7</v>
      </c>
      <c r="L1" t="s">
        <v>24</v>
      </c>
      <c r="N1" t="s">
        <v>22</v>
      </c>
      <c r="O1">
        <f>1/110</f>
        <v>9.0909090909090905E-3</v>
      </c>
    </row>
    <row r="2" spans="1:17" x14ac:dyDescent="0.3">
      <c r="B2" s="9" t="s">
        <v>221</v>
      </c>
      <c r="D2" s="9"/>
      <c r="E2" s="9"/>
    </row>
    <row r="3" spans="1:17" x14ac:dyDescent="0.3">
      <c r="A3" s="2"/>
      <c r="J3" s="26" t="s">
        <v>227</v>
      </c>
      <c r="K3" s="26"/>
      <c r="L3" s="26"/>
      <c r="M3" s="26"/>
      <c r="N3" s="26"/>
      <c r="O3" s="26"/>
      <c r="P3" s="26"/>
      <c r="Q3" s="26"/>
    </row>
    <row r="4" spans="1:17" x14ac:dyDescent="0.3">
      <c r="J4" s="2" t="s">
        <v>4</v>
      </c>
      <c r="K4" s="2" t="s">
        <v>230</v>
      </c>
      <c r="L4" s="2" t="s">
        <v>231</v>
      </c>
      <c r="M4" s="2" t="s">
        <v>228</v>
      </c>
      <c r="N4" s="2" t="s">
        <v>220</v>
      </c>
      <c r="O4" s="2" t="s">
        <v>232</v>
      </c>
      <c r="P4" s="2" t="s">
        <v>235</v>
      </c>
      <c r="Q4" s="2" t="s">
        <v>237</v>
      </c>
    </row>
    <row r="5" spans="1:17" x14ac:dyDescent="0.3">
      <c r="A5" s="2" t="s">
        <v>220</v>
      </c>
      <c r="B5">
        <v>4000</v>
      </c>
      <c r="C5" t="s">
        <v>32</v>
      </c>
      <c r="D5">
        <f>B5*$K$1/(0.000001)</f>
        <v>1111.1120000000003</v>
      </c>
      <c r="E5" t="s">
        <v>20</v>
      </c>
      <c r="F5" t="s">
        <v>243</v>
      </c>
      <c r="G5" s="3"/>
      <c r="J5">
        <v>0.85</v>
      </c>
      <c r="K5">
        <f t="shared" ref="K5:K15" si="0">$B$31*J5</f>
        <v>5.0914999999999999E-4</v>
      </c>
      <c r="L5">
        <f t="shared" ref="L5:L15" si="1">$D$15*K5</f>
        <v>1.9440272727272726E-2</v>
      </c>
      <c r="M5">
        <f>L5/$L$10</f>
        <v>0.94444444444444442</v>
      </c>
      <c r="N5">
        <f>K5*$B$11</f>
        <v>0.57515610040229004</v>
      </c>
      <c r="O5">
        <f>(1-N5)*0.55</f>
        <v>0.23366414477874051</v>
      </c>
      <c r="P5">
        <f t="shared" ref="P5:P15" si="2">$B$18*K5</f>
        <v>1.6663090909090909E-2</v>
      </c>
      <c r="Q5">
        <f t="shared" ref="Q5:Q15" si="3">($D$26*M5)+P5</f>
        <v>2.2159757575757576E-2</v>
      </c>
    </row>
    <row r="6" spans="1:17" x14ac:dyDescent="0.3">
      <c r="A6" s="2" t="s">
        <v>222</v>
      </c>
      <c r="B6">
        <v>14.7</v>
      </c>
      <c r="C6" t="s">
        <v>18</v>
      </c>
      <c r="D6">
        <f t="shared" ref="D6:D9" si="4">B6*$K$1/(0.000001)</f>
        <v>4.0833366</v>
      </c>
      <c r="E6" t="s">
        <v>20</v>
      </c>
      <c r="F6" t="s">
        <v>27</v>
      </c>
      <c r="G6" t="s">
        <v>233</v>
      </c>
      <c r="J6">
        <v>0.86</v>
      </c>
      <c r="K6">
        <f t="shared" si="0"/>
        <v>5.1513999999999998E-4</v>
      </c>
      <c r="L6">
        <f t="shared" si="1"/>
        <v>1.9668981818181816E-2</v>
      </c>
      <c r="M6">
        <f t="shared" ref="M6:M15" si="5">L6/$L$10</f>
        <v>0.95555555555555538</v>
      </c>
      <c r="N6">
        <f t="shared" ref="N6:N15" si="6">K6*$B$11</f>
        <v>0.58192264275996408</v>
      </c>
      <c r="O6">
        <f t="shared" ref="O6:O15" si="7">(1-N6)*0.55</f>
        <v>0.22994254648201978</v>
      </c>
      <c r="P6">
        <f t="shared" si="2"/>
        <v>1.6859127272727273E-2</v>
      </c>
      <c r="Q6">
        <f t="shared" si="3"/>
        <v>2.2420460606060604E-2</v>
      </c>
    </row>
    <row r="7" spans="1:17" x14ac:dyDescent="0.3">
      <c r="B7">
        <v>14.7</v>
      </c>
      <c r="C7" t="s">
        <v>28</v>
      </c>
      <c r="D7">
        <f t="shared" si="4"/>
        <v>4.0833366</v>
      </c>
      <c r="E7" t="s">
        <v>20</v>
      </c>
      <c r="G7" t="s">
        <v>234</v>
      </c>
      <c r="J7">
        <v>0.87</v>
      </c>
      <c r="K7">
        <f t="shared" si="0"/>
        <v>5.2113000000000007E-4</v>
      </c>
      <c r="L7">
        <f t="shared" si="1"/>
        <v>1.9897690909090909E-2</v>
      </c>
      <c r="M7">
        <f t="shared" si="5"/>
        <v>0.96666666666666667</v>
      </c>
      <c r="N7">
        <f t="shared" si="6"/>
        <v>0.58868918511763824</v>
      </c>
      <c r="O7">
        <f t="shared" si="7"/>
        <v>0.22622094818529898</v>
      </c>
      <c r="P7">
        <f t="shared" si="2"/>
        <v>1.7055163636363637E-2</v>
      </c>
      <c r="Q7">
        <f t="shared" si="3"/>
        <v>2.2681163636363636E-2</v>
      </c>
    </row>
    <row r="8" spans="1:17" x14ac:dyDescent="0.3">
      <c r="B8">
        <v>52</v>
      </c>
      <c r="C8" t="s">
        <v>18</v>
      </c>
      <c r="D8">
        <f t="shared" si="4"/>
        <v>14.444456000000002</v>
      </c>
      <c r="E8" t="s">
        <v>20</v>
      </c>
      <c r="F8" t="s">
        <v>16</v>
      </c>
      <c r="J8">
        <v>0.88</v>
      </c>
      <c r="K8">
        <f t="shared" si="0"/>
        <v>5.2712000000000006E-4</v>
      </c>
      <c r="L8">
        <f t="shared" si="1"/>
        <v>2.0126400000000003E-2</v>
      </c>
      <c r="M8">
        <f t="shared" si="5"/>
        <v>0.97777777777777786</v>
      </c>
      <c r="N8">
        <f t="shared" si="6"/>
        <v>0.59545572747531217</v>
      </c>
      <c r="O8">
        <f t="shared" si="7"/>
        <v>0.22249934988857833</v>
      </c>
      <c r="P8">
        <f t="shared" si="2"/>
        <v>1.7251200000000001E-2</v>
      </c>
      <c r="Q8">
        <f t="shared" si="3"/>
        <v>2.2941866666666668E-2</v>
      </c>
    </row>
    <row r="9" spans="1:17" x14ac:dyDescent="0.3">
      <c r="B9">
        <v>3.2</v>
      </c>
      <c r="C9" t="s">
        <v>18</v>
      </c>
      <c r="D9">
        <f t="shared" si="4"/>
        <v>0.88888960000000017</v>
      </c>
      <c r="E9" t="s">
        <v>20</v>
      </c>
      <c r="F9" t="s">
        <v>17</v>
      </c>
      <c r="J9">
        <v>0.89</v>
      </c>
      <c r="K9">
        <f t="shared" si="0"/>
        <v>5.3311000000000005E-4</v>
      </c>
      <c r="L9">
        <f t="shared" si="1"/>
        <v>2.0355109090909092E-2</v>
      </c>
      <c r="M9">
        <f t="shared" si="5"/>
        <v>0.98888888888888893</v>
      </c>
      <c r="N9">
        <f t="shared" si="6"/>
        <v>0.60222226983298621</v>
      </c>
      <c r="O9">
        <f t="shared" si="7"/>
        <v>0.21877775159185761</v>
      </c>
      <c r="P9">
        <f t="shared" si="2"/>
        <v>1.7447236363636365E-2</v>
      </c>
      <c r="Q9">
        <f t="shared" si="3"/>
        <v>2.3202569696969697E-2</v>
      </c>
    </row>
    <row r="10" spans="1:17" x14ac:dyDescent="0.3">
      <c r="A10" t="s">
        <v>19</v>
      </c>
      <c r="B10" s="2">
        <f>B5+B6+B8</f>
        <v>4066.7</v>
      </c>
      <c r="C10" t="s">
        <v>18</v>
      </c>
      <c r="J10">
        <v>0.9</v>
      </c>
      <c r="K10">
        <f t="shared" si="0"/>
        <v>5.3910000000000004E-4</v>
      </c>
      <c r="L10">
        <f t="shared" si="1"/>
        <v>2.0583818181818182E-2</v>
      </c>
      <c r="M10">
        <f t="shared" si="5"/>
        <v>1</v>
      </c>
      <c r="N10">
        <f t="shared" si="6"/>
        <v>0.60898881219066014</v>
      </c>
      <c r="O10">
        <f t="shared" si="7"/>
        <v>0.21505615329513694</v>
      </c>
      <c r="P10">
        <f t="shared" si="2"/>
        <v>1.764327272727273E-2</v>
      </c>
      <c r="Q10">
        <f t="shared" si="3"/>
        <v>2.3463272727272728E-2</v>
      </c>
    </row>
    <row r="11" spans="1:17" x14ac:dyDescent="0.3">
      <c r="B11" s="2">
        <f>B10*K1/(0.000001)</f>
        <v>1129.6397926000002</v>
      </c>
      <c r="C11" t="s">
        <v>20</v>
      </c>
      <c r="D11" s="7"/>
      <c r="J11">
        <v>0.91</v>
      </c>
      <c r="K11">
        <f t="shared" si="0"/>
        <v>5.4509000000000003E-4</v>
      </c>
      <c r="L11">
        <f t="shared" si="1"/>
        <v>2.0812527272727272E-2</v>
      </c>
      <c r="M11">
        <f t="shared" si="5"/>
        <v>1.0111111111111111</v>
      </c>
      <c r="N11">
        <f t="shared" si="6"/>
        <v>0.61575535454833419</v>
      </c>
      <c r="O11">
        <f t="shared" si="7"/>
        <v>0.21133455499841622</v>
      </c>
      <c r="P11">
        <f t="shared" si="2"/>
        <v>1.783930909090909E-2</v>
      </c>
      <c r="Q11">
        <f t="shared" si="3"/>
        <v>2.3723975757575757E-2</v>
      </c>
    </row>
    <row r="12" spans="1:17" x14ac:dyDescent="0.3">
      <c r="A12" t="s">
        <v>244</v>
      </c>
      <c r="B12">
        <f>(B9+B8+B6)/B5</f>
        <v>1.7475000000000001E-2</v>
      </c>
      <c r="J12">
        <v>0.92</v>
      </c>
      <c r="K12">
        <f t="shared" si="0"/>
        <v>5.5108000000000002E-4</v>
      </c>
      <c r="L12">
        <f t="shared" si="1"/>
        <v>2.1041236363636362E-2</v>
      </c>
      <c r="M12">
        <f t="shared" si="5"/>
        <v>1.0222222222222221</v>
      </c>
      <c r="N12">
        <f t="shared" si="6"/>
        <v>0.62252189690600812</v>
      </c>
      <c r="O12">
        <f t="shared" si="7"/>
        <v>0.20761295670169555</v>
      </c>
      <c r="P12">
        <f t="shared" si="2"/>
        <v>1.8035345454545455E-2</v>
      </c>
      <c r="Q12">
        <f t="shared" si="3"/>
        <v>2.3984678787878785E-2</v>
      </c>
    </row>
    <row r="13" spans="1:17" x14ac:dyDescent="0.3">
      <c r="J13">
        <v>0.93</v>
      </c>
      <c r="K13">
        <f t="shared" si="0"/>
        <v>5.5707E-4</v>
      </c>
      <c r="L13">
        <f t="shared" si="1"/>
        <v>2.1269945454545455E-2</v>
      </c>
      <c r="M13">
        <f t="shared" si="5"/>
        <v>1.0333333333333334</v>
      </c>
      <c r="N13">
        <f t="shared" si="6"/>
        <v>0.62928843926368216</v>
      </c>
      <c r="O13">
        <f t="shared" si="7"/>
        <v>0.20389135840497483</v>
      </c>
      <c r="P13">
        <f t="shared" si="2"/>
        <v>1.8231381818181819E-2</v>
      </c>
      <c r="Q13">
        <f t="shared" si="3"/>
        <v>2.4245381818181817E-2</v>
      </c>
    </row>
    <row r="14" spans="1:17" x14ac:dyDescent="0.3">
      <c r="J14">
        <v>0.94</v>
      </c>
      <c r="K14">
        <f t="shared" si="0"/>
        <v>5.6305999999999999E-4</v>
      </c>
      <c r="L14">
        <f t="shared" si="1"/>
        <v>2.1498654545454545E-2</v>
      </c>
      <c r="M14">
        <f t="shared" si="5"/>
        <v>1.0444444444444445</v>
      </c>
      <c r="N14">
        <f t="shared" si="6"/>
        <v>0.6360549816213561</v>
      </c>
      <c r="O14">
        <f t="shared" si="7"/>
        <v>0.20016976010825416</v>
      </c>
      <c r="P14">
        <f t="shared" si="2"/>
        <v>1.842741818181818E-2</v>
      </c>
      <c r="Q14">
        <f t="shared" si="3"/>
        <v>2.4506084848484846E-2</v>
      </c>
    </row>
    <row r="15" spans="1:17" x14ac:dyDescent="0.3">
      <c r="A15" s="2" t="s">
        <v>219</v>
      </c>
      <c r="B15">
        <v>4200</v>
      </c>
      <c r="C15" t="s">
        <v>217</v>
      </c>
      <c r="D15">
        <f>B15*$O$1</f>
        <v>38.18181818181818</v>
      </c>
      <c r="E15" t="s">
        <v>15</v>
      </c>
      <c r="F15" t="s">
        <v>30</v>
      </c>
      <c r="J15">
        <v>0.95</v>
      </c>
      <c r="K15">
        <f t="shared" si="0"/>
        <v>5.6904999999999998E-4</v>
      </c>
      <c r="L15">
        <f t="shared" si="1"/>
        <v>2.1727363636363635E-2</v>
      </c>
      <c r="M15">
        <f t="shared" si="5"/>
        <v>1.0555555555555554</v>
      </c>
      <c r="N15">
        <f t="shared" si="6"/>
        <v>0.64282152397903014</v>
      </c>
      <c r="O15">
        <f t="shared" si="7"/>
        <v>0.19644816181153343</v>
      </c>
      <c r="P15">
        <f t="shared" si="2"/>
        <v>1.8623454545454544E-2</v>
      </c>
      <c r="Q15">
        <f t="shared" si="3"/>
        <v>2.4766787878787874E-2</v>
      </c>
    </row>
    <row r="16" spans="1:17" x14ac:dyDescent="0.3">
      <c r="B16">
        <v>2800</v>
      </c>
      <c r="C16" t="s">
        <v>217</v>
      </c>
      <c r="D16">
        <f t="shared" ref="D16:D17" si="8">B16*$O$1</f>
        <v>25.454545454545453</v>
      </c>
      <c r="E16" t="s">
        <v>15</v>
      </c>
      <c r="F16" t="s">
        <v>21</v>
      </c>
    </row>
    <row r="17" spans="1:17" x14ac:dyDescent="0.3">
      <c r="B17">
        <v>800</v>
      </c>
      <c r="D17">
        <f t="shared" si="8"/>
        <v>7.2727272727272725</v>
      </c>
      <c r="E17" t="s">
        <v>15</v>
      </c>
      <c r="F17" t="s">
        <v>25</v>
      </c>
      <c r="J17" s="26" t="s">
        <v>238</v>
      </c>
      <c r="K17" s="26"/>
      <c r="L17" s="26"/>
      <c r="M17" s="26"/>
      <c r="N17" s="26"/>
      <c r="O17" s="26"/>
      <c r="P17" s="26"/>
      <c r="Q17" s="26"/>
    </row>
    <row r="18" spans="1:17" x14ac:dyDescent="0.3">
      <c r="A18" s="2" t="s">
        <v>236</v>
      </c>
      <c r="B18" s="2">
        <f>(B16+B17)*O1</f>
        <v>32.727272727272727</v>
      </c>
      <c r="C18" s="2" t="s">
        <v>15</v>
      </c>
      <c r="J18" s="2" t="s">
        <v>4</v>
      </c>
      <c r="K18" s="2" t="s">
        <v>230</v>
      </c>
      <c r="L18" s="2" t="s">
        <v>231</v>
      </c>
      <c r="M18" s="2" t="s">
        <v>228</v>
      </c>
      <c r="N18" s="2" t="s">
        <v>220</v>
      </c>
      <c r="O18" s="2" t="s">
        <v>232</v>
      </c>
      <c r="P18" s="2" t="s">
        <v>235</v>
      </c>
      <c r="Q18" s="2" t="s">
        <v>237</v>
      </c>
    </row>
    <row r="19" spans="1:17" x14ac:dyDescent="0.3">
      <c r="J19">
        <v>0.85</v>
      </c>
      <c r="K19">
        <f t="shared" ref="K19:K29" si="9">$B$30*J19</f>
        <v>8.007E-4</v>
      </c>
      <c r="L19">
        <f t="shared" ref="L19:L29" si="10">$D$15*K19</f>
        <v>3.0572181818181818E-2</v>
      </c>
      <c r="M19">
        <f>L19/$L$24</f>
        <v>0.94444444444444453</v>
      </c>
      <c r="N19">
        <f>K19*$B$11</f>
        <v>0.90450258193482014</v>
      </c>
      <c r="O19">
        <f>(1-N19)*0.55</f>
        <v>5.2523579935848927E-2</v>
      </c>
      <c r="P19">
        <f t="shared" ref="P19:P29" si="11">$B$18*K19</f>
        <v>2.6204727272727272E-2</v>
      </c>
      <c r="Q19">
        <f t="shared" ref="Q19:Q29" si="12">($D$26*M19)+P19</f>
        <v>3.1701393939393939E-2</v>
      </c>
    </row>
    <row r="20" spans="1:17" x14ac:dyDescent="0.3">
      <c r="A20" s="2" t="s">
        <v>31</v>
      </c>
      <c r="B20">
        <v>2020</v>
      </c>
      <c r="C20">
        <v>2000</v>
      </c>
      <c r="D20" t="s">
        <v>216</v>
      </c>
      <c r="E20">
        <v>17.600000000000001</v>
      </c>
      <c r="F20" t="s">
        <v>15</v>
      </c>
      <c r="J20">
        <v>0.86</v>
      </c>
      <c r="K20">
        <f t="shared" si="9"/>
        <v>8.1012E-4</v>
      </c>
      <c r="L20">
        <f t="shared" si="10"/>
        <v>3.0931854545454544E-2</v>
      </c>
      <c r="M20">
        <f t="shared" ref="M20:M29" si="13">L20/$L$24</f>
        <v>0.9555555555555556</v>
      </c>
      <c r="N20">
        <f t="shared" ref="N20:N29" si="14">K20*$B$11</f>
        <v>0.91514378878111213</v>
      </c>
      <c r="O20">
        <f t="shared" ref="O20:O29" si="15">(1-N20)*0.55</f>
        <v>4.6670916170388328E-2</v>
      </c>
      <c r="P20">
        <f t="shared" si="11"/>
        <v>2.6513018181818181E-2</v>
      </c>
      <c r="Q20">
        <f t="shared" si="12"/>
        <v>3.2074351515151513E-2</v>
      </c>
    </row>
    <row r="21" spans="1:17" x14ac:dyDescent="0.3">
      <c r="B21">
        <v>2030</v>
      </c>
      <c r="C21">
        <v>1000</v>
      </c>
      <c r="E21">
        <v>8.8000000000000007</v>
      </c>
      <c r="F21" t="s">
        <v>15</v>
      </c>
      <c r="J21">
        <v>0.87</v>
      </c>
      <c r="K21">
        <f t="shared" si="9"/>
        <v>8.1954E-4</v>
      </c>
      <c r="L21">
        <f t="shared" si="10"/>
        <v>3.1291527272727271E-2</v>
      </c>
      <c r="M21">
        <f t="shared" si="13"/>
        <v>0.96666666666666679</v>
      </c>
      <c r="N21">
        <f t="shared" si="14"/>
        <v>0.92578499562740413</v>
      </c>
      <c r="O21">
        <f t="shared" si="15"/>
        <v>4.081825240492773E-2</v>
      </c>
      <c r="P21">
        <f t="shared" si="11"/>
        <v>2.6821309090909091E-2</v>
      </c>
      <c r="Q21">
        <f t="shared" si="12"/>
        <v>3.2447309090909093E-2</v>
      </c>
    </row>
    <row r="22" spans="1:17" x14ac:dyDescent="0.3">
      <c r="B22">
        <v>2050</v>
      </c>
      <c r="C22">
        <v>500</v>
      </c>
      <c r="E22">
        <f>500*O1</f>
        <v>4.545454545454545</v>
      </c>
      <c r="F22" t="s">
        <v>15</v>
      </c>
      <c r="J22">
        <v>0.88</v>
      </c>
      <c r="K22">
        <f t="shared" si="9"/>
        <v>8.2896000000000001E-4</v>
      </c>
      <c r="L22">
        <f t="shared" si="10"/>
        <v>3.1651199999999997E-2</v>
      </c>
      <c r="M22">
        <f t="shared" si="13"/>
        <v>0.97777777777777786</v>
      </c>
      <c r="N22">
        <f t="shared" si="14"/>
        <v>0.93642620247369612</v>
      </c>
      <c r="O22">
        <f t="shared" si="15"/>
        <v>3.4965588639467138E-2</v>
      </c>
      <c r="P22">
        <f t="shared" si="11"/>
        <v>2.71296E-2</v>
      </c>
      <c r="Q22">
        <f t="shared" si="12"/>
        <v>3.2820266666666667E-2</v>
      </c>
    </row>
    <row r="23" spans="1:17" x14ac:dyDescent="0.3">
      <c r="A23" s="2"/>
      <c r="J23">
        <v>0.89</v>
      </c>
      <c r="K23">
        <f t="shared" si="9"/>
        <v>8.3838000000000001E-4</v>
      </c>
      <c r="L23">
        <f t="shared" si="10"/>
        <v>3.2010872727272724E-2</v>
      </c>
      <c r="M23">
        <f t="shared" si="13"/>
        <v>0.98888888888888893</v>
      </c>
      <c r="N23">
        <f t="shared" si="14"/>
        <v>0.94706740931998812</v>
      </c>
      <c r="O23">
        <f t="shared" si="15"/>
        <v>2.9112924874006536E-2</v>
      </c>
      <c r="P23">
        <f t="shared" si="11"/>
        <v>2.743789090909091E-2</v>
      </c>
      <c r="Q23">
        <f t="shared" si="12"/>
        <v>3.3193224242424241E-2</v>
      </c>
    </row>
    <row r="24" spans="1:17" x14ac:dyDescent="0.3">
      <c r="A24" t="s">
        <v>223</v>
      </c>
      <c r="B24" s="2" t="s">
        <v>140</v>
      </c>
      <c r="C24" s="2" t="s">
        <v>172</v>
      </c>
      <c r="D24" s="2" t="s">
        <v>225</v>
      </c>
      <c r="J24">
        <v>0.9</v>
      </c>
      <c r="K24">
        <f t="shared" si="9"/>
        <v>8.4780000000000001E-4</v>
      </c>
      <c r="L24">
        <f t="shared" si="10"/>
        <v>3.237054545454545E-2</v>
      </c>
      <c r="M24">
        <f t="shared" si="13"/>
        <v>1</v>
      </c>
      <c r="N24">
        <f t="shared" si="14"/>
        <v>0.95770861616628022</v>
      </c>
      <c r="O24">
        <f t="shared" si="15"/>
        <v>2.3260261108545878E-2</v>
      </c>
      <c r="P24">
        <f t="shared" si="11"/>
        <v>2.7746181818181819E-2</v>
      </c>
      <c r="Q24">
        <f t="shared" si="12"/>
        <v>3.3566181818181821E-2</v>
      </c>
    </row>
    <row r="25" spans="1:17" x14ac:dyDescent="0.3">
      <c r="A25" s="2" t="s">
        <v>224</v>
      </c>
      <c r="B25" s="21">
        <v>5997</v>
      </c>
      <c r="C25" s="21">
        <v>59.29</v>
      </c>
      <c r="D25" s="21">
        <f>10.93*1000/1000000</f>
        <v>1.093E-2</v>
      </c>
      <c r="J25">
        <v>0.91</v>
      </c>
      <c r="K25">
        <f t="shared" si="9"/>
        <v>8.5722000000000001E-4</v>
      </c>
      <c r="L25">
        <f t="shared" si="10"/>
        <v>3.2730218181818184E-2</v>
      </c>
      <c r="M25">
        <f t="shared" si="13"/>
        <v>1.0111111111111113</v>
      </c>
      <c r="N25">
        <f t="shared" si="14"/>
        <v>0.96834982301257222</v>
      </c>
      <c r="O25">
        <f t="shared" si="15"/>
        <v>1.7407597343085279E-2</v>
      </c>
      <c r="P25">
        <f t="shared" si="11"/>
        <v>2.8054472727272729E-2</v>
      </c>
      <c r="Q25">
        <f t="shared" si="12"/>
        <v>3.3939139393939395E-2</v>
      </c>
    </row>
    <row r="26" spans="1:17" x14ac:dyDescent="0.3">
      <c r="A26" s="2" t="s">
        <v>75</v>
      </c>
      <c r="B26" s="21">
        <v>2569</v>
      </c>
      <c r="C26" s="21">
        <v>27.48</v>
      </c>
      <c r="D26" s="21">
        <f>5.82*1000/1000000</f>
        <v>5.8199999999999997E-3</v>
      </c>
      <c r="J26">
        <v>0.92</v>
      </c>
      <c r="K26">
        <f t="shared" si="9"/>
        <v>8.6664000000000001E-4</v>
      </c>
      <c r="L26">
        <f t="shared" si="10"/>
        <v>3.308989090909091E-2</v>
      </c>
      <c r="M26">
        <f t="shared" si="13"/>
        <v>1.0222222222222224</v>
      </c>
      <c r="N26">
        <f t="shared" si="14"/>
        <v>0.97899102985886421</v>
      </c>
      <c r="O26">
        <f t="shared" si="15"/>
        <v>1.1554933577624682E-2</v>
      </c>
      <c r="P26">
        <f t="shared" si="11"/>
        <v>2.8362763636363635E-2</v>
      </c>
      <c r="Q26">
        <f t="shared" si="12"/>
        <v>3.4312096969696969E-2</v>
      </c>
    </row>
    <row r="27" spans="1:17" x14ac:dyDescent="0.3">
      <c r="A27" s="2" t="s">
        <v>131</v>
      </c>
      <c r="B27" s="21">
        <v>848.5</v>
      </c>
      <c r="C27" s="21">
        <v>5.7039999999999997</v>
      </c>
      <c r="D27" s="21">
        <v>5.57E-2</v>
      </c>
      <c r="J27">
        <v>0.93</v>
      </c>
      <c r="K27">
        <f t="shared" si="9"/>
        <v>8.7606000000000001E-4</v>
      </c>
      <c r="L27">
        <f t="shared" si="10"/>
        <v>3.3449563636363637E-2</v>
      </c>
      <c r="M27">
        <f t="shared" si="13"/>
        <v>1.0333333333333334</v>
      </c>
      <c r="N27">
        <f t="shared" si="14"/>
        <v>0.98963223670515621</v>
      </c>
      <c r="O27">
        <f t="shared" si="15"/>
        <v>5.7022698121640854E-3</v>
      </c>
      <c r="P27">
        <f t="shared" si="11"/>
        <v>2.8671054545454544E-2</v>
      </c>
      <c r="Q27">
        <f t="shared" si="12"/>
        <v>3.4685054545454543E-2</v>
      </c>
    </row>
    <row r="28" spans="1:17" x14ac:dyDescent="0.3">
      <c r="B28" s="2"/>
      <c r="J28">
        <v>0.94</v>
      </c>
      <c r="K28">
        <f t="shared" si="9"/>
        <v>8.8548000000000001E-4</v>
      </c>
      <c r="L28">
        <f t="shared" si="10"/>
        <v>3.3809236363636364E-2</v>
      </c>
      <c r="M28">
        <f t="shared" si="13"/>
        <v>1.0444444444444445</v>
      </c>
      <c r="N28">
        <f t="shared" si="14"/>
        <v>1.0002734435514482</v>
      </c>
      <c r="O28">
        <f t="shared" si="15"/>
        <v>-1.5039395329651263E-4</v>
      </c>
      <c r="P28">
        <f t="shared" si="11"/>
        <v>2.8979345454545453E-2</v>
      </c>
      <c r="Q28">
        <f t="shared" si="12"/>
        <v>3.5058012121212123E-2</v>
      </c>
    </row>
    <row r="29" spans="1:17" x14ac:dyDescent="0.3">
      <c r="A29" s="2" t="s">
        <v>226</v>
      </c>
      <c r="J29">
        <v>0.95</v>
      </c>
      <c r="K29">
        <f t="shared" si="9"/>
        <v>8.9490000000000001E-4</v>
      </c>
      <c r="L29">
        <f t="shared" si="10"/>
        <v>3.416890909090909E-2</v>
      </c>
      <c r="M29">
        <f t="shared" si="13"/>
        <v>1.0555555555555556</v>
      </c>
      <c r="N29">
        <f t="shared" si="14"/>
        <v>1.0109146503977402</v>
      </c>
      <c r="O29">
        <f t="shared" si="15"/>
        <v>-6.0030577187571103E-3</v>
      </c>
      <c r="P29">
        <f t="shared" si="11"/>
        <v>2.9287636363636363E-2</v>
      </c>
      <c r="Q29">
        <f t="shared" si="12"/>
        <v>3.5430969696969697E-2</v>
      </c>
    </row>
    <row r="30" spans="1:17" x14ac:dyDescent="0.3">
      <c r="A30" s="15" t="s">
        <v>224</v>
      </c>
      <c r="B30" s="22">
        <f>942/1000000</f>
        <v>9.4200000000000002E-4</v>
      </c>
      <c r="C30" t="s">
        <v>76</v>
      </c>
    </row>
    <row r="31" spans="1:17" x14ac:dyDescent="0.3">
      <c r="A31" s="15" t="s">
        <v>75</v>
      </c>
      <c r="B31" s="22">
        <f>599/1000000</f>
        <v>5.9900000000000003E-4</v>
      </c>
      <c r="C31" t="s">
        <v>76</v>
      </c>
      <c r="J31" s="26" t="s">
        <v>239</v>
      </c>
      <c r="K31" s="26"/>
      <c r="L31" s="26"/>
      <c r="M31" s="26"/>
      <c r="N31" s="26"/>
      <c r="O31" s="26"/>
      <c r="P31" s="26"/>
      <c r="Q31" s="26"/>
    </row>
    <row r="32" spans="1:17" x14ac:dyDescent="0.3">
      <c r="A32" s="15" t="s">
        <v>131</v>
      </c>
      <c r="B32" s="22">
        <f>313/1000000</f>
        <v>3.1300000000000002E-4</v>
      </c>
      <c r="C32" t="s">
        <v>76</v>
      </c>
      <c r="J32" s="2" t="s">
        <v>4</v>
      </c>
      <c r="K32" s="2" t="s">
        <v>230</v>
      </c>
      <c r="L32" s="2" t="s">
        <v>231</v>
      </c>
      <c r="M32" s="2" t="s">
        <v>228</v>
      </c>
      <c r="N32" s="2" t="s">
        <v>220</v>
      </c>
      <c r="O32" s="2" t="s">
        <v>232</v>
      </c>
      <c r="P32" s="2" t="s">
        <v>235</v>
      </c>
      <c r="Q32" s="2" t="s">
        <v>237</v>
      </c>
    </row>
    <row r="33" spans="10:17" x14ac:dyDescent="0.3">
      <c r="J33">
        <v>0.85</v>
      </c>
      <c r="K33">
        <f t="shared" ref="K33:K43" si="16">$B$32*J33</f>
        <v>2.6604999999999999E-4</v>
      </c>
      <c r="L33">
        <f t="shared" ref="L33:L43" si="17">$D$15*K33</f>
        <v>1.0158272727272726E-2</v>
      </c>
      <c r="M33">
        <f>L33/$L$38</f>
        <v>0.94444444444444431</v>
      </c>
      <c r="N33">
        <f>K33*$B$11</f>
        <v>0.30054066682123004</v>
      </c>
      <c r="O33">
        <f>(1-N33)*0.547</f>
        <v>0.38260425524878722</v>
      </c>
      <c r="P33">
        <f t="shared" ref="P33:P43" si="18">$B$18*K33</f>
        <v>8.7070909090909091E-3</v>
      </c>
      <c r="Q33">
        <f t="shared" ref="Q33:Q43" si="19">($D$27*M33)+P33</f>
        <v>6.1312646464646452E-2</v>
      </c>
    </row>
    <row r="34" spans="10:17" x14ac:dyDescent="0.3">
      <c r="J34">
        <v>0.86</v>
      </c>
      <c r="K34">
        <f t="shared" si="16"/>
        <v>2.6917999999999999E-4</v>
      </c>
      <c r="L34">
        <f t="shared" si="17"/>
        <v>1.0277781818181817E-2</v>
      </c>
      <c r="M34">
        <f t="shared" ref="M34:M43" si="20">L34/$L$38</f>
        <v>0.95555555555555538</v>
      </c>
      <c r="N34">
        <f t="shared" ref="N34:N43" si="21">K34*$B$11</f>
        <v>0.30407643937206802</v>
      </c>
      <c r="O34">
        <f t="shared" ref="O34:O43" si="22">(1-N34)*0.547</f>
        <v>0.38067018766347877</v>
      </c>
      <c r="P34">
        <f t="shared" si="18"/>
        <v>8.8095272727272723E-3</v>
      </c>
      <c r="Q34">
        <f t="shared" si="19"/>
        <v>6.2033971717171704E-2</v>
      </c>
    </row>
    <row r="35" spans="10:17" x14ac:dyDescent="0.3">
      <c r="J35">
        <v>0.87</v>
      </c>
      <c r="K35">
        <f t="shared" si="16"/>
        <v>2.7231E-4</v>
      </c>
      <c r="L35">
        <f t="shared" si="17"/>
        <v>1.0397290909090908E-2</v>
      </c>
      <c r="M35">
        <f t="shared" si="20"/>
        <v>0.96666666666666656</v>
      </c>
      <c r="N35">
        <f t="shared" si="21"/>
        <v>0.30761221192290605</v>
      </c>
      <c r="O35">
        <f t="shared" si="22"/>
        <v>0.37873612007817037</v>
      </c>
      <c r="P35">
        <f t="shared" si="18"/>
        <v>8.9119636363636356E-3</v>
      </c>
      <c r="Q35">
        <f t="shared" si="19"/>
        <v>6.2755296969696964E-2</v>
      </c>
    </row>
    <row r="36" spans="10:17" x14ac:dyDescent="0.3">
      <c r="J36">
        <v>0.88</v>
      </c>
      <c r="K36">
        <f t="shared" si="16"/>
        <v>2.7544000000000001E-4</v>
      </c>
      <c r="L36">
        <f t="shared" si="17"/>
        <v>1.05168E-2</v>
      </c>
      <c r="M36">
        <f t="shared" si="20"/>
        <v>0.97777777777777775</v>
      </c>
      <c r="N36">
        <f t="shared" si="21"/>
        <v>0.31114798447374403</v>
      </c>
      <c r="O36">
        <f t="shared" si="22"/>
        <v>0.37680205249286203</v>
      </c>
      <c r="P36">
        <f t="shared" si="18"/>
        <v>9.0144000000000005E-3</v>
      </c>
      <c r="Q36">
        <f t="shared" si="19"/>
        <v>6.3476622222222223E-2</v>
      </c>
    </row>
    <row r="37" spans="10:17" x14ac:dyDescent="0.3">
      <c r="J37">
        <v>0.89</v>
      </c>
      <c r="K37">
        <f t="shared" si="16"/>
        <v>2.7857000000000001E-4</v>
      </c>
      <c r="L37">
        <f t="shared" si="17"/>
        <v>1.0636309090909091E-2</v>
      </c>
      <c r="M37">
        <f t="shared" si="20"/>
        <v>0.98888888888888882</v>
      </c>
      <c r="N37">
        <f t="shared" si="21"/>
        <v>0.31468375702458207</v>
      </c>
      <c r="O37">
        <f t="shared" si="22"/>
        <v>0.37486798490755363</v>
      </c>
      <c r="P37">
        <f t="shared" si="18"/>
        <v>9.1168363636363638E-3</v>
      </c>
      <c r="Q37">
        <f t="shared" si="19"/>
        <v>6.4197947474747469E-2</v>
      </c>
    </row>
    <row r="38" spans="10:17" x14ac:dyDescent="0.3">
      <c r="J38">
        <v>0.9</v>
      </c>
      <c r="K38">
        <f t="shared" si="16"/>
        <v>2.8170000000000002E-4</v>
      </c>
      <c r="L38">
        <f t="shared" si="17"/>
        <v>1.0755818181818182E-2</v>
      </c>
      <c r="M38">
        <f t="shared" si="20"/>
        <v>1</v>
      </c>
      <c r="N38">
        <f t="shared" si="21"/>
        <v>0.31821952957542005</v>
      </c>
      <c r="O38">
        <f t="shared" si="22"/>
        <v>0.37293391732224529</v>
      </c>
      <c r="P38">
        <f t="shared" si="18"/>
        <v>9.219272727272727E-3</v>
      </c>
      <c r="Q38">
        <f t="shared" si="19"/>
        <v>6.4919272727272728E-2</v>
      </c>
    </row>
    <row r="39" spans="10:17" x14ac:dyDescent="0.3">
      <c r="J39">
        <v>0.91</v>
      </c>
      <c r="K39">
        <f t="shared" si="16"/>
        <v>2.8483000000000002E-4</v>
      </c>
      <c r="L39">
        <f t="shared" si="17"/>
        <v>1.0875327272727274E-2</v>
      </c>
      <c r="M39">
        <f t="shared" si="20"/>
        <v>1.0111111111111111</v>
      </c>
      <c r="N39">
        <f t="shared" si="21"/>
        <v>0.32175530212625808</v>
      </c>
      <c r="O39">
        <f t="shared" si="22"/>
        <v>0.37099984973693689</v>
      </c>
      <c r="P39">
        <f t="shared" si="18"/>
        <v>9.321709090909092E-3</v>
      </c>
      <c r="Q39">
        <f t="shared" si="19"/>
        <v>6.5640597979797974E-2</v>
      </c>
    </row>
    <row r="40" spans="10:17" x14ac:dyDescent="0.3">
      <c r="J40">
        <v>0.92</v>
      </c>
      <c r="K40">
        <f t="shared" si="16"/>
        <v>2.8796000000000003E-4</v>
      </c>
      <c r="L40">
        <f t="shared" si="17"/>
        <v>1.0994836363636365E-2</v>
      </c>
      <c r="M40">
        <f t="shared" si="20"/>
        <v>1.0222222222222224</v>
      </c>
      <c r="N40">
        <f t="shared" si="21"/>
        <v>0.32529107467709606</v>
      </c>
      <c r="O40">
        <f t="shared" si="22"/>
        <v>0.3690657821516285</v>
      </c>
      <c r="P40">
        <f t="shared" si="18"/>
        <v>9.4241454545454552E-3</v>
      </c>
      <c r="Q40">
        <f t="shared" si="19"/>
        <v>6.6361923232323247E-2</v>
      </c>
    </row>
    <row r="41" spans="10:17" x14ac:dyDescent="0.3">
      <c r="J41">
        <v>0.93</v>
      </c>
      <c r="K41">
        <f t="shared" si="16"/>
        <v>2.9109000000000003E-4</v>
      </c>
      <c r="L41">
        <f t="shared" si="17"/>
        <v>1.1114345454545455E-2</v>
      </c>
      <c r="M41">
        <f t="shared" si="20"/>
        <v>1.0333333333333332</v>
      </c>
      <c r="N41">
        <f t="shared" si="21"/>
        <v>0.32882684722793409</v>
      </c>
      <c r="O41">
        <f t="shared" si="22"/>
        <v>0.3671317145663201</v>
      </c>
      <c r="P41">
        <f t="shared" si="18"/>
        <v>9.5265818181818184E-3</v>
      </c>
      <c r="Q41">
        <f t="shared" si="19"/>
        <v>6.7083248484848479E-2</v>
      </c>
    </row>
    <row r="42" spans="10:17" x14ac:dyDescent="0.3">
      <c r="J42">
        <v>0.94</v>
      </c>
      <c r="K42">
        <f t="shared" si="16"/>
        <v>2.9421999999999999E-4</v>
      </c>
      <c r="L42">
        <f t="shared" si="17"/>
        <v>1.1233854545454544E-2</v>
      </c>
      <c r="M42">
        <f t="shared" si="20"/>
        <v>1.0444444444444443</v>
      </c>
      <c r="N42">
        <f t="shared" si="21"/>
        <v>0.33236261977877202</v>
      </c>
      <c r="O42">
        <f t="shared" si="22"/>
        <v>0.36519764698101176</v>
      </c>
      <c r="P42">
        <f t="shared" si="18"/>
        <v>9.6290181818181816E-3</v>
      </c>
      <c r="Q42">
        <f t="shared" si="19"/>
        <v>6.7804573737373725E-2</v>
      </c>
    </row>
    <row r="43" spans="10:17" x14ac:dyDescent="0.3">
      <c r="J43">
        <v>0.95</v>
      </c>
      <c r="K43">
        <f t="shared" si="16"/>
        <v>2.9734999999999999E-4</v>
      </c>
      <c r="L43">
        <f t="shared" si="17"/>
        <v>1.1353363636363635E-2</v>
      </c>
      <c r="M43">
        <f t="shared" si="20"/>
        <v>1.0555555555555554</v>
      </c>
      <c r="N43">
        <f t="shared" si="21"/>
        <v>0.33589839232961005</v>
      </c>
      <c r="O43">
        <f t="shared" si="22"/>
        <v>0.36326357939570331</v>
      </c>
      <c r="P43">
        <f t="shared" si="18"/>
        <v>9.7314545454545449E-3</v>
      </c>
      <c r="Q43">
        <f t="shared" si="19"/>
        <v>6.8525898989898984E-2</v>
      </c>
    </row>
  </sheetData>
  <mergeCells count="3">
    <mergeCell ref="J3:Q3"/>
    <mergeCell ref="J17:Q17"/>
    <mergeCell ref="J31:Q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80</v>
      </c>
      <c r="E1" t="s">
        <v>35</v>
      </c>
      <c r="G1">
        <f>1/110</f>
        <v>9.0909090909090905E-3</v>
      </c>
      <c r="H1" t="s">
        <v>100</v>
      </c>
      <c r="I1">
        <v>1.1000000000000001</v>
      </c>
      <c r="J1" t="s">
        <v>152</v>
      </c>
    </row>
    <row r="2" spans="1:10" x14ac:dyDescent="0.3">
      <c r="A2" s="2"/>
      <c r="B2" s="2"/>
      <c r="C2" s="10">
        <v>0.27779999999999999</v>
      </c>
      <c r="D2" s="2" t="s">
        <v>82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81</v>
      </c>
      <c r="G3">
        <f>C2*E3</f>
        <v>1395.7449839999999</v>
      </c>
      <c r="H3" t="s">
        <v>83</v>
      </c>
      <c r="I3">
        <f>C3*C2</f>
        <v>33.335999999999999</v>
      </c>
      <c r="J3" t="s">
        <v>3</v>
      </c>
    </row>
    <row r="4" spans="1:10" x14ac:dyDescent="0.3">
      <c r="A4" t="s">
        <v>92</v>
      </c>
      <c r="C4">
        <v>9.31</v>
      </c>
      <c r="D4" t="s">
        <v>93</v>
      </c>
      <c r="E4">
        <f>C4/I3</f>
        <v>0.27927765778737701</v>
      </c>
      <c r="F4" t="s">
        <v>94</v>
      </c>
    </row>
    <row r="5" spans="1:10" x14ac:dyDescent="0.3">
      <c r="A5" t="s">
        <v>182</v>
      </c>
      <c r="B5">
        <v>0.9</v>
      </c>
    </row>
    <row r="7" spans="1:10" x14ac:dyDescent="0.3">
      <c r="A7" t="s">
        <v>175</v>
      </c>
      <c r="C7">
        <v>0.65</v>
      </c>
      <c r="E7" s="14" t="s">
        <v>176</v>
      </c>
    </row>
    <row r="9" spans="1:10" x14ac:dyDescent="0.3">
      <c r="A9" t="s">
        <v>137</v>
      </c>
      <c r="B9">
        <v>2.5</v>
      </c>
      <c r="C9" t="s">
        <v>138</v>
      </c>
      <c r="D9">
        <f>B9*(365*24*60*60)</f>
        <v>78840000</v>
      </c>
      <c r="E9" t="s">
        <v>85</v>
      </c>
      <c r="F9">
        <f>($D$9*I3*C7/(1000000))</f>
        <v>1708.3366559999999</v>
      </c>
      <c r="G9" t="s">
        <v>139</v>
      </c>
      <c r="I9">
        <f>F9/8760</f>
        <v>0.19501559999999998</v>
      </c>
      <c r="J9" t="s">
        <v>155</v>
      </c>
    </row>
    <row r="10" spans="1:10" x14ac:dyDescent="0.3">
      <c r="A10" t="s">
        <v>240</v>
      </c>
      <c r="B10">
        <v>11</v>
      </c>
      <c r="C10" t="s">
        <v>138</v>
      </c>
      <c r="D10">
        <f t="shared" ref="D10:D11" si="0">B10*(365*24*60*60)</f>
        <v>346896000</v>
      </c>
      <c r="E10" t="s">
        <v>85</v>
      </c>
      <c r="F10">
        <f>D10*20</f>
        <v>6937920000</v>
      </c>
      <c r="G10" t="s">
        <v>242</v>
      </c>
    </row>
    <row r="11" spans="1:10" x14ac:dyDescent="0.3">
      <c r="A11" t="s">
        <v>241</v>
      </c>
      <c r="B11">
        <v>14</v>
      </c>
      <c r="C11" t="s">
        <v>138</v>
      </c>
      <c r="D11">
        <f t="shared" si="0"/>
        <v>441504000</v>
      </c>
      <c r="E11" t="s">
        <v>85</v>
      </c>
      <c r="F11">
        <f>D11*B15</f>
        <v>8830080000</v>
      </c>
      <c r="G11" t="s">
        <v>242</v>
      </c>
    </row>
    <row r="12" spans="1:10" x14ac:dyDescent="0.3">
      <c r="A12" t="s">
        <v>182</v>
      </c>
      <c r="F12">
        <f>F11/(F11+F10)</f>
        <v>0.56000000000000005</v>
      </c>
    </row>
    <row r="14" spans="1:10" x14ac:dyDescent="0.3">
      <c r="A14" s="2" t="s">
        <v>140</v>
      </c>
      <c r="B14">
        <v>162</v>
      </c>
      <c r="C14" t="s">
        <v>141</v>
      </c>
      <c r="D14">
        <f>B14/I9</f>
        <v>830.70277454726704</v>
      </c>
      <c r="E14" t="s">
        <v>142</v>
      </c>
      <c r="F14" s="16">
        <f>D14*I1</f>
        <v>913.77305200199385</v>
      </c>
      <c r="G14" t="s">
        <v>156</v>
      </c>
    </row>
    <row r="15" spans="1:10" x14ac:dyDescent="0.3">
      <c r="A15" s="2" t="s">
        <v>42</v>
      </c>
      <c r="B15">
        <v>20</v>
      </c>
      <c r="C15" t="s">
        <v>161</v>
      </c>
    </row>
    <row r="17" spans="1:11" x14ac:dyDescent="0.3">
      <c r="A17" s="2" t="s">
        <v>143</v>
      </c>
      <c r="D17" s="2" t="s">
        <v>148</v>
      </c>
      <c r="H17" s="2" t="s">
        <v>157</v>
      </c>
      <c r="J17" s="2" t="s">
        <v>181</v>
      </c>
    </row>
    <row r="18" spans="1:11" x14ac:dyDescent="0.3">
      <c r="A18" t="s">
        <v>144</v>
      </c>
      <c r="B18">
        <f>64546*1000</f>
        <v>64546000</v>
      </c>
      <c r="C18" t="s">
        <v>147</v>
      </c>
      <c r="D18">
        <v>20</v>
      </c>
      <c r="E18" t="s">
        <v>149</v>
      </c>
      <c r="H18">
        <f>B18/(D18*1000)</f>
        <v>3227.3</v>
      </c>
      <c r="I18" t="s">
        <v>24</v>
      </c>
      <c r="J18">
        <f>B18/(D18*1000)</f>
        <v>3227.3</v>
      </c>
      <c r="K18" t="s">
        <v>24</v>
      </c>
    </row>
    <row r="19" spans="1:11" x14ac:dyDescent="0.3">
      <c r="A19" t="s">
        <v>145</v>
      </c>
      <c r="B19">
        <v>1064000</v>
      </c>
      <c r="C19" t="s">
        <v>147</v>
      </c>
      <c r="D19">
        <v>30</v>
      </c>
      <c r="E19" t="s">
        <v>149</v>
      </c>
      <c r="H19" s="2">
        <f>B19/(D19*1000)</f>
        <v>35.466666666666669</v>
      </c>
      <c r="I19" t="s">
        <v>24</v>
      </c>
      <c r="J19" s="2">
        <f>H19+F20</f>
        <v>429.84637734909302</v>
      </c>
      <c r="K19" t="s">
        <v>24</v>
      </c>
    </row>
    <row r="20" spans="1:11" x14ac:dyDescent="0.3">
      <c r="A20" t="s">
        <v>180</v>
      </c>
      <c r="F20">
        <f>B43</f>
        <v>394.37971068242638</v>
      </c>
      <c r="G20" t="s">
        <v>24</v>
      </c>
    </row>
    <row r="21" spans="1:11" x14ac:dyDescent="0.3">
      <c r="A21" t="s">
        <v>146</v>
      </c>
      <c r="B21">
        <v>1089000</v>
      </c>
      <c r="C21" t="s">
        <v>147</v>
      </c>
      <c r="D21">
        <f>B21/1000000</f>
        <v>1.089</v>
      </c>
      <c r="E21" t="s">
        <v>153</v>
      </c>
    </row>
    <row r="22" spans="1:11" x14ac:dyDescent="0.3">
      <c r="A22" t="s">
        <v>186</v>
      </c>
      <c r="B22">
        <f>(97662-64546-2778-1064-1089)*1000</f>
        <v>28185000</v>
      </c>
      <c r="C22" t="s">
        <v>147</v>
      </c>
      <c r="H22" t="s">
        <v>169</v>
      </c>
      <c r="I22" t="s">
        <v>159</v>
      </c>
      <c r="J22" t="s">
        <v>166</v>
      </c>
    </row>
    <row r="23" spans="1:11" x14ac:dyDescent="0.3">
      <c r="H23">
        <f>F9/J19</f>
        <v>3.9742958089713083</v>
      </c>
      <c r="I23">
        <f>F9/(J19+J18)</f>
        <v>0.46712285474290999</v>
      </c>
      <c r="J23" s="16">
        <f>J19/J18</f>
        <v>0.13319070967963714</v>
      </c>
    </row>
    <row r="24" spans="1:11" x14ac:dyDescent="0.3">
      <c r="A24" t="s">
        <v>150</v>
      </c>
      <c r="B24">
        <v>12</v>
      </c>
      <c r="C24" t="s">
        <v>138</v>
      </c>
    </row>
    <row r="25" spans="1:11" x14ac:dyDescent="0.3">
      <c r="B25">
        <f>B24*(365*24*60*60)</f>
        <v>378432000</v>
      </c>
      <c r="C25" t="s">
        <v>85</v>
      </c>
    </row>
    <row r="26" spans="1:11" x14ac:dyDescent="0.3">
      <c r="B26">
        <f>B25*0.3</f>
        <v>113529600</v>
      </c>
      <c r="C26" t="s">
        <v>116</v>
      </c>
      <c r="D26">
        <f>B26*G1/(1000000)</f>
        <v>1.0320872727272727</v>
      </c>
      <c r="E26" t="s">
        <v>151</v>
      </c>
      <c r="F26">
        <f>D26/I1</f>
        <v>0.93826115702479329</v>
      </c>
      <c r="G26" t="s">
        <v>153</v>
      </c>
    </row>
    <row r="28" spans="1:11" x14ac:dyDescent="0.3">
      <c r="A28" s="2" t="s">
        <v>184</v>
      </c>
      <c r="B28">
        <f>(B18/1000000)+F26</f>
        <v>65.484261157024804</v>
      </c>
      <c r="C28" t="s">
        <v>153</v>
      </c>
      <c r="D28">
        <f>B28*I1</f>
        <v>72.032687272727287</v>
      </c>
      <c r="E28" t="s">
        <v>151</v>
      </c>
      <c r="F28" s="16">
        <f>(D28/F9)+B41</f>
        <v>5.8665393466056544E-2</v>
      </c>
      <c r="G28" t="s">
        <v>41</v>
      </c>
    </row>
    <row r="29" spans="1:11" x14ac:dyDescent="0.3">
      <c r="A29" s="14" t="s">
        <v>187</v>
      </c>
    </row>
    <row r="31" spans="1:11" x14ac:dyDescent="0.3">
      <c r="A31" s="2" t="s">
        <v>154</v>
      </c>
      <c r="B31">
        <f>D21</f>
        <v>1.089</v>
      </c>
      <c r="C31" t="s">
        <v>153</v>
      </c>
      <c r="D31">
        <f>B31*I1</f>
        <v>1.1979</v>
      </c>
      <c r="E31" t="s">
        <v>151</v>
      </c>
      <c r="F31" s="16">
        <f>D31/I9</f>
        <v>6.1425855162356244</v>
      </c>
      <c r="G31" t="s">
        <v>156</v>
      </c>
    </row>
    <row r="32" spans="1:11" x14ac:dyDescent="0.3">
      <c r="A32" s="15"/>
    </row>
    <row r="34" spans="1:6" x14ac:dyDescent="0.3">
      <c r="A34" s="2" t="s">
        <v>160</v>
      </c>
      <c r="B34">
        <f>F9*B15*1000</f>
        <v>34166733.119999997</v>
      </c>
      <c r="C34" t="s">
        <v>162</v>
      </c>
    </row>
    <row r="35" spans="1:6" x14ac:dyDescent="0.3">
      <c r="A35" s="2" t="s">
        <v>163</v>
      </c>
      <c r="B35">
        <f>(B14*1000000)+(97662000*B15)</f>
        <v>2115240000</v>
      </c>
      <c r="C35" t="s">
        <v>164</v>
      </c>
    </row>
    <row r="36" spans="1:6" x14ac:dyDescent="0.3">
      <c r="A36" s="2" t="s">
        <v>165</v>
      </c>
      <c r="B36">
        <f>B35/B34</f>
        <v>61.909343002471992</v>
      </c>
      <c r="C36" t="s">
        <v>149</v>
      </c>
    </row>
    <row r="38" spans="1:6" x14ac:dyDescent="0.3">
      <c r="A38" s="2" t="s">
        <v>109</v>
      </c>
      <c r="B38">
        <v>3.1300000000000002E-4</v>
      </c>
      <c r="C38" t="s">
        <v>76</v>
      </c>
    </row>
    <row r="39" spans="1:6" x14ac:dyDescent="0.3">
      <c r="A39" s="2" t="s">
        <v>183</v>
      </c>
      <c r="B39">
        <f>B38*F9*B5</f>
        <v>0.48123843599520005</v>
      </c>
      <c r="C39" t="s">
        <v>26</v>
      </c>
    </row>
    <row r="40" spans="1:6" x14ac:dyDescent="0.3">
      <c r="A40" s="15" t="s">
        <v>177</v>
      </c>
      <c r="B40">
        <v>15</v>
      </c>
      <c r="C40" t="s">
        <v>178</v>
      </c>
    </row>
    <row r="41" spans="1:6" x14ac:dyDescent="0.3">
      <c r="B41" s="16">
        <f>B40*I1/1000</f>
        <v>1.6500000000000001E-2</v>
      </c>
      <c r="C41" t="s">
        <v>41</v>
      </c>
      <c r="E41">
        <f>B41*F9*1000000/I1</f>
        <v>25625049.84</v>
      </c>
      <c r="F41" t="s">
        <v>141</v>
      </c>
    </row>
    <row r="42" spans="1:6" x14ac:dyDescent="0.3">
      <c r="A42" t="s">
        <v>179</v>
      </c>
      <c r="B42">
        <v>2950</v>
      </c>
      <c r="C42" t="s">
        <v>32</v>
      </c>
      <c r="D42">
        <f>B42*C2</f>
        <v>819.51</v>
      </c>
      <c r="E42" t="s">
        <v>20</v>
      </c>
    </row>
    <row r="43" spans="1:6" x14ac:dyDescent="0.3">
      <c r="B43" s="3">
        <f>D42*B39</f>
        <v>394.37971068242638</v>
      </c>
      <c r="C43" s="3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J20" sqref="J2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81</v>
      </c>
      <c r="H1">
        <v>1395.7449839999999</v>
      </c>
      <c r="I1" t="s">
        <v>83</v>
      </c>
      <c r="J1">
        <v>33.335999999999999</v>
      </c>
      <c r="K1" t="s">
        <v>3</v>
      </c>
      <c r="M1" s="10">
        <v>0.27779999999999999</v>
      </c>
      <c r="N1" s="2" t="s">
        <v>82</v>
      </c>
    </row>
    <row r="2" spans="1:14" x14ac:dyDescent="0.3">
      <c r="B2">
        <f>1/110</f>
        <v>9.0909090909090905E-3</v>
      </c>
      <c r="C2" t="s">
        <v>100</v>
      </c>
      <c r="D2">
        <v>1.1000000000000001</v>
      </c>
      <c r="E2" t="s">
        <v>152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205</v>
      </c>
      <c r="J3">
        <f>J1-J2</f>
        <v>29.436</v>
      </c>
      <c r="K3" t="s">
        <v>3</v>
      </c>
    </row>
    <row r="4" spans="1:14" x14ac:dyDescent="0.3">
      <c r="A4" t="s">
        <v>42</v>
      </c>
      <c r="B4">
        <v>20</v>
      </c>
      <c r="C4" t="s">
        <v>161</v>
      </c>
      <c r="D4" t="s">
        <v>140</v>
      </c>
      <c r="E4">
        <f>1000*D2</f>
        <v>1100</v>
      </c>
      <c r="F4" t="s">
        <v>108</v>
      </c>
      <c r="G4">
        <f>600*D2</f>
        <v>660</v>
      </c>
    </row>
    <row r="6" spans="1:14" x14ac:dyDescent="0.3">
      <c r="A6" s="2" t="s">
        <v>171</v>
      </c>
      <c r="B6">
        <v>2974000</v>
      </c>
      <c r="C6" t="s">
        <v>164</v>
      </c>
      <c r="D6">
        <f>B6/(1000000*L10)</f>
        <v>1239.0675412633659</v>
      </c>
      <c r="E6" t="s">
        <v>142</v>
      </c>
      <c r="F6">
        <f>D6*D2</f>
        <v>1362.9742953897025</v>
      </c>
      <c r="G6" t="s">
        <v>156</v>
      </c>
    </row>
    <row r="8" spans="1:14" x14ac:dyDescent="0.3">
      <c r="A8" t="s">
        <v>150</v>
      </c>
      <c r="B8">
        <v>0.22</v>
      </c>
      <c r="C8" t="s">
        <v>138</v>
      </c>
      <c r="I8" t="s">
        <v>167</v>
      </c>
      <c r="J8">
        <v>0.02</v>
      </c>
      <c r="K8" t="s">
        <v>138</v>
      </c>
    </row>
    <row r="9" spans="1:14" x14ac:dyDescent="0.3">
      <c r="B9">
        <f>B8*(365*24*60*60)</f>
        <v>6937920</v>
      </c>
      <c r="C9" t="s">
        <v>85</v>
      </c>
      <c r="J9">
        <f>J8*(365*24*60*60)</f>
        <v>630720</v>
      </c>
      <c r="K9" t="s">
        <v>85</v>
      </c>
      <c r="L9">
        <f>J9*J1/1000000</f>
        <v>21.025681919999997</v>
      </c>
      <c r="M9" t="s">
        <v>139</v>
      </c>
    </row>
    <row r="10" spans="1:14" x14ac:dyDescent="0.3">
      <c r="B10">
        <f>0.3*B9</f>
        <v>2081376</v>
      </c>
      <c r="C10" t="s">
        <v>116</v>
      </c>
      <c r="D10">
        <f>B10*B2/1000000</f>
        <v>1.89216E-2</v>
      </c>
      <c r="E10" t="s">
        <v>151</v>
      </c>
      <c r="F10">
        <f>D10/D2</f>
        <v>1.7201454545454544E-2</v>
      </c>
      <c r="G10" t="s">
        <v>153</v>
      </c>
      <c r="L10">
        <f>L9/8760</f>
        <v>2.4001919999999998E-3</v>
      </c>
      <c r="M10" t="s">
        <v>173</v>
      </c>
    </row>
    <row r="11" spans="1:14" x14ac:dyDescent="0.3">
      <c r="F11">
        <f>F10*1000000</f>
        <v>17201.454545454544</v>
      </c>
      <c r="G11" t="s">
        <v>147</v>
      </c>
    </row>
    <row r="12" spans="1:14" x14ac:dyDescent="0.3">
      <c r="A12" s="2" t="s">
        <v>174</v>
      </c>
      <c r="B12">
        <f>D10/L9</f>
        <v>8.9992800575953936E-4</v>
      </c>
      <c r="C12" t="s">
        <v>41</v>
      </c>
    </row>
    <row r="14" spans="1:14" x14ac:dyDescent="0.3">
      <c r="A14" t="s">
        <v>145</v>
      </c>
      <c r="B14">
        <v>52</v>
      </c>
      <c r="C14" t="s">
        <v>93</v>
      </c>
      <c r="I14" t="s">
        <v>169</v>
      </c>
      <c r="J14">
        <f>J1/B14</f>
        <v>0.6410769230769231</v>
      </c>
    </row>
    <row r="16" spans="1:14" x14ac:dyDescent="0.3">
      <c r="A16" s="2" t="s">
        <v>172</v>
      </c>
      <c r="B16">
        <v>15000</v>
      </c>
      <c r="C16" t="s">
        <v>147</v>
      </c>
      <c r="D16">
        <f>B16*D2/(1000000*L10)</f>
        <v>6.8744500439964815</v>
      </c>
      <c r="E16" t="s">
        <v>156</v>
      </c>
    </row>
    <row r="17" spans="1:6" x14ac:dyDescent="0.3">
      <c r="A17" t="s">
        <v>170</v>
      </c>
    </row>
    <row r="19" spans="1:6" x14ac:dyDescent="0.3">
      <c r="A19" s="2" t="s">
        <v>160</v>
      </c>
      <c r="B19">
        <f>L9*B4/1000</f>
        <v>0.42051363839999994</v>
      </c>
      <c r="C19" t="s">
        <v>162</v>
      </c>
    </row>
    <row r="20" spans="1:6" x14ac:dyDescent="0.3">
      <c r="A20" s="2" t="s">
        <v>163</v>
      </c>
      <c r="B20">
        <f>B6+(B16*B4)+(F11*B4)</f>
        <v>3618029.0909090908</v>
      </c>
    </row>
    <row r="21" spans="1:6" x14ac:dyDescent="0.3">
      <c r="A21" s="2" t="s">
        <v>165</v>
      </c>
      <c r="B21">
        <f>B20/B19</f>
        <v>8603832.9331605602</v>
      </c>
    </row>
    <row r="24" spans="1:6" x14ac:dyDescent="0.3">
      <c r="A24" s="2" t="s">
        <v>109</v>
      </c>
      <c r="B24">
        <v>2017</v>
      </c>
      <c r="C24">
        <v>1160</v>
      </c>
      <c r="D24" t="s">
        <v>204</v>
      </c>
      <c r="E24">
        <f>C24/J3</f>
        <v>39.407528196765867</v>
      </c>
      <c r="F24" t="s">
        <v>193</v>
      </c>
    </row>
    <row r="25" spans="1:6" x14ac:dyDescent="0.3">
      <c r="B25">
        <v>2050</v>
      </c>
      <c r="C25">
        <v>480</v>
      </c>
      <c r="D25" t="s">
        <v>204</v>
      </c>
      <c r="E25">
        <f>C25/J3</f>
        <v>16.306563391765184</v>
      </c>
      <c r="F25" t="s">
        <v>193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42</v>
      </c>
      <c r="B1" t="s">
        <v>188</v>
      </c>
      <c r="D1">
        <v>2020</v>
      </c>
      <c r="F1">
        <v>2030</v>
      </c>
    </row>
    <row r="2" spans="1:9" x14ac:dyDescent="0.3">
      <c r="A2" t="s">
        <v>189</v>
      </c>
      <c r="C2">
        <v>25</v>
      </c>
      <c r="D2" t="s">
        <v>190</v>
      </c>
      <c r="F2">
        <f>15</f>
        <v>15</v>
      </c>
      <c r="G2" t="s">
        <v>190</v>
      </c>
    </row>
    <row r="3" spans="1:9" x14ac:dyDescent="0.3">
      <c r="A3" t="s">
        <v>191</v>
      </c>
      <c r="C3">
        <f>8760*10*0.5</f>
        <v>43800</v>
      </c>
      <c r="D3" t="s">
        <v>90</v>
      </c>
    </row>
    <row r="4" spans="1:9" x14ac:dyDescent="0.3">
      <c r="A4" t="s">
        <v>192</v>
      </c>
      <c r="C4">
        <f>C2*1000/C3</f>
        <v>0.57077625570776258</v>
      </c>
      <c r="D4" t="s">
        <v>193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7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9">
        <v>2025</v>
      </c>
      <c r="D3" s="19"/>
      <c r="E3" s="26">
        <v>2040</v>
      </c>
      <c r="F3" s="26"/>
      <c r="G3" t="s">
        <v>203</v>
      </c>
      <c r="Q3" s="18"/>
      <c r="R3" s="18"/>
    </row>
    <row r="4" spans="1:18" x14ac:dyDescent="0.3">
      <c r="B4" s="2" t="s">
        <v>207</v>
      </c>
      <c r="C4" s="2" t="s">
        <v>195</v>
      </c>
      <c r="D4" s="2" t="s">
        <v>196</v>
      </c>
      <c r="E4" s="2" t="s">
        <v>195</v>
      </c>
      <c r="F4" s="2" t="s">
        <v>196</v>
      </c>
      <c r="Q4" s="18"/>
      <c r="R4" s="18"/>
    </row>
    <row r="5" spans="1:18" x14ac:dyDescent="0.3">
      <c r="A5" s="2" t="s">
        <v>194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8"/>
      <c r="R5" s="18"/>
    </row>
    <row r="6" spans="1:18" x14ac:dyDescent="0.3">
      <c r="A6" s="2" t="s">
        <v>197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8"/>
      <c r="R6" s="18"/>
    </row>
    <row r="7" spans="1:18" x14ac:dyDescent="0.3">
      <c r="A7" s="2" t="s">
        <v>198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8"/>
    </row>
    <row r="11" spans="1:18" x14ac:dyDescent="0.3">
      <c r="A11" s="2" t="s">
        <v>199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194</v>
      </c>
      <c r="B12">
        <v>1307</v>
      </c>
      <c r="D12" s="16">
        <f>B12*G5</f>
        <v>1086.1191941801903</v>
      </c>
      <c r="E12" s="16">
        <f>D12*G5</f>
        <v>902.56687373115983</v>
      </c>
    </row>
    <row r="13" spans="1:18" x14ac:dyDescent="0.3">
      <c r="A13" s="2" t="s">
        <v>200</v>
      </c>
      <c r="B13">
        <v>3454</v>
      </c>
      <c r="D13" s="16">
        <f>G6*B13</f>
        <v>3109.8968710888612</v>
      </c>
      <c r="E13" s="16">
        <f>G6*D13</f>
        <v>2800.0748548952779</v>
      </c>
    </row>
    <row r="14" spans="1:18" x14ac:dyDescent="0.3">
      <c r="A14" s="2" t="s">
        <v>201</v>
      </c>
      <c r="B14">
        <v>7772.73</v>
      </c>
      <c r="D14" s="16">
        <f>G7*B14</f>
        <v>5438.0498723926376</v>
      </c>
      <c r="E14" s="16">
        <f>D14*G7</f>
        <v>3804.6331745254988</v>
      </c>
    </row>
    <row r="15" spans="1:18" x14ac:dyDescent="0.3">
      <c r="A15" s="2" t="s">
        <v>202</v>
      </c>
      <c r="B15">
        <v>12897</v>
      </c>
      <c r="D15" s="16">
        <f>G7*B15</f>
        <v>9023.1526380368086</v>
      </c>
      <c r="E15" s="16">
        <f>D15*G7</f>
        <v>6312.8854407467334</v>
      </c>
    </row>
    <row r="16" spans="1:18" x14ac:dyDescent="0.3">
      <c r="I16" t="s">
        <v>209</v>
      </c>
    </row>
    <row r="18" spans="1:4" x14ac:dyDescent="0.3">
      <c r="A18" t="s">
        <v>206</v>
      </c>
      <c r="B18">
        <v>1307</v>
      </c>
      <c r="C18">
        <v>15.19</v>
      </c>
      <c r="D18">
        <v>0</v>
      </c>
    </row>
    <row r="20" spans="1:4" x14ac:dyDescent="0.3">
      <c r="A20" t="s">
        <v>200</v>
      </c>
      <c r="B20">
        <v>1319</v>
      </c>
      <c r="C20">
        <v>26.22</v>
      </c>
      <c r="D20">
        <v>0</v>
      </c>
    </row>
    <row r="21" spans="1:4" x14ac:dyDescent="0.3">
      <c r="A21" t="s">
        <v>208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>
      <selection activeCell="N40" sqref="N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3"/>
  <sheetViews>
    <sheetView tabSelected="1" topLeftCell="J14" workbookViewId="0">
      <selection activeCell="P38" sqref="P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13.8867187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218</v>
      </c>
      <c r="C1" s="9"/>
      <c r="D1" s="9"/>
      <c r="E1" s="9"/>
      <c r="J1" t="s">
        <v>29</v>
      </c>
      <c r="K1">
        <f>0.277778/1000000</f>
        <v>2.7777800000000004E-7</v>
      </c>
      <c r="L1" t="s">
        <v>24</v>
      </c>
    </row>
    <row r="2" spans="1:16" x14ac:dyDescent="0.3">
      <c r="B2" s="9" t="s">
        <v>221</v>
      </c>
      <c r="D2" s="9"/>
      <c r="E2" s="9"/>
    </row>
    <row r="3" spans="1:16" x14ac:dyDescent="0.3">
      <c r="C3" t="s">
        <v>196</v>
      </c>
      <c r="J3" s="26" t="s">
        <v>227</v>
      </c>
      <c r="K3" s="26"/>
      <c r="L3" s="26"/>
      <c r="M3" s="26"/>
      <c r="N3" s="26"/>
      <c r="O3" s="26"/>
      <c r="P3" s="26"/>
    </row>
    <row r="4" spans="1:16" x14ac:dyDescent="0.3">
      <c r="A4" t="s">
        <v>245</v>
      </c>
      <c r="B4">
        <v>0.18</v>
      </c>
      <c r="C4">
        <f>0.55/(1+B4)</f>
        <v>0.46610169491525427</v>
      </c>
      <c r="J4" s="2" t="s">
        <v>4</v>
      </c>
      <c r="K4" s="2" t="s">
        <v>255</v>
      </c>
      <c r="L4" s="2" t="s">
        <v>253</v>
      </c>
      <c r="M4" s="2" t="s">
        <v>256</v>
      </c>
      <c r="N4" s="2" t="s">
        <v>232</v>
      </c>
      <c r="O4" s="2" t="s">
        <v>235</v>
      </c>
      <c r="P4" s="2" t="s">
        <v>237</v>
      </c>
    </row>
    <row r="5" spans="1:16" x14ac:dyDescent="0.3">
      <c r="B5" t="s">
        <v>75</v>
      </c>
      <c r="C5" t="s">
        <v>224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 t="shared" ref="M5:M15" si="1">L5/$L$10</f>
        <v>0.94444444444444453</v>
      </c>
      <c r="N5">
        <f t="shared" ref="N5:N15" si="2">$B$15/M5</f>
        <v>0.42211529395200004</v>
      </c>
      <c r="O5">
        <f t="shared" ref="O5:O15" si="3">$B$21*K5</f>
        <v>1.7092727272727273E-2</v>
      </c>
      <c r="P5">
        <f>($D$30*M5)+O5</f>
        <v>2.258939393939394E-2</v>
      </c>
    </row>
    <row r="6" spans="1:16" x14ac:dyDescent="0.3">
      <c r="A6" s="2" t="s">
        <v>220</v>
      </c>
      <c r="B6">
        <v>0.18</v>
      </c>
      <c r="C6">
        <v>0.25</v>
      </c>
      <c r="E6" t="s">
        <v>246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si="1"/>
        <v>0.95555555555555549</v>
      </c>
      <c r="N6">
        <f t="shared" si="2"/>
        <v>0.41720697658046524</v>
      </c>
      <c r="O6">
        <f t="shared" si="3"/>
        <v>1.7293818181818181E-2</v>
      </c>
      <c r="P6">
        <f t="shared" ref="P6:P15" si="5">($D$30*M6)+O6</f>
        <v>2.2855151515151516E-2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250</v>
      </c>
      <c r="J7">
        <v>0.87</v>
      </c>
      <c r="K7">
        <f t="shared" si="0"/>
        <v>3.48E-4</v>
      </c>
      <c r="L7">
        <f t="shared" si="4"/>
        <v>0.2393853335808</v>
      </c>
      <c r="M7">
        <f t="shared" si="1"/>
        <v>0.96666666666666667</v>
      </c>
      <c r="N7">
        <f t="shared" si="2"/>
        <v>0.41241149409103456</v>
      </c>
      <c r="O7">
        <f t="shared" si="3"/>
        <v>1.7494909090909092E-2</v>
      </c>
      <c r="P7">
        <f t="shared" si="5"/>
        <v>2.3120909090909091E-2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251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1"/>
        <v>0.97777777777777797</v>
      </c>
      <c r="N8">
        <f t="shared" si="2"/>
        <v>0.40772499983999999</v>
      </c>
      <c r="O8">
        <f t="shared" si="3"/>
        <v>1.7696000000000003E-2</v>
      </c>
      <c r="P8">
        <f t="shared" si="5"/>
        <v>2.338666666666667E-2</v>
      </c>
    </row>
    <row r="9" spans="1:16" x14ac:dyDescent="0.3">
      <c r="B9">
        <v>5</v>
      </c>
      <c r="C9">
        <v>5</v>
      </c>
      <c r="E9" t="s">
        <v>20</v>
      </c>
      <c r="F9" t="s">
        <v>261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1"/>
        <v>0.98888888888888893</v>
      </c>
      <c r="N9">
        <f t="shared" si="2"/>
        <v>0.40314382006651689</v>
      </c>
      <c r="O9">
        <f t="shared" si="3"/>
        <v>1.7897090909090911E-2</v>
      </c>
      <c r="P9">
        <f t="shared" si="5"/>
        <v>2.3652424242424246E-2</v>
      </c>
    </row>
    <row r="10" spans="1:16" x14ac:dyDescent="0.3">
      <c r="B10">
        <v>150</v>
      </c>
      <c r="C10">
        <v>150</v>
      </c>
      <c r="E10" t="s">
        <v>20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1"/>
        <v>1</v>
      </c>
      <c r="N10">
        <f t="shared" si="2"/>
        <v>0.39866444428800007</v>
      </c>
      <c r="O10">
        <f t="shared" si="3"/>
        <v>1.8098181818181819E-2</v>
      </c>
      <c r="P10">
        <f t="shared" si="5"/>
        <v>2.3918181818181818E-2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20</v>
      </c>
      <c r="F11" t="s">
        <v>21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1"/>
        <v>1.0111111111111111</v>
      </c>
      <c r="N11">
        <f t="shared" si="2"/>
        <v>0.39428351632879127</v>
      </c>
      <c r="O11">
        <f t="shared" si="3"/>
        <v>1.8299272727272727E-2</v>
      </c>
      <c r="P11">
        <f t="shared" si="5"/>
        <v>2.4183939393939393E-2</v>
      </c>
    </row>
    <row r="12" spans="1:16" x14ac:dyDescent="0.3">
      <c r="A12" t="s">
        <v>248</v>
      </c>
      <c r="B12">
        <f>SUM(B8:B11)</f>
        <v>687.88888959999997</v>
      </c>
      <c r="C12">
        <f>SUM(C8:C11)</f>
        <v>482.76975772927574</v>
      </c>
      <c r="E12" t="s">
        <v>20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1"/>
        <v>1.0222222222222224</v>
      </c>
      <c r="N12">
        <f t="shared" si="2"/>
        <v>0.38999782593391308</v>
      </c>
      <c r="O12">
        <f t="shared" si="3"/>
        <v>1.8500363636363638E-2</v>
      </c>
      <c r="P12">
        <f t="shared" si="5"/>
        <v>2.4449696969696972E-2</v>
      </c>
    </row>
    <row r="13" spans="1:16" x14ac:dyDescent="0.3">
      <c r="A13" t="s">
        <v>249</v>
      </c>
      <c r="B13">
        <f>1/B36</f>
        <v>2500</v>
      </c>
      <c r="C13">
        <f>1/B35</f>
        <v>1061.5711252653928</v>
      </c>
      <c r="E13" t="s">
        <v>247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1"/>
        <v>1.0333333333333334</v>
      </c>
      <c r="N13">
        <f t="shared" si="2"/>
        <v>0.38580430092387102</v>
      </c>
      <c r="O13">
        <f t="shared" si="3"/>
        <v>1.8701454545454549E-2</v>
      </c>
      <c r="P13">
        <f t="shared" si="5"/>
        <v>2.4715454545454547E-2</v>
      </c>
    </row>
    <row r="14" spans="1:16" x14ac:dyDescent="0.3">
      <c r="A14" t="s">
        <v>254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1"/>
        <v>1.0444444444444443</v>
      </c>
      <c r="N14">
        <f t="shared" si="2"/>
        <v>0.38169999985021291</v>
      </c>
      <c r="O14">
        <f t="shared" si="3"/>
        <v>1.8902545454545453E-2</v>
      </c>
      <c r="P14">
        <f t="shared" si="5"/>
        <v>2.4981212121212119E-2</v>
      </c>
    </row>
    <row r="15" spans="1:16" x14ac:dyDescent="0.3">
      <c r="A15" t="s">
        <v>232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1"/>
        <v>1.0555555555555556</v>
      </c>
      <c r="N15">
        <f t="shared" si="2"/>
        <v>0.37768210511494743</v>
      </c>
      <c r="O15">
        <f t="shared" si="3"/>
        <v>1.9103636363636364E-2</v>
      </c>
      <c r="P15">
        <f t="shared" si="5"/>
        <v>2.5246969696969698E-2</v>
      </c>
    </row>
    <row r="17" spans="1:16" x14ac:dyDescent="0.3">
      <c r="B17" s="2"/>
      <c r="J17" s="26" t="s">
        <v>238</v>
      </c>
      <c r="K17" s="26"/>
      <c r="L17" s="26"/>
      <c r="M17" s="26"/>
      <c r="N17" s="26"/>
      <c r="O17" s="26"/>
      <c r="P17" s="26"/>
    </row>
    <row r="18" spans="1:16" x14ac:dyDescent="0.3">
      <c r="A18" s="2" t="s">
        <v>219</v>
      </c>
      <c r="B18">
        <v>80</v>
      </c>
      <c r="C18" t="s">
        <v>15</v>
      </c>
      <c r="D18" t="s">
        <v>229</v>
      </c>
      <c r="J18" s="2" t="s">
        <v>4</v>
      </c>
      <c r="K18" s="2" t="s">
        <v>230</v>
      </c>
      <c r="L18" s="2" t="s">
        <v>253</v>
      </c>
      <c r="M18" s="2" t="s">
        <v>256</v>
      </c>
      <c r="N18" s="2" t="s">
        <v>232</v>
      </c>
      <c r="O18" s="2" t="s">
        <v>235</v>
      </c>
      <c r="P18" s="2" t="s">
        <v>237</v>
      </c>
    </row>
    <row r="19" spans="1:16" x14ac:dyDescent="0.3">
      <c r="B19">
        <v>43</v>
      </c>
      <c r="C19" t="s">
        <v>15</v>
      </c>
      <c r="D19" t="s">
        <v>27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$B$21*K19</f>
        <v>4.0253372727272731E-2</v>
      </c>
      <c r="P19">
        <f>($D$29*M19)+O19</f>
        <v>5.0576150505050509E-2</v>
      </c>
    </row>
    <row r="20" spans="1:16" x14ac:dyDescent="0.3">
      <c r="B20">
        <v>7.2727272727272725</v>
      </c>
      <c r="C20" t="s">
        <v>15</v>
      </c>
      <c r="D20" t="s">
        <v>21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$B$21*K20</f>
        <v>4.0726941818181817E-2</v>
      </c>
      <c r="P20">
        <f t="shared" ref="P20:P29" si="11">($D$29*M20)+O20</f>
        <v>5.1171164040404039E-2</v>
      </c>
    </row>
    <row r="21" spans="1:16" x14ac:dyDescent="0.3">
      <c r="A21" s="2" t="s">
        <v>236</v>
      </c>
      <c r="B21" s="2">
        <f>(B19+B20)</f>
        <v>50.272727272727273</v>
      </c>
      <c r="C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4.1200510909090909E-2</v>
      </c>
      <c r="P21">
        <f t="shared" si="11"/>
        <v>5.1766177575757577E-2</v>
      </c>
    </row>
    <row r="22" spans="1:16" x14ac:dyDescent="0.3">
      <c r="A22" t="s">
        <v>252</v>
      </c>
      <c r="B22">
        <f>B21/B18</f>
        <v>0.62840909090909092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4.1674080000000002E-2</v>
      </c>
      <c r="P22">
        <f t="shared" si="11"/>
        <v>5.2361191111111115E-2</v>
      </c>
    </row>
    <row r="23" spans="1:16" x14ac:dyDescent="0.3">
      <c r="D23" t="s">
        <v>216</v>
      </c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4.2147649090909095E-2</v>
      </c>
      <c r="P23">
        <f t="shared" si="11"/>
        <v>5.2956204646464652E-2</v>
      </c>
    </row>
    <row r="24" spans="1:16" x14ac:dyDescent="0.3">
      <c r="A24" s="2" t="s">
        <v>31</v>
      </c>
      <c r="B24">
        <v>2020</v>
      </c>
      <c r="C24">
        <v>2000</v>
      </c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4.2621218181818181E-2</v>
      </c>
      <c r="P24">
        <f t="shared" si="11"/>
        <v>5.3551218181818183E-2</v>
      </c>
    </row>
    <row r="25" spans="1:16" x14ac:dyDescent="0.3">
      <c r="B25">
        <v>2030</v>
      </c>
      <c r="C25">
        <v>1000</v>
      </c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4.3094787272727274E-2</v>
      </c>
      <c r="P25">
        <f t="shared" si="11"/>
        <v>5.4146231717171721E-2</v>
      </c>
    </row>
    <row r="26" spans="1:16" x14ac:dyDescent="0.3">
      <c r="B26">
        <v>2050</v>
      </c>
      <c r="C26">
        <v>500</v>
      </c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4.3568356363636367E-2</v>
      </c>
      <c r="P26">
        <f t="shared" si="11"/>
        <v>5.4741245252525259E-2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4.4041925454545452E-2</v>
      </c>
      <c r="P27">
        <f t="shared" si="11"/>
        <v>5.5336258787878789E-2</v>
      </c>
    </row>
    <row r="28" spans="1:16" x14ac:dyDescent="0.3">
      <c r="A28" t="s">
        <v>223</v>
      </c>
      <c r="B28" s="2" t="s">
        <v>140</v>
      </c>
      <c r="C28" s="2" t="s">
        <v>172</v>
      </c>
      <c r="D28" s="2" t="s">
        <v>225</v>
      </c>
      <c r="E28" s="2" t="s">
        <v>258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4.4515494545454545E-2</v>
      </c>
      <c r="P28">
        <f t="shared" si="11"/>
        <v>5.593127232323232E-2</v>
      </c>
    </row>
    <row r="29" spans="1:16" x14ac:dyDescent="0.3">
      <c r="A29" s="2" t="s">
        <v>224</v>
      </c>
      <c r="B29" s="21">
        <v>5997</v>
      </c>
      <c r="C29" s="21">
        <v>59.29</v>
      </c>
      <c r="D29" s="21">
        <f>10.93*1000/1000000</f>
        <v>1.093E-2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4.4989063636363638E-2</v>
      </c>
      <c r="P29">
        <f t="shared" si="11"/>
        <v>5.6526285858585865E-2</v>
      </c>
    </row>
    <row r="30" spans="1:16" x14ac:dyDescent="0.3">
      <c r="A30" s="2" t="s">
        <v>75</v>
      </c>
      <c r="B30" s="21">
        <v>2569</v>
      </c>
      <c r="C30" s="21">
        <v>27.48</v>
      </c>
      <c r="D30" s="21">
        <f>5.82*1000/1000000</f>
        <v>5.8199999999999997E-3</v>
      </c>
    </row>
    <row r="31" spans="1:16" x14ac:dyDescent="0.3">
      <c r="A31" s="2" t="s">
        <v>257</v>
      </c>
      <c r="B31" s="21">
        <v>495</v>
      </c>
      <c r="C31" s="21">
        <v>4</v>
      </c>
      <c r="D31" s="21">
        <v>2.6473008613171967E-2</v>
      </c>
      <c r="E31">
        <v>0.73</v>
      </c>
      <c r="J31" s="26" t="s">
        <v>239</v>
      </c>
      <c r="K31" s="26"/>
      <c r="L31" s="26"/>
      <c r="M31" s="26"/>
      <c r="N31" s="26"/>
      <c r="O31" s="26"/>
      <c r="P31" s="26"/>
    </row>
    <row r="32" spans="1:16" x14ac:dyDescent="0.3">
      <c r="A32" s="2" t="s">
        <v>260</v>
      </c>
      <c r="B32" s="2">
        <f>2*B31</f>
        <v>990</v>
      </c>
      <c r="C32" s="22">
        <v>4</v>
      </c>
      <c r="J32" s="2" t="s">
        <v>4</v>
      </c>
      <c r="K32" s="2" t="s">
        <v>230</v>
      </c>
      <c r="L32" s="2" t="s">
        <v>253</v>
      </c>
      <c r="M32" s="2"/>
      <c r="N32" s="2" t="s">
        <v>259</v>
      </c>
      <c r="O32" s="2" t="s">
        <v>235</v>
      </c>
      <c r="P32" s="2" t="s">
        <v>237</v>
      </c>
    </row>
    <row r="33" spans="1:16" x14ac:dyDescent="0.3">
      <c r="J33">
        <v>0.85</v>
      </c>
      <c r="K33">
        <f t="shared" ref="K33:K43" si="13">$B$37*J33</f>
        <v>2.6604999999999999E-4</v>
      </c>
      <c r="L33">
        <f>K33*$B$12</f>
        <v>0.18301283907808</v>
      </c>
      <c r="N33">
        <f>$E$31-L33</f>
        <v>0.54698716092192001</v>
      </c>
      <c r="O33">
        <f>($B$21+$B$18)*K33</f>
        <v>3.4659059090909092E-2</v>
      </c>
      <c r="P33">
        <f>($D$31*M19)+O33</f>
        <v>5.9661345003349284E-2</v>
      </c>
    </row>
    <row r="34" spans="1:16" x14ac:dyDescent="0.3">
      <c r="A34" s="2" t="s">
        <v>226</v>
      </c>
      <c r="J34">
        <v>0.86</v>
      </c>
      <c r="K34">
        <f t="shared" si="13"/>
        <v>2.6917999999999999E-4</v>
      </c>
      <c r="L34">
        <f t="shared" ref="L34:L43" si="14">K34*$B$12</f>
        <v>0.18516593130252798</v>
      </c>
      <c r="N34">
        <f t="shared" ref="N34:N43" si="15">$E$31-L34</f>
        <v>0.54483406869747197</v>
      </c>
      <c r="O34">
        <f t="shared" ref="O34:O43" si="16">($B$21+$B$18)*K34</f>
        <v>3.5066812727272731E-2</v>
      </c>
      <c r="P34">
        <f t="shared" ref="P34:P43" si="17">($D$31*M20)+O34</f>
        <v>6.0363243179859277E-2</v>
      </c>
    </row>
    <row r="35" spans="1:16" x14ac:dyDescent="0.3">
      <c r="A35" s="15" t="s">
        <v>224</v>
      </c>
      <c r="B35" s="22">
        <f>942/1000000</f>
        <v>9.4200000000000002E-4</v>
      </c>
      <c r="C35" t="s">
        <v>76</v>
      </c>
      <c r="J35">
        <v>0.87</v>
      </c>
      <c r="K35">
        <f t="shared" si="13"/>
        <v>2.7231E-4</v>
      </c>
      <c r="L35">
        <f t="shared" si="14"/>
        <v>0.18731902352697599</v>
      </c>
      <c r="N35">
        <f t="shared" si="15"/>
        <v>0.54268097647302405</v>
      </c>
      <c r="O35">
        <f t="shared" si="16"/>
        <v>3.5474566363636363E-2</v>
      </c>
      <c r="P35">
        <f t="shared" si="17"/>
        <v>6.1065141356369264E-2</v>
      </c>
    </row>
    <row r="36" spans="1:16" x14ac:dyDescent="0.3">
      <c r="A36" s="15" t="s">
        <v>75</v>
      </c>
      <c r="B36" s="22">
        <f>400/1000000</f>
        <v>4.0000000000000002E-4</v>
      </c>
      <c r="C36" t="s">
        <v>76</v>
      </c>
      <c r="J36">
        <v>0.88</v>
      </c>
      <c r="K36">
        <f t="shared" si="13"/>
        <v>2.7544000000000001E-4</v>
      </c>
      <c r="L36">
        <f t="shared" si="14"/>
        <v>0.189472115751424</v>
      </c>
      <c r="N36">
        <f t="shared" si="15"/>
        <v>0.54052788424857601</v>
      </c>
      <c r="O36">
        <f t="shared" si="16"/>
        <v>3.5882320000000002E-2</v>
      </c>
      <c r="P36">
        <f t="shared" si="17"/>
        <v>6.1767039532879257E-2</v>
      </c>
    </row>
    <row r="37" spans="1:16" x14ac:dyDescent="0.3">
      <c r="A37" s="15" t="s">
        <v>131</v>
      </c>
      <c r="B37" s="22">
        <f>313/1000000</f>
        <v>3.1300000000000002E-4</v>
      </c>
      <c r="C37" t="s">
        <v>76</v>
      </c>
      <c r="J37">
        <v>0.89</v>
      </c>
      <c r="K37">
        <f t="shared" si="13"/>
        <v>2.7857000000000001E-4</v>
      </c>
      <c r="L37">
        <f t="shared" si="14"/>
        <v>0.19162520797587199</v>
      </c>
      <c r="N37">
        <f t="shared" si="15"/>
        <v>0.53837479202412797</v>
      </c>
      <c r="O37">
        <f t="shared" si="16"/>
        <v>3.6290073636363641E-2</v>
      </c>
      <c r="P37">
        <f t="shared" si="17"/>
        <v>6.2468937709389258E-2</v>
      </c>
    </row>
    <row r="38" spans="1:16" x14ac:dyDescent="0.3">
      <c r="J38">
        <v>0.9</v>
      </c>
      <c r="K38">
        <f t="shared" si="13"/>
        <v>2.8170000000000002E-4</v>
      </c>
      <c r="L38">
        <f t="shared" si="14"/>
        <v>0.19377830020032</v>
      </c>
      <c r="N38">
        <f t="shared" si="15"/>
        <v>0.53622169979968004</v>
      </c>
      <c r="O38">
        <f t="shared" si="16"/>
        <v>3.6697827272727274E-2</v>
      </c>
      <c r="P38">
        <f t="shared" si="17"/>
        <v>6.3170835885899237E-2</v>
      </c>
    </row>
    <row r="39" spans="1:16" x14ac:dyDescent="0.3">
      <c r="J39">
        <v>0.91</v>
      </c>
      <c r="K39">
        <f t="shared" si="13"/>
        <v>2.8483000000000002E-4</v>
      </c>
      <c r="L39">
        <f t="shared" si="14"/>
        <v>0.19593139242476801</v>
      </c>
      <c r="N39">
        <f t="shared" si="15"/>
        <v>0.534068607575232</v>
      </c>
      <c r="O39">
        <f t="shared" si="16"/>
        <v>3.7105580909090913E-2</v>
      </c>
      <c r="P39">
        <f t="shared" si="17"/>
        <v>6.3872734062409231E-2</v>
      </c>
    </row>
    <row r="40" spans="1:16" x14ac:dyDescent="0.3">
      <c r="J40">
        <v>0.92</v>
      </c>
      <c r="K40">
        <f t="shared" si="13"/>
        <v>2.8796000000000003E-4</v>
      </c>
      <c r="L40">
        <f t="shared" si="14"/>
        <v>0.19808448464921602</v>
      </c>
      <c r="N40">
        <f t="shared" si="15"/>
        <v>0.53191551535078396</v>
      </c>
      <c r="O40">
        <f t="shared" si="16"/>
        <v>3.7513334545454552E-2</v>
      </c>
      <c r="P40">
        <f t="shared" si="17"/>
        <v>6.4574632238919225E-2</v>
      </c>
    </row>
    <row r="41" spans="1:16" x14ac:dyDescent="0.3">
      <c r="J41">
        <v>0.93</v>
      </c>
      <c r="K41">
        <f t="shared" si="13"/>
        <v>2.9109000000000003E-4</v>
      </c>
      <c r="L41">
        <f t="shared" si="14"/>
        <v>0.200237576873664</v>
      </c>
      <c r="N41">
        <f t="shared" si="15"/>
        <v>0.52976242312633604</v>
      </c>
      <c r="O41">
        <f t="shared" si="16"/>
        <v>3.7921088181818191E-2</v>
      </c>
      <c r="P41">
        <f t="shared" si="17"/>
        <v>6.5276530415429218E-2</v>
      </c>
    </row>
    <row r="42" spans="1:16" x14ac:dyDescent="0.3">
      <c r="J42">
        <v>0.94</v>
      </c>
      <c r="K42">
        <f t="shared" si="13"/>
        <v>2.9421999999999999E-4</v>
      </c>
      <c r="L42">
        <f t="shared" si="14"/>
        <v>0.20239066909811199</v>
      </c>
      <c r="N42">
        <f t="shared" si="15"/>
        <v>0.527609330901888</v>
      </c>
      <c r="O42">
        <f t="shared" si="16"/>
        <v>3.8328841818181816E-2</v>
      </c>
      <c r="P42">
        <f t="shared" si="17"/>
        <v>6.5978428591939198E-2</v>
      </c>
    </row>
    <row r="43" spans="1:16" x14ac:dyDescent="0.3">
      <c r="J43">
        <v>0.95</v>
      </c>
      <c r="K43">
        <f t="shared" si="13"/>
        <v>2.9734999999999999E-4</v>
      </c>
      <c r="L43">
        <f t="shared" si="14"/>
        <v>0.20454376132256</v>
      </c>
      <c r="N43">
        <f t="shared" si="15"/>
        <v>0.52545623867743996</v>
      </c>
      <c r="O43">
        <f t="shared" si="16"/>
        <v>3.8736595454545455E-2</v>
      </c>
      <c r="P43">
        <f t="shared" si="17"/>
        <v>6.6680326768449205E-2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sqref="A1:E9"/>
    </sheetView>
  </sheetViews>
  <sheetFormatPr defaultRowHeight="14.4" x14ac:dyDescent="0.3"/>
  <sheetData>
    <row r="1" spans="1:5" x14ac:dyDescent="0.3">
      <c r="A1" s="2" t="s">
        <v>210</v>
      </c>
      <c r="B1" s="2" t="s">
        <v>215</v>
      </c>
      <c r="C1" s="2" t="s">
        <v>212</v>
      </c>
      <c r="D1" s="2" t="s">
        <v>213</v>
      </c>
      <c r="E1" s="2" t="s">
        <v>214</v>
      </c>
    </row>
    <row r="2" spans="1:5" x14ac:dyDescent="0.3">
      <c r="A2" t="s">
        <v>211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80</v>
      </c>
      <c r="I2" t="s">
        <v>35</v>
      </c>
      <c r="K2">
        <f>1/110</f>
        <v>9.0909090909090905E-3</v>
      </c>
      <c r="L2" t="s">
        <v>100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82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81</v>
      </c>
      <c r="K4">
        <f>G3*I4</f>
        <v>1395.7449839999999</v>
      </c>
      <c r="L4" t="s">
        <v>83</v>
      </c>
      <c r="M4">
        <f>G4*G3</f>
        <v>33.335999999999999</v>
      </c>
      <c r="N4" t="s">
        <v>3</v>
      </c>
    </row>
    <row r="5" spans="1:16" x14ac:dyDescent="0.3">
      <c r="E5" t="s">
        <v>92</v>
      </c>
      <c r="G5">
        <v>9.31</v>
      </c>
      <c r="H5" t="s">
        <v>93</v>
      </c>
      <c r="I5">
        <f>G5/M4</f>
        <v>0.27927765778737701</v>
      </c>
      <c r="J5" t="s">
        <v>94</v>
      </c>
    </row>
    <row r="7" spans="1:16" x14ac:dyDescent="0.3">
      <c r="A7" s="2" t="s">
        <v>42</v>
      </c>
      <c r="B7" t="s">
        <v>119</v>
      </c>
      <c r="C7" s="13" t="s">
        <v>118</v>
      </c>
      <c r="K7" s="1" t="s">
        <v>95</v>
      </c>
      <c r="L7" s="12"/>
      <c r="O7" s="1"/>
    </row>
    <row r="8" spans="1:16" x14ac:dyDescent="0.3">
      <c r="K8" t="s">
        <v>96</v>
      </c>
      <c r="L8" s="12">
        <v>1538396</v>
      </c>
      <c r="M8" t="s">
        <v>84</v>
      </c>
      <c r="N8" s="12">
        <f>G2*L8</f>
        <v>64411102.123999998</v>
      </c>
      <c r="O8" t="s">
        <v>85</v>
      </c>
    </row>
    <row r="9" spans="1:16" x14ac:dyDescent="0.3">
      <c r="A9" s="2" t="s">
        <v>91</v>
      </c>
      <c r="B9">
        <f>186*1000000</f>
        <v>186000000</v>
      </c>
      <c r="C9" t="s">
        <v>104</v>
      </c>
      <c r="K9" t="s">
        <v>86</v>
      </c>
      <c r="L9" s="12">
        <v>1141251</v>
      </c>
      <c r="M9" t="s">
        <v>90</v>
      </c>
      <c r="P9" s="11"/>
    </row>
    <row r="10" spans="1:16" x14ac:dyDescent="0.3">
      <c r="B10">
        <f>B9*K2</f>
        <v>1690909.0909090908</v>
      </c>
      <c r="C10" t="s">
        <v>101</v>
      </c>
      <c r="D10">
        <f>B10/L11</f>
        <v>0.41378551295067767</v>
      </c>
      <c r="E10" t="s">
        <v>107</v>
      </c>
      <c r="F10">
        <f>B10/N11</f>
        <v>3624.7610934479362</v>
      </c>
      <c r="G10" t="s">
        <v>108</v>
      </c>
      <c r="J10" s="27" t="s">
        <v>97</v>
      </c>
      <c r="K10" s="27"/>
      <c r="L10" s="12">
        <f>L9/G5</f>
        <v>122583.35123523093</v>
      </c>
      <c r="M10" t="s">
        <v>89</v>
      </c>
    </row>
    <row r="11" spans="1:16" x14ac:dyDescent="0.3">
      <c r="J11" s="27" t="s">
        <v>98</v>
      </c>
      <c r="K11" s="27"/>
      <c r="L11" s="12">
        <f>M4*L10</f>
        <v>4086438.5967776584</v>
      </c>
      <c r="M11" t="s">
        <v>90</v>
      </c>
      <c r="N11" s="12">
        <f>L11/8760</f>
        <v>466.48842428968703</v>
      </c>
      <c r="O11" t="s">
        <v>105</v>
      </c>
    </row>
    <row r="12" spans="1:16" x14ac:dyDescent="0.3">
      <c r="A12" s="2" t="s">
        <v>113</v>
      </c>
      <c r="H12" t="s">
        <v>132</v>
      </c>
      <c r="K12" t="s">
        <v>124</v>
      </c>
      <c r="L12" s="12">
        <v>1</v>
      </c>
      <c r="N12" s="1"/>
    </row>
    <row r="13" spans="1:16" x14ac:dyDescent="0.3">
      <c r="A13" t="s">
        <v>6</v>
      </c>
      <c r="B13">
        <v>441890</v>
      </c>
      <c r="C13" t="s">
        <v>89</v>
      </c>
      <c r="D13" s="12">
        <f>114*B13</f>
        <v>50375460</v>
      </c>
      <c r="E13" t="s">
        <v>99</v>
      </c>
      <c r="F13" s="12">
        <f>D13*$K$2</f>
        <v>457958.72727272724</v>
      </c>
      <c r="G13" t="s">
        <v>101</v>
      </c>
      <c r="H13" s="12">
        <f>B13*53*G3</f>
        <v>6506123.2259999998</v>
      </c>
      <c r="L13" s="12"/>
    </row>
    <row r="14" spans="1:16" x14ac:dyDescent="0.3">
      <c r="A14" t="s">
        <v>87</v>
      </c>
      <c r="B14">
        <v>3428000</v>
      </c>
      <c r="C14" t="s">
        <v>89</v>
      </c>
      <c r="D14" s="12">
        <f>300*B14</f>
        <v>1028400000</v>
      </c>
      <c r="E14" t="s">
        <v>99</v>
      </c>
      <c r="F14" s="12">
        <f t="shared" ref="F14:F15" si="0">D14*$K$2</f>
        <v>9349090.9090909082</v>
      </c>
      <c r="G14" t="s">
        <v>101</v>
      </c>
    </row>
    <row r="15" spans="1:16" x14ac:dyDescent="0.3">
      <c r="A15" t="s">
        <v>88</v>
      </c>
      <c r="B15">
        <v>1714000</v>
      </c>
      <c r="C15" t="s">
        <v>89</v>
      </c>
      <c r="D15" s="12">
        <f>B15*200</f>
        <v>342800000</v>
      </c>
      <c r="E15" t="s">
        <v>99</v>
      </c>
      <c r="F15" s="12">
        <f t="shared" si="0"/>
        <v>3116363.6363636362</v>
      </c>
      <c r="G15" t="s">
        <v>101</v>
      </c>
    </row>
    <row r="16" spans="1:16" x14ac:dyDescent="0.3">
      <c r="A16" t="s">
        <v>37</v>
      </c>
      <c r="B16" s="1"/>
      <c r="D16" s="12">
        <f>SUM(D13:D15)</f>
        <v>1421575460</v>
      </c>
      <c r="F16" s="12">
        <f>SUM(F13:F15)</f>
        <v>12923413.272727272</v>
      </c>
      <c r="G16" t="s">
        <v>101</v>
      </c>
    </row>
    <row r="17" spans="1:10" x14ac:dyDescent="0.3">
      <c r="A17" t="s">
        <v>103</v>
      </c>
      <c r="B17">
        <f>F16/L11</f>
        <v>3.1625125317967502</v>
      </c>
      <c r="C17" t="s">
        <v>102</v>
      </c>
      <c r="D17" s="3"/>
    </row>
    <row r="19" spans="1:10" x14ac:dyDescent="0.3">
      <c r="A19" s="2" t="s">
        <v>114</v>
      </c>
    </row>
    <row r="20" spans="1:10" x14ac:dyDescent="0.3">
      <c r="A20" t="s">
        <v>115</v>
      </c>
      <c r="B20">
        <f>7000000*1.5</f>
        <v>10500000</v>
      </c>
      <c r="C20" t="s">
        <v>116</v>
      </c>
    </row>
    <row r="21" spans="1:10" x14ac:dyDescent="0.3">
      <c r="A21" t="s">
        <v>117</v>
      </c>
      <c r="B21">
        <f>0.03*B9/20</f>
        <v>279000</v>
      </c>
      <c r="C21" t="s">
        <v>116</v>
      </c>
      <c r="D21" s="3"/>
    </row>
    <row r="22" spans="1:10" x14ac:dyDescent="0.3">
      <c r="A22" t="s">
        <v>120</v>
      </c>
      <c r="B22">
        <f>0.0077*0.55*B9/20</f>
        <v>39385.5</v>
      </c>
      <c r="C22" t="s">
        <v>116</v>
      </c>
    </row>
    <row r="23" spans="1:10" x14ac:dyDescent="0.3">
      <c r="A23" t="s">
        <v>121</v>
      </c>
      <c r="B23">
        <f>0.014*0.55*B9/20</f>
        <v>71610.000000000015</v>
      </c>
      <c r="C23" t="s">
        <v>116</v>
      </c>
      <c r="G23" t="s">
        <v>126</v>
      </c>
      <c r="I23" t="s">
        <v>125</v>
      </c>
    </row>
    <row r="24" spans="1:10" x14ac:dyDescent="0.3">
      <c r="A24" t="s">
        <v>19</v>
      </c>
      <c r="B24">
        <f>SUM(B20:B23)</f>
        <v>10889995.5</v>
      </c>
      <c r="C24" t="s">
        <v>116</v>
      </c>
      <c r="D24">
        <f>B24*K2</f>
        <v>98999.959090909091</v>
      </c>
      <c r="E24" t="s">
        <v>122</v>
      </c>
      <c r="G24">
        <v>1690909.0909090908</v>
      </c>
      <c r="I24">
        <f>4086438.59677766*20</f>
        <v>81728771.935553193</v>
      </c>
      <c r="J24" t="s">
        <v>90</v>
      </c>
    </row>
    <row r="25" spans="1:10" x14ac:dyDescent="0.3">
      <c r="A25" t="s">
        <v>123</v>
      </c>
      <c r="D25">
        <f>D24/N11</f>
        <v>212.22382793668336</v>
      </c>
      <c r="E25" t="s">
        <v>108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106</v>
      </c>
    </row>
    <row r="29" spans="1:10" x14ac:dyDescent="0.3">
      <c r="A29" t="s">
        <v>109</v>
      </c>
      <c r="B29">
        <v>133</v>
      </c>
      <c r="C29" t="s">
        <v>112</v>
      </c>
      <c r="D29" s="9">
        <f>B29/1000000</f>
        <v>1.3300000000000001E-4</v>
      </c>
      <c r="E29" t="s">
        <v>76</v>
      </c>
    </row>
    <row r="30" spans="1:10" x14ac:dyDescent="0.3">
      <c r="A30" t="s">
        <v>110</v>
      </c>
      <c r="B30" s="13" t="s">
        <v>111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92</v>
      </c>
      <c r="C1">
        <v>9.31</v>
      </c>
      <c r="D1" t="s">
        <v>3</v>
      </c>
      <c r="E1" t="s">
        <v>127</v>
      </c>
    </row>
    <row r="2" spans="1:5" x14ac:dyDescent="0.3">
      <c r="A2" t="s">
        <v>128</v>
      </c>
      <c r="C2">
        <v>1.5</v>
      </c>
      <c r="D2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O6" sqref="O6"/>
    </sheetView>
  </sheetViews>
  <sheetFormatPr defaultRowHeight="14.4" x14ac:dyDescent="0.3"/>
  <cols>
    <col min="1" max="1" width="13.3320312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33</v>
      </c>
      <c r="G1">
        <v>39444.433400000002</v>
      </c>
      <c r="H1" t="s">
        <v>20</v>
      </c>
    </row>
    <row r="2" spans="1:17" x14ac:dyDescent="0.3">
      <c r="A2" s="4" t="s">
        <v>12</v>
      </c>
      <c r="D2" t="s">
        <v>36</v>
      </c>
      <c r="G2" t="s">
        <v>34</v>
      </c>
      <c r="I2" s="5">
        <f>70.8/(1.8*1000000000)</f>
        <v>3.9333333333333335E-8</v>
      </c>
      <c r="J2" t="s">
        <v>43</v>
      </c>
      <c r="L2" t="s">
        <v>35</v>
      </c>
      <c r="N2">
        <v>8.8999999999999999E-3</v>
      </c>
      <c r="O2" t="s">
        <v>22</v>
      </c>
    </row>
    <row r="3" spans="1:17" x14ac:dyDescent="0.3">
      <c r="A3" s="2" t="s">
        <v>0</v>
      </c>
      <c r="B3" t="s">
        <v>13</v>
      </c>
      <c r="G3" s="2" t="s">
        <v>37</v>
      </c>
      <c r="H3" s="8"/>
      <c r="I3" s="2" t="s">
        <v>62</v>
      </c>
      <c r="Q3" s="2" t="s">
        <v>40</v>
      </c>
    </row>
    <row r="4" spans="1:17" ht="15" customHeight="1" x14ac:dyDescent="0.3">
      <c r="A4" s="2" t="s">
        <v>5</v>
      </c>
      <c r="B4" s="2" t="s">
        <v>39</v>
      </c>
      <c r="C4" s="2" t="s">
        <v>49</v>
      </c>
      <c r="D4" s="2" t="s">
        <v>48</v>
      </c>
      <c r="E4" s="2" t="s">
        <v>72</v>
      </c>
      <c r="F4" s="2" t="s">
        <v>71</v>
      </c>
      <c r="G4" s="2" t="s">
        <v>38</v>
      </c>
      <c r="H4" s="2" t="s">
        <v>9</v>
      </c>
      <c r="I4" s="2" t="s">
        <v>23</v>
      </c>
      <c r="J4" s="2"/>
      <c r="K4" s="2"/>
      <c r="L4" s="2" t="s">
        <v>24</v>
      </c>
      <c r="M4" s="2" t="s">
        <v>50</v>
      </c>
      <c r="N4" s="2" t="s">
        <v>4</v>
      </c>
      <c r="O4" s="2" t="s">
        <v>60</v>
      </c>
      <c r="P4" s="2" t="s">
        <v>59</v>
      </c>
      <c r="Q4" s="2" t="s">
        <v>41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23</v>
      </c>
      <c r="L5" s="3">
        <f>C9*0.7</f>
        <v>5.5676052871483162</v>
      </c>
      <c r="M5">
        <f>L6/I6</f>
        <v>30.363615543241984</v>
      </c>
      <c r="N5" s="1" t="s">
        <v>51</v>
      </c>
      <c r="O5" t="s">
        <v>61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26</v>
      </c>
      <c r="K6" t="s">
        <v>47</v>
      </c>
      <c r="L6" s="6">
        <f>0.33*L5</f>
        <v>1.8373097447589444</v>
      </c>
      <c r="N6" t="s">
        <v>52</v>
      </c>
      <c r="O6" s="20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73</v>
      </c>
      <c r="F7">
        <v>200</v>
      </c>
      <c r="G7">
        <f>F7*B7*$N$2/1000000</f>
        <v>3.0509199999999999E-3</v>
      </c>
      <c r="I7">
        <f>G1*I6</f>
        <v>2386.7922368831719</v>
      </c>
      <c r="J7" t="s">
        <v>63</v>
      </c>
      <c r="K7" t="s">
        <v>53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74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44</v>
      </c>
      <c r="F11" t="s">
        <v>45</v>
      </c>
      <c r="G11">
        <f>60*N2/(1000000*I2*M5)</f>
        <v>0.44712301033802088</v>
      </c>
    </row>
    <row r="12" spans="1:17" x14ac:dyDescent="0.3">
      <c r="G12" t="s">
        <v>41</v>
      </c>
    </row>
    <row r="14" spans="1:17" x14ac:dyDescent="0.3">
      <c r="A14" t="s">
        <v>46</v>
      </c>
      <c r="B14">
        <v>55.5</v>
      </c>
      <c r="C14" t="s">
        <v>2</v>
      </c>
      <c r="D14" s="2" t="s">
        <v>54</v>
      </c>
      <c r="E14" t="s">
        <v>41</v>
      </c>
      <c r="F14" t="s">
        <v>58</v>
      </c>
      <c r="G14" t="s">
        <v>57</v>
      </c>
    </row>
    <row r="15" spans="1:17" x14ac:dyDescent="0.3">
      <c r="B15">
        <f>55.5*0.277777778</f>
        <v>15.416666678999999</v>
      </c>
      <c r="C15" t="s">
        <v>3</v>
      </c>
      <c r="D15" t="s">
        <v>55</v>
      </c>
      <c r="E15">
        <f>G5/D5</f>
        <v>0.19942997527043146</v>
      </c>
      <c r="F15">
        <v>0.44834159400000001</v>
      </c>
    </row>
    <row r="16" spans="1:17" x14ac:dyDescent="0.3">
      <c r="D16" t="s">
        <v>56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64</v>
      </c>
      <c r="C1">
        <v>2050</v>
      </c>
      <c r="D1" t="s">
        <v>65</v>
      </c>
    </row>
    <row r="2" spans="1:9" x14ac:dyDescent="0.3">
      <c r="C2" t="s">
        <v>66</v>
      </c>
      <c r="E2" t="s">
        <v>67</v>
      </c>
      <c r="F2">
        <f>9/(39.4*0.3)</f>
        <v>0.76142131979695438</v>
      </c>
      <c r="G2" t="s">
        <v>41</v>
      </c>
    </row>
    <row r="3" spans="1:9" x14ac:dyDescent="0.3">
      <c r="D3">
        <v>2050</v>
      </c>
      <c r="E3" t="s">
        <v>68</v>
      </c>
      <c r="F3">
        <f>1.5/(39.444*0.3)</f>
        <v>0.12676199168441335</v>
      </c>
      <c r="G3" t="s">
        <v>41</v>
      </c>
      <c r="I3" t="s">
        <v>77</v>
      </c>
    </row>
    <row r="5" spans="1:9" x14ac:dyDescent="0.3">
      <c r="A5" t="s">
        <v>69</v>
      </c>
      <c r="C5" t="s">
        <v>70</v>
      </c>
      <c r="E5" t="s">
        <v>78</v>
      </c>
    </row>
    <row r="6" spans="1:9" x14ac:dyDescent="0.3">
      <c r="E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130</v>
      </c>
      <c r="I1" s="10">
        <v>0.27779999999999999</v>
      </c>
      <c r="J1" s="2" t="s">
        <v>82</v>
      </c>
    </row>
    <row r="2" spans="1:10" x14ac:dyDescent="0.3">
      <c r="A2" t="s">
        <v>131</v>
      </c>
    </row>
    <row r="3" spans="1:10" x14ac:dyDescent="0.3">
      <c r="A3" t="s">
        <v>4</v>
      </c>
      <c r="B3">
        <v>0.7</v>
      </c>
      <c r="C3" t="s">
        <v>46</v>
      </c>
    </row>
    <row r="4" spans="1:10" x14ac:dyDescent="0.3">
      <c r="A4" t="s">
        <v>133</v>
      </c>
      <c r="B4">
        <v>87</v>
      </c>
      <c r="C4" t="s">
        <v>134</v>
      </c>
      <c r="D4" s="3">
        <f>B4/I1</f>
        <v>313.17494600431968</v>
      </c>
      <c r="E4" t="s">
        <v>135</v>
      </c>
    </row>
    <row r="8" spans="1:10" x14ac:dyDescent="0.3">
      <c r="A8" t="s">
        <v>136</v>
      </c>
    </row>
    <row r="9" spans="1:10" x14ac:dyDescent="0.3">
      <c r="A9" t="s">
        <v>4</v>
      </c>
      <c r="B9">
        <v>0.6</v>
      </c>
    </row>
    <row r="18" spans="1:5" x14ac:dyDescent="0.3">
      <c r="A18" t="s">
        <v>109</v>
      </c>
      <c r="B18" s="3">
        <v>133</v>
      </c>
      <c r="C18" t="s">
        <v>112</v>
      </c>
      <c r="D18" s="9">
        <f>B18/1000000</f>
        <v>1.3300000000000001E-4</v>
      </c>
      <c r="E18" t="s">
        <v>76</v>
      </c>
    </row>
    <row r="19" spans="1:5" x14ac:dyDescent="0.3">
      <c r="A19" t="s">
        <v>110</v>
      </c>
      <c r="B19" s="13" t="s">
        <v>111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7"/>
  <sheetViews>
    <sheetView workbookViewId="0">
      <selection activeCell="F29" sqref="F29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80</v>
      </c>
      <c r="E1" t="s">
        <v>35</v>
      </c>
      <c r="G1">
        <f>1/110</f>
        <v>9.0909090909090905E-3</v>
      </c>
      <c r="H1" t="s">
        <v>100</v>
      </c>
      <c r="I1">
        <v>1.1000000000000001</v>
      </c>
      <c r="J1" t="s">
        <v>152</v>
      </c>
    </row>
    <row r="2" spans="1:10" x14ac:dyDescent="0.3">
      <c r="A2" s="2"/>
      <c r="B2" s="2"/>
      <c r="C2" s="10">
        <v>0.27779999999999999</v>
      </c>
      <c r="D2" s="2" t="s">
        <v>82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81</v>
      </c>
      <c r="G3">
        <f>C2*E3</f>
        <v>1395.7449839999999</v>
      </c>
      <c r="H3" t="s">
        <v>83</v>
      </c>
      <c r="I3">
        <f>(C3*C2)-I2</f>
        <v>29.436</v>
      </c>
      <c r="J3" t="s">
        <v>3</v>
      </c>
    </row>
    <row r="4" spans="1:10" x14ac:dyDescent="0.3">
      <c r="A4" t="s">
        <v>92</v>
      </c>
      <c r="C4">
        <v>9.31</v>
      </c>
      <c r="D4" t="s">
        <v>93</v>
      </c>
      <c r="E4">
        <f>C4/I3</f>
        <v>0.31627938578611225</v>
      </c>
      <c r="F4" t="s">
        <v>94</v>
      </c>
    </row>
    <row r="8" spans="1:10" x14ac:dyDescent="0.3">
      <c r="A8" t="s">
        <v>137</v>
      </c>
      <c r="B8">
        <v>2.5</v>
      </c>
      <c r="C8" t="s">
        <v>138</v>
      </c>
      <c r="D8">
        <f>B8*(365*24*60*60)</f>
        <v>78840000</v>
      </c>
      <c r="E8" t="s">
        <v>85</v>
      </c>
      <c r="F8">
        <f>(D8*I3/(1000000))</f>
        <v>2320.7342400000002</v>
      </c>
      <c r="G8" t="s">
        <v>139</v>
      </c>
      <c r="I8">
        <f>F8/8760</f>
        <v>0.26492400000000005</v>
      </c>
      <c r="J8" t="s">
        <v>155</v>
      </c>
    </row>
    <row r="9" spans="1:10" x14ac:dyDescent="0.3">
      <c r="A9" t="s">
        <v>240</v>
      </c>
      <c r="B9">
        <v>24</v>
      </c>
      <c r="C9" t="s">
        <v>138</v>
      </c>
      <c r="D9">
        <f>B9*B17*365*24*3600/1000000000</f>
        <v>22.705919999999999</v>
      </c>
    </row>
    <row r="11" spans="1:10" x14ac:dyDescent="0.3">
      <c r="A11" s="2" t="s">
        <v>140</v>
      </c>
      <c r="B11">
        <f>133815/1000</f>
        <v>133.815</v>
      </c>
      <c r="C11" t="s">
        <v>141</v>
      </c>
      <c r="D11">
        <f>B11/I8</f>
        <v>505.10712506228191</v>
      </c>
      <c r="E11" t="s">
        <v>142</v>
      </c>
      <c r="F11" s="16">
        <f>D11*I1</f>
        <v>555.61783756851014</v>
      </c>
      <c r="G11" t="s">
        <v>156</v>
      </c>
    </row>
    <row r="12" spans="1:10" x14ac:dyDescent="0.3">
      <c r="A12" s="2" t="s">
        <v>262</v>
      </c>
      <c r="B12">
        <f>450*I1</f>
        <v>495.00000000000006</v>
      </c>
      <c r="C12" t="s">
        <v>156</v>
      </c>
    </row>
    <row r="13" spans="1:10" x14ac:dyDescent="0.3">
      <c r="A13" s="2" t="s">
        <v>263</v>
      </c>
      <c r="B13">
        <f>B12/F11</f>
        <v>0.89090012330456247</v>
      </c>
    </row>
    <row r="14" spans="1:10" x14ac:dyDescent="0.3">
      <c r="A14" s="2" t="s">
        <v>264</v>
      </c>
      <c r="B14">
        <f>I8/B13</f>
        <v>0.29736666666666667</v>
      </c>
      <c r="D14">
        <f>B11/B14</f>
        <v>450</v>
      </c>
    </row>
    <row r="15" spans="1:10" x14ac:dyDescent="0.3">
      <c r="A15" s="25" t="s">
        <v>265</v>
      </c>
      <c r="B15" s="23">
        <f>F8/B13</f>
        <v>2604.9319999999998</v>
      </c>
      <c r="C15" s="23"/>
      <c r="D15" s="23"/>
      <c r="E15" s="24"/>
      <c r="F15" s="23"/>
      <c r="G15" s="23"/>
      <c r="H15" s="23"/>
      <c r="I15" s="23"/>
    </row>
    <row r="17" spans="1:11" x14ac:dyDescent="0.3">
      <c r="A17" s="2" t="s">
        <v>42</v>
      </c>
      <c r="B17">
        <v>30</v>
      </c>
      <c r="C17" t="s">
        <v>161</v>
      </c>
    </row>
    <row r="19" spans="1:11" x14ac:dyDescent="0.3">
      <c r="A19" s="2" t="s">
        <v>143</v>
      </c>
      <c r="D19" s="2" t="s">
        <v>148</v>
      </c>
      <c r="F19" s="2" t="s">
        <v>157</v>
      </c>
      <c r="I19" t="s">
        <v>158</v>
      </c>
      <c r="J19" t="s">
        <v>159</v>
      </c>
      <c r="K19" t="s">
        <v>166</v>
      </c>
    </row>
    <row r="20" spans="1:11" x14ac:dyDescent="0.3">
      <c r="A20" t="s">
        <v>144</v>
      </c>
      <c r="B20">
        <f>61753*1000</f>
        <v>61753000</v>
      </c>
      <c r="C20" t="s">
        <v>147</v>
      </c>
      <c r="D20">
        <v>20</v>
      </c>
      <c r="E20" t="s">
        <v>149</v>
      </c>
      <c r="F20">
        <f>B20/(D20*1000)</f>
        <v>3087.65</v>
      </c>
      <c r="G20" t="s">
        <v>24</v>
      </c>
      <c r="I20">
        <f>B15/F21</f>
        <v>73.44733082706766</v>
      </c>
      <c r="J20">
        <f>B15/(F21+F20)</f>
        <v>0.83408091276342533</v>
      </c>
      <c r="K20" s="16">
        <f>F21/F20</f>
        <v>1.1486621432696928E-2</v>
      </c>
    </row>
    <row r="21" spans="1:11" x14ac:dyDescent="0.3">
      <c r="A21" t="s">
        <v>145</v>
      </c>
      <c r="B21">
        <v>1064000</v>
      </c>
      <c r="C21" t="s">
        <v>147</v>
      </c>
      <c r="D21">
        <v>30</v>
      </c>
      <c r="E21" t="s">
        <v>149</v>
      </c>
      <c r="F21" s="2">
        <f>B21/(D21*1000)</f>
        <v>35.466666666666669</v>
      </c>
      <c r="G21" t="s">
        <v>24</v>
      </c>
    </row>
    <row r="22" spans="1:11" x14ac:dyDescent="0.3">
      <c r="F22" s="2"/>
    </row>
    <row r="23" spans="1:11" x14ac:dyDescent="0.3">
      <c r="A23" t="s">
        <v>146</v>
      </c>
      <c r="B23">
        <v>1089000</v>
      </c>
      <c r="C23" t="s">
        <v>147</v>
      </c>
      <c r="D23">
        <f>B23/1000000</f>
        <v>1.089</v>
      </c>
      <c r="E23" t="s">
        <v>153</v>
      </c>
    </row>
    <row r="25" spans="1:11" x14ac:dyDescent="0.3">
      <c r="A25" t="s">
        <v>150</v>
      </c>
      <c r="B25">
        <v>12</v>
      </c>
      <c r="C25" t="s">
        <v>138</v>
      </c>
    </row>
    <row r="26" spans="1:11" x14ac:dyDescent="0.3">
      <c r="B26">
        <f>B25*(365*24*60*60)</f>
        <v>378432000</v>
      </c>
      <c r="C26" t="s">
        <v>85</v>
      </c>
    </row>
    <row r="27" spans="1:11" x14ac:dyDescent="0.3">
      <c r="B27">
        <f>B26*0.3</f>
        <v>113529600</v>
      </c>
      <c r="C27" t="s">
        <v>116</v>
      </c>
      <c r="D27">
        <f>B27*G1/(1000000)</f>
        <v>1.0320872727272727</v>
      </c>
      <c r="E27" t="s">
        <v>151</v>
      </c>
      <c r="F27">
        <f>D27/I1</f>
        <v>0.93826115702479329</v>
      </c>
      <c r="G27" t="s">
        <v>153</v>
      </c>
    </row>
    <row r="29" spans="1:11" x14ac:dyDescent="0.3">
      <c r="A29" s="2" t="s">
        <v>184</v>
      </c>
      <c r="B29">
        <f>(B20/1000000)+F27</f>
        <v>62.69126115702479</v>
      </c>
      <c r="C29" t="s">
        <v>153</v>
      </c>
      <c r="D29">
        <f>B29*I1</f>
        <v>68.960387272727274</v>
      </c>
      <c r="E29" t="s">
        <v>151</v>
      </c>
      <c r="F29" s="16">
        <f>D29/B15</f>
        <v>2.6473008613171967E-2</v>
      </c>
      <c r="G29" t="s">
        <v>41</v>
      </c>
    </row>
    <row r="30" spans="1:11" x14ac:dyDescent="0.3">
      <c r="A30" s="14" t="s">
        <v>168</v>
      </c>
    </row>
    <row r="32" spans="1:11" x14ac:dyDescent="0.3">
      <c r="A32" s="2" t="s">
        <v>154</v>
      </c>
      <c r="B32">
        <f>D23</f>
        <v>1.089</v>
      </c>
      <c r="C32" t="s">
        <v>153</v>
      </c>
      <c r="D32">
        <f>B32*I1</f>
        <v>1.1979</v>
      </c>
      <c r="E32" t="s">
        <v>151</v>
      </c>
      <c r="F32" s="16">
        <f>D32/B14</f>
        <v>4.028360049321825</v>
      </c>
      <c r="G32" t="s">
        <v>156</v>
      </c>
    </row>
    <row r="33" spans="1:4" x14ac:dyDescent="0.3">
      <c r="A33" s="15" t="s">
        <v>185</v>
      </c>
    </row>
    <row r="35" spans="1:4" x14ac:dyDescent="0.3">
      <c r="A35" s="2" t="s">
        <v>160</v>
      </c>
      <c r="B35">
        <f>F8*B17*1000</f>
        <v>69622027.200000018</v>
      </c>
      <c r="C35" t="s">
        <v>162</v>
      </c>
      <c r="D35">
        <f>D9/(B35/1000)</f>
        <v>3.2613126783530364E-4</v>
      </c>
    </row>
    <row r="36" spans="1:4" x14ac:dyDescent="0.3">
      <c r="A36" s="2" t="s">
        <v>163</v>
      </c>
      <c r="B36">
        <f>(B11*1000000)+(70005000*B17)</f>
        <v>2233965000</v>
      </c>
      <c r="C36" t="s">
        <v>164</v>
      </c>
    </row>
    <row r="37" spans="1:4" x14ac:dyDescent="0.3">
      <c r="A37" s="25" t="s">
        <v>165</v>
      </c>
      <c r="B37" s="23">
        <f>B36/B35</f>
        <v>32.08704327988886</v>
      </c>
      <c r="C37" s="23" t="s">
        <v>149</v>
      </c>
      <c r="D37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CCS_Kato</vt:lpstr>
      <vt:lpstr>CCS_Rubin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Simons_PEMFC</vt:lpstr>
      <vt:lpstr>EIA_LCOE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2020-04-12T01:02:18Z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