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FA3532B8-A0FA-42D3-8C5A-D8A0481D34A4}" xr6:coauthVersionLast="44" xr6:coauthVersionMax="44" xr10:uidLastSave="{00000000-0000-0000-0000-000000000000}"/>
  <bookViews>
    <workbookView xWindow="28680" yWindow="-120" windowWidth="29040" windowHeight="15840" activeTab="1" xr2:uid="{ECBC9880-2B97-44EA-9887-629A306A84A1}"/>
  </bookViews>
  <sheets>
    <sheet name="CCS_Costs_Early" sheetId="14" r:id="rId1"/>
    <sheet name="CCS_Costs_Mature" sheetId="15" r:id="rId2"/>
    <sheet name="CCS reservoir trends" sheetId="13" r:id="rId3"/>
    <sheet name="JHFC" sheetId="1" r:id="rId4"/>
    <sheet name="Acar and Dincer" sheetId="6" r:id="rId5"/>
    <sheet name="H2 Steam Reforming" sheetId="3" r:id="rId6"/>
    <sheet name="Photocatalytic H2" sheetId="4" r:id="rId7"/>
    <sheet name="Kato_H2" sheetId="7" r:id="rId8"/>
    <sheet name="Keipi_SMR" sheetId="5" r:id="rId9"/>
    <sheet name="GARBAGE_KEIPI_CCSSMR" sheetId="9" r:id="rId10"/>
    <sheet name="Keipi_electrolysis" sheetId="8" r:id="rId11"/>
    <sheet name="Simons_PEMFC" sheetId="10" r:id="rId12"/>
    <sheet name="EIA_LCOE" sheetId="11" r:id="rId13"/>
    <sheet name="Sheet1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5" l="1"/>
  <c r="D29" i="15"/>
  <c r="B32" i="14"/>
  <c r="B37" i="15"/>
  <c r="K39" i="15" s="1"/>
  <c r="B36" i="15"/>
  <c r="K15" i="15" s="1"/>
  <c r="B35" i="15"/>
  <c r="K28" i="15" s="1"/>
  <c r="B32" i="15"/>
  <c r="C21" i="15"/>
  <c r="B21" i="15"/>
  <c r="B22" i="15" s="1"/>
  <c r="K14" i="15"/>
  <c r="L14" i="15" s="1"/>
  <c r="K13" i="15"/>
  <c r="B13" i="15"/>
  <c r="B14" i="15" s="1"/>
  <c r="B15" i="15" s="1"/>
  <c r="K11" i="15"/>
  <c r="L11" i="15" s="1"/>
  <c r="C11" i="15"/>
  <c r="B11" i="15"/>
  <c r="K10" i="15"/>
  <c r="K9" i="15"/>
  <c r="K8" i="15"/>
  <c r="B8" i="15"/>
  <c r="B12" i="15" s="1"/>
  <c r="B7" i="15"/>
  <c r="K6" i="15"/>
  <c r="K5" i="15"/>
  <c r="C4" i="15"/>
  <c r="K1" i="15"/>
  <c r="P33" i="14"/>
  <c r="O34" i="14"/>
  <c r="O35" i="14"/>
  <c r="O36" i="14"/>
  <c r="O37" i="14"/>
  <c r="O38" i="14"/>
  <c r="O39" i="14"/>
  <c r="O40" i="14"/>
  <c r="O41" i="14"/>
  <c r="O42" i="14"/>
  <c r="O43" i="14"/>
  <c r="O33" i="14"/>
  <c r="O20" i="14"/>
  <c r="P20" i="14" s="1"/>
  <c r="O21" i="14"/>
  <c r="P21" i="14" s="1"/>
  <c r="O22" i="14"/>
  <c r="P22" i="14" s="1"/>
  <c r="O23" i="14"/>
  <c r="P23" i="14" s="1"/>
  <c r="O24" i="14"/>
  <c r="O25" i="14"/>
  <c r="O26" i="14"/>
  <c r="P26" i="14" s="1"/>
  <c r="O27" i="14"/>
  <c r="P27" i="14" s="1"/>
  <c r="O28" i="14"/>
  <c r="P28" i="14" s="1"/>
  <c r="O29" i="14"/>
  <c r="P29" i="14" s="1"/>
  <c r="O19" i="14"/>
  <c r="P19" i="14" s="1"/>
  <c r="P24" i="14"/>
  <c r="P25" i="14"/>
  <c r="P5" i="14"/>
  <c r="D30" i="14"/>
  <c r="D29" i="14"/>
  <c r="C21" i="14"/>
  <c r="B21" i="14"/>
  <c r="M9" i="14" s="1"/>
  <c r="L5" i="14"/>
  <c r="M5" i="15" l="1"/>
  <c r="P5" i="15" s="1"/>
  <c r="M13" i="15"/>
  <c r="P13" i="15" s="1"/>
  <c r="M6" i="15"/>
  <c r="P6" i="15" s="1"/>
  <c r="M8" i="15"/>
  <c r="P8" i="15" s="1"/>
  <c r="M9" i="15"/>
  <c r="P9" i="15" s="1"/>
  <c r="M10" i="15"/>
  <c r="P10" i="15" s="1"/>
  <c r="L9" i="15"/>
  <c r="O13" i="15"/>
  <c r="O10" i="15"/>
  <c r="O28" i="15"/>
  <c r="P28" i="15" s="1"/>
  <c r="M15" i="15"/>
  <c r="P15" i="15" s="1"/>
  <c r="L15" i="15"/>
  <c r="N15" i="15" s="1"/>
  <c r="O15" i="15" s="1"/>
  <c r="O39" i="15"/>
  <c r="L39" i="15"/>
  <c r="N39" i="15" s="1"/>
  <c r="L6" i="15"/>
  <c r="N6" i="15" s="1"/>
  <c r="O6" i="15" s="1"/>
  <c r="K40" i="15"/>
  <c r="L8" i="15"/>
  <c r="L10" i="15"/>
  <c r="N10" i="15" s="1"/>
  <c r="L13" i="15"/>
  <c r="N13" i="15" s="1"/>
  <c r="K23" i="15"/>
  <c r="K25" i="15"/>
  <c r="K27" i="15"/>
  <c r="K37" i="15"/>
  <c r="M14" i="15"/>
  <c r="P14" i="15" s="1"/>
  <c r="K29" i="15"/>
  <c r="K38" i="15"/>
  <c r="K21" i="15"/>
  <c r="L5" i="15"/>
  <c r="N5" i="15" s="1"/>
  <c r="O5" i="15" s="1"/>
  <c r="K34" i="15"/>
  <c r="K36" i="15"/>
  <c r="K43" i="15"/>
  <c r="K7" i="15"/>
  <c r="K12" i="15"/>
  <c r="K20" i="15"/>
  <c r="C13" i="15"/>
  <c r="C7" i="15"/>
  <c r="C8" i="15" s="1"/>
  <c r="C12" i="15" s="1"/>
  <c r="L28" i="15" s="1"/>
  <c r="K41" i="15"/>
  <c r="K35" i="15"/>
  <c r="M11" i="15"/>
  <c r="P11" i="15" s="1"/>
  <c r="K33" i="15"/>
  <c r="K19" i="15"/>
  <c r="K42" i="15"/>
  <c r="K22" i="15"/>
  <c r="K24" i="15"/>
  <c r="K26" i="15"/>
  <c r="P9" i="14"/>
  <c r="M15" i="14"/>
  <c r="P15" i="14" s="1"/>
  <c r="M6" i="14"/>
  <c r="P6" i="14" s="1"/>
  <c r="M5" i="14"/>
  <c r="M14" i="14"/>
  <c r="P14" i="14" s="1"/>
  <c r="M12" i="14"/>
  <c r="P12" i="14" s="1"/>
  <c r="M10" i="14"/>
  <c r="P10" i="14" s="1"/>
  <c r="M8" i="14"/>
  <c r="P8" i="14" s="1"/>
  <c r="M7" i="14"/>
  <c r="P7" i="14" s="1"/>
  <c r="M13" i="14"/>
  <c r="P13" i="14" s="1"/>
  <c r="M11" i="14"/>
  <c r="P11" i="14" s="1"/>
  <c r="L9" i="8"/>
  <c r="B19" i="8"/>
  <c r="B20" i="8"/>
  <c r="J14" i="8"/>
  <c r="M28" i="15" l="1"/>
  <c r="M7" i="15"/>
  <c r="P7" i="15" s="1"/>
  <c r="L7" i="15"/>
  <c r="N7" i="15" s="1"/>
  <c r="O7" i="15" s="1"/>
  <c r="O34" i="15"/>
  <c r="L34" i="15"/>
  <c r="N34" i="15" s="1"/>
  <c r="M12" i="15"/>
  <c r="P12" i="15" s="1"/>
  <c r="L12" i="15"/>
  <c r="N12" i="15" s="1"/>
  <c r="O12" i="15" s="1"/>
  <c r="O37" i="15"/>
  <c r="L37" i="15"/>
  <c r="N37" i="15" s="1"/>
  <c r="O43" i="15"/>
  <c r="L43" i="15"/>
  <c r="N43" i="15" s="1"/>
  <c r="O36" i="15"/>
  <c r="L36" i="15"/>
  <c r="N36" i="15" s="1"/>
  <c r="O24" i="15"/>
  <c r="P24" i="15" s="1"/>
  <c r="L24" i="15"/>
  <c r="M24" i="15" s="1"/>
  <c r="O35" i="15"/>
  <c r="L35" i="15"/>
  <c r="N35" i="15" s="1"/>
  <c r="O25" i="15"/>
  <c r="P25" i="15" s="1"/>
  <c r="L25" i="15"/>
  <c r="M25" i="15" s="1"/>
  <c r="P39" i="15" s="1"/>
  <c r="O23" i="15"/>
  <c r="P23" i="15" s="1"/>
  <c r="L23" i="15"/>
  <c r="M23" i="15" s="1"/>
  <c r="L26" i="15"/>
  <c r="M26" i="15" s="1"/>
  <c r="O26" i="15"/>
  <c r="P26" i="15" s="1"/>
  <c r="L33" i="15"/>
  <c r="N33" i="15" s="1"/>
  <c r="O33" i="15"/>
  <c r="O27" i="15"/>
  <c r="P27" i="15" s="1"/>
  <c r="L27" i="15"/>
  <c r="M27" i="15" s="1"/>
  <c r="O41" i="15"/>
  <c r="L41" i="15"/>
  <c r="N41" i="15" s="1"/>
  <c r="O21" i="15"/>
  <c r="P21" i="15" s="1"/>
  <c r="L21" i="15"/>
  <c r="M21" i="15" s="1"/>
  <c r="O22" i="15"/>
  <c r="P22" i="15" s="1"/>
  <c r="L22" i="15"/>
  <c r="M22" i="15" s="1"/>
  <c r="C14" i="15"/>
  <c r="C15" i="15" s="1"/>
  <c r="O38" i="15"/>
  <c r="L38" i="15"/>
  <c r="N38" i="15" s="1"/>
  <c r="N8" i="15"/>
  <c r="O8" i="15" s="1"/>
  <c r="N9" i="15"/>
  <c r="O9" i="15" s="1"/>
  <c r="L42" i="15"/>
  <c r="N42" i="15" s="1"/>
  <c r="O42" i="15"/>
  <c r="O29" i="15"/>
  <c r="P29" i="15" s="1"/>
  <c r="L29" i="15"/>
  <c r="M29" i="15" s="1"/>
  <c r="N11" i="15"/>
  <c r="O11" i="15" s="1"/>
  <c r="L19" i="15"/>
  <c r="M19" i="15" s="1"/>
  <c r="O19" i="15"/>
  <c r="P19" i="15" s="1"/>
  <c r="L20" i="15"/>
  <c r="M20" i="15" s="1"/>
  <c r="O20" i="15"/>
  <c r="P20" i="15" s="1"/>
  <c r="O40" i="15"/>
  <c r="L40" i="15"/>
  <c r="N40" i="15" s="1"/>
  <c r="N14" i="15"/>
  <c r="O14" i="15" s="1"/>
  <c r="B21" i="8"/>
  <c r="G20" i="8"/>
  <c r="N33" i="14"/>
  <c r="L33" i="14"/>
  <c r="F29" i="5"/>
  <c r="F32" i="5"/>
  <c r="D35" i="5"/>
  <c r="D9" i="5"/>
  <c r="K20" i="5"/>
  <c r="J20" i="5"/>
  <c r="I20" i="5"/>
  <c r="F20" i="5"/>
  <c r="D8" i="5"/>
  <c r="F8" i="5" s="1"/>
  <c r="I3" i="5"/>
  <c r="B12" i="5"/>
  <c r="P37" i="15" l="1"/>
  <c r="P34" i="15"/>
  <c r="P42" i="15"/>
  <c r="P35" i="15"/>
  <c r="P43" i="15"/>
  <c r="P40" i="15"/>
  <c r="N20" i="15"/>
  <c r="N24" i="15"/>
  <c r="N29" i="15"/>
  <c r="N28" i="15"/>
  <c r="N27" i="15"/>
  <c r="N25" i="15"/>
  <c r="N23" i="15"/>
  <c r="N21" i="15"/>
  <c r="N26" i="15"/>
  <c r="N19" i="15"/>
  <c r="N22" i="15"/>
  <c r="P33" i="15"/>
  <c r="P36" i="15"/>
  <c r="P38" i="15"/>
  <c r="P41" i="15"/>
  <c r="I8" i="5"/>
  <c r="C11" i="14" l="1"/>
  <c r="B11" i="14"/>
  <c r="B36" i="14"/>
  <c r="K43" i="14" l="1"/>
  <c r="B13" i="14"/>
  <c r="K8" i="14"/>
  <c r="K9" i="14"/>
  <c r="K10" i="14"/>
  <c r="K11" i="14"/>
  <c r="K13" i="14"/>
  <c r="K14" i="14"/>
  <c r="K15" i="14"/>
  <c r="C4" i="14"/>
  <c r="K12" i="14"/>
  <c r="B37" i="14"/>
  <c r="K39" i="14" s="1"/>
  <c r="B35" i="14"/>
  <c r="K29" i="14" s="1"/>
  <c r="K1" i="14"/>
  <c r="F12" i="9"/>
  <c r="F10" i="9"/>
  <c r="F11" i="9"/>
  <c r="F9" i="9"/>
  <c r="F28" i="9"/>
  <c r="D10" i="9"/>
  <c r="D11" i="9"/>
  <c r="D9" i="9"/>
  <c r="E9" i="13"/>
  <c r="E8" i="13"/>
  <c r="E7" i="13"/>
  <c r="E6" i="13"/>
  <c r="E5" i="13"/>
  <c r="E4" i="13"/>
  <c r="E3" i="13"/>
  <c r="E2" i="13"/>
  <c r="P37" i="14" l="1"/>
  <c r="P42" i="14"/>
  <c r="P35" i="14"/>
  <c r="P36" i="14"/>
  <c r="P38" i="14"/>
  <c r="P40" i="14"/>
  <c r="P43" i="14"/>
  <c r="P39" i="14"/>
  <c r="P41" i="14"/>
  <c r="P34" i="14"/>
  <c r="K38" i="14"/>
  <c r="K42" i="14"/>
  <c r="K23" i="14"/>
  <c r="K22" i="14"/>
  <c r="K37" i="14"/>
  <c r="K28" i="14"/>
  <c r="L28" i="14" s="1"/>
  <c r="K21" i="14"/>
  <c r="K36" i="14"/>
  <c r="K41" i="14"/>
  <c r="K20" i="14"/>
  <c r="K35" i="14"/>
  <c r="K25" i="14"/>
  <c r="K24" i="14"/>
  <c r="K34" i="14"/>
  <c r="K40" i="14"/>
  <c r="K19" i="14"/>
  <c r="K33" i="14"/>
  <c r="K27" i="14"/>
  <c r="K26" i="14"/>
  <c r="B22" i="14"/>
  <c r="K7" i="14"/>
  <c r="B7" i="14"/>
  <c r="K6" i="14"/>
  <c r="C7" i="14"/>
  <c r="C8" i="14" s="1"/>
  <c r="C12" i="14" s="1"/>
  <c r="L22" i="14" s="1"/>
  <c r="K5" i="14"/>
  <c r="C13" i="14"/>
  <c r="E15" i="11"/>
  <c r="E14" i="11"/>
  <c r="E13" i="11"/>
  <c r="E12" i="11"/>
  <c r="G5" i="11"/>
  <c r="L20" i="14" l="1"/>
  <c r="L25" i="14"/>
  <c r="L26" i="14"/>
  <c r="L29" i="14"/>
  <c r="C14" i="14"/>
  <c r="C15" i="14" s="1"/>
  <c r="L19" i="14"/>
  <c r="L21" i="14"/>
  <c r="L24" i="14"/>
  <c r="M24" i="14" s="1"/>
  <c r="L23" i="14"/>
  <c r="B8" i="14"/>
  <c r="B12" i="14" s="1"/>
  <c r="L27" i="14"/>
  <c r="D15" i="11"/>
  <c r="D14" i="11"/>
  <c r="D13" i="11"/>
  <c r="D12" i="11"/>
  <c r="G7" i="11"/>
  <c r="G6" i="11"/>
  <c r="B7" i="11"/>
  <c r="B5" i="11"/>
  <c r="B6" i="11"/>
  <c r="E7" i="11"/>
  <c r="E6" i="11"/>
  <c r="E5" i="11"/>
  <c r="C7" i="11"/>
  <c r="C6" i="11"/>
  <c r="C5" i="11"/>
  <c r="E25" i="8"/>
  <c r="E24" i="8"/>
  <c r="J3" i="8"/>
  <c r="J2" i="8"/>
  <c r="M21" i="14" l="1"/>
  <c r="N21" i="14" s="1"/>
  <c r="M19" i="14"/>
  <c r="N19" i="14" s="1"/>
  <c r="M29" i="14"/>
  <c r="N29" i="14" s="1"/>
  <c r="M27" i="14"/>
  <c r="N27" i="14" s="1"/>
  <c r="M26" i="14"/>
  <c r="N26" i="14" s="1"/>
  <c r="M25" i="14"/>
  <c r="N25" i="14" s="1"/>
  <c r="M28" i="14"/>
  <c r="N28" i="14" s="1"/>
  <c r="M20" i="14"/>
  <c r="M23" i="14"/>
  <c r="L43" i="14"/>
  <c r="N43" i="14" s="1"/>
  <c r="L42" i="14"/>
  <c r="N42" i="14" s="1"/>
  <c r="L41" i="14"/>
  <c r="N41" i="14" s="1"/>
  <c r="L12" i="14"/>
  <c r="L13" i="14"/>
  <c r="B14" i="14"/>
  <c r="B15" i="14" s="1"/>
  <c r="L35" i="14"/>
  <c r="N35" i="14" s="1"/>
  <c r="L11" i="14"/>
  <c r="L10" i="14"/>
  <c r="N10" i="14" s="1"/>
  <c r="L34" i="14"/>
  <c r="N34" i="14" s="1"/>
  <c r="L39" i="14"/>
  <c r="N39" i="14" s="1"/>
  <c r="L9" i="14"/>
  <c r="N9" i="14" s="1"/>
  <c r="L40" i="14"/>
  <c r="N40" i="14" s="1"/>
  <c r="L15" i="14"/>
  <c r="L38" i="14"/>
  <c r="N38" i="14" s="1"/>
  <c r="L37" i="14"/>
  <c r="N37" i="14" s="1"/>
  <c r="L36" i="14"/>
  <c r="N36" i="14" s="1"/>
  <c r="L8" i="14"/>
  <c r="L14" i="14"/>
  <c r="L7" i="14"/>
  <c r="N7" i="14" s="1"/>
  <c r="N5" i="14"/>
  <c r="L6" i="14"/>
  <c r="N6" i="14" s="1"/>
  <c r="N20" i="14"/>
  <c r="N23" i="14"/>
  <c r="N24" i="14"/>
  <c r="M22" i="14"/>
  <c r="N22" i="14" s="1"/>
  <c r="F5" i="10"/>
  <c r="F4" i="10"/>
  <c r="C3" i="10"/>
  <c r="F2" i="10"/>
  <c r="I5" i="10"/>
  <c r="C5" i="10"/>
  <c r="C4" i="10"/>
  <c r="N11" i="14" l="1"/>
  <c r="O11" i="14" s="1"/>
  <c r="N8" i="14"/>
  <c r="O8" i="14" s="1"/>
  <c r="N12" i="14"/>
  <c r="O12" i="14" s="1"/>
  <c r="O10" i="14"/>
  <c r="O5" i="14"/>
  <c r="O9" i="14"/>
  <c r="O7" i="14"/>
  <c r="O6" i="14"/>
  <c r="N14" i="14"/>
  <c r="O14" i="14" s="1"/>
  <c r="N13" i="14"/>
  <c r="O13" i="14" s="1"/>
  <c r="N15" i="14"/>
  <c r="O15" i="14" s="1"/>
  <c r="B28" i="9"/>
  <c r="B35" i="9"/>
  <c r="B22" i="9"/>
  <c r="B18" i="9"/>
  <c r="H19" i="9" l="1"/>
  <c r="H18" i="9"/>
  <c r="D42" i="9"/>
  <c r="B41" i="9"/>
  <c r="B25" i="9"/>
  <c r="B26" i="9" s="1"/>
  <c r="D26" i="9" s="1"/>
  <c r="F26" i="9" s="1"/>
  <c r="D28" i="9" s="1"/>
  <c r="D21" i="9"/>
  <c r="B31" i="9" s="1"/>
  <c r="D31" i="9" s="1"/>
  <c r="J18" i="9"/>
  <c r="B39" i="9"/>
  <c r="B43" i="9" s="1"/>
  <c r="F20" i="9" s="1"/>
  <c r="J19" i="9" s="1"/>
  <c r="I3" i="9"/>
  <c r="E4" i="9" s="1"/>
  <c r="E3" i="9"/>
  <c r="G3" i="9" s="1"/>
  <c r="G1" i="9"/>
  <c r="E41" i="9" l="1"/>
  <c r="J23" i="9"/>
  <c r="H23" i="9"/>
  <c r="I23" i="9"/>
  <c r="I9" i="9"/>
  <c r="D14" i="9" s="1"/>
  <c r="F14" i="9" s="1"/>
  <c r="B34" i="9"/>
  <c r="B36" i="9" s="1"/>
  <c r="G4" i="8"/>
  <c r="E4" i="8"/>
  <c r="B12" i="8"/>
  <c r="L10" i="8"/>
  <c r="D16" i="8" s="1"/>
  <c r="D23" i="5"/>
  <c r="B32" i="5" s="1"/>
  <c r="F10" i="8"/>
  <c r="F11" i="8"/>
  <c r="D10" i="8"/>
  <c r="B10" i="8"/>
  <c r="B2" i="8"/>
  <c r="B26" i="5"/>
  <c r="B27" i="5" s="1"/>
  <c r="D27" i="5" s="1"/>
  <c r="F27" i="5" s="1"/>
  <c r="J9" i="8"/>
  <c r="B9" i="8"/>
  <c r="B20" i="5"/>
  <c r="F21" i="5"/>
  <c r="B11" i="5"/>
  <c r="E4" i="5"/>
  <c r="E3" i="5"/>
  <c r="G3" i="5" s="1"/>
  <c r="G1" i="5"/>
  <c r="D4" i="7"/>
  <c r="D18" i="7"/>
  <c r="H13" i="1"/>
  <c r="D6" i="8" l="1"/>
  <c r="F6" i="8" s="1"/>
  <c r="B36" i="5"/>
  <c r="B29" i="5"/>
  <c r="F31" i="9"/>
  <c r="D32" i="5"/>
  <c r="I27" i="1"/>
  <c r="G26" i="1"/>
  <c r="G28" i="1" s="1"/>
  <c r="G25" i="1"/>
  <c r="I24" i="1"/>
  <c r="D25" i="1"/>
  <c r="D24" i="1"/>
  <c r="B24" i="1"/>
  <c r="B23" i="1"/>
  <c r="B22" i="1"/>
  <c r="B21" i="1"/>
  <c r="B20" i="1"/>
  <c r="D29" i="1"/>
  <c r="F10" i="1"/>
  <c r="D10" i="1"/>
  <c r="B10" i="1"/>
  <c r="N11" i="1"/>
  <c r="B17" i="1"/>
  <c r="F16" i="1"/>
  <c r="D16" i="1"/>
  <c r="F14" i="1"/>
  <c r="F15" i="1"/>
  <c r="F13" i="1"/>
  <c r="D15" i="1"/>
  <c r="D14" i="1"/>
  <c r="D13" i="1"/>
  <c r="K2" i="1"/>
  <c r="L11" i="1"/>
  <c r="L10" i="1"/>
  <c r="I5" i="1"/>
  <c r="M4" i="1"/>
  <c r="K4" i="1"/>
  <c r="I4" i="1"/>
  <c r="B9" i="1"/>
  <c r="N8" i="1"/>
  <c r="B35" i="5" l="1"/>
  <c r="B37" i="5" s="1"/>
  <c r="D29" i="5"/>
  <c r="D11" i="5" l="1"/>
  <c r="F11" i="5"/>
  <c r="B13" i="5" s="1"/>
  <c r="B15" i="5" l="1"/>
  <c r="B14" i="5"/>
  <c r="D14" i="5" s="1"/>
  <c r="F3" i="4"/>
  <c r="F2" i="4"/>
  <c r="O6" i="3"/>
  <c r="D8" i="3" l="1"/>
  <c r="C8" i="3"/>
  <c r="B15" i="3"/>
  <c r="B5" i="3" l="1"/>
  <c r="G5" i="3" s="1"/>
  <c r="I2" i="3"/>
  <c r="I6" i="3" s="1"/>
  <c r="I7" i="3" s="1"/>
  <c r="G8" i="3"/>
  <c r="B7" i="3"/>
  <c r="G7" i="3" s="1"/>
  <c r="B6" i="3"/>
  <c r="G6" i="3" s="1"/>
  <c r="G9" i="3" l="1"/>
  <c r="C5" i="3"/>
  <c r="D5" i="3" l="1"/>
  <c r="C9" i="3"/>
  <c r="L5" i="3" s="1"/>
  <c r="L6" i="3" s="1"/>
  <c r="F16" i="3" l="1"/>
  <c r="G16" i="3" s="1"/>
  <c r="Q5" i="3" s="1"/>
  <c r="E8" i="3"/>
  <c r="N9" i="3"/>
  <c r="P5" i="3"/>
  <c r="P6" i="3" s="1"/>
  <c r="D9" i="3"/>
  <c r="E15" i="3"/>
  <c r="M5" i="3"/>
  <c r="G11" i="3" s="1"/>
  <c r="N7" i="3" l="1"/>
  <c r="E6" i="3"/>
  <c r="E5" i="3"/>
</calcChain>
</file>

<file path=xl/sharedStrings.xml><?xml version="1.0" encoding="utf-8"?>
<sst xmlns="http://schemas.openxmlformats.org/spreadsheetml/2006/main" count="565" uniqueCount="256">
  <si>
    <t>H2 Method</t>
  </si>
  <si>
    <t>H2 energy density</t>
  </si>
  <si>
    <t>MJ/kg</t>
  </si>
  <si>
    <t>kWh/kg</t>
  </si>
  <si>
    <t>Efficiency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</si>
  <si>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</si>
  <si>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</si>
  <si>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</si>
  <si>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</si>
  <si>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</si>
  <si>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</si>
  <si>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</si>
  <si>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</si>
  <si>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</si>
  <si>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CCU</t>
  </si>
  <si>
    <t>MUSD/Mt</t>
  </si>
  <si>
    <t>Liquefaction</t>
  </si>
  <si>
    <t>Total</t>
  </si>
  <si>
    <t>GWh/Mt</t>
  </si>
  <si>
    <t>Injection</t>
  </si>
  <si>
    <t>JPY/USD</t>
  </si>
  <si>
    <t>m3</t>
  </si>
  <si>
    <t>GWh</t>
  </si>
  <si>
    <t>Mt</t>
  </si>
  <si>
    <t>Transport</t>
  </si>
  <si>
    <t>1 MJ</t>
  </si>
  <si>
    <t>MJ/tCO2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</si>
  <si>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</si>
  <si>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</si>
  <si>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</si>
  <si>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</si>
  <si>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</si>
  <si>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</si>
  <si>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</si>
  <si>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</si>
  <si>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</si>
  <si>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</si>
  <si>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</si>
  <si>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</si>
  <si>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</si>
  <si>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</si>
  <si>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</si>
  <si>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</si>
  <si>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</si>
  <si>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</si>
  <si>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</si>
  <si>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</si>
  <si>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</si>
  <si>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</si>
  <si>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</si>
  <si>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</si>
  <si>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</si>
  <si>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</si>
  <si>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</si>
  <si>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</si>
  <si>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</si>
  <si>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</si>
  <si>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</si>
  <si>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I2CNER Target</t>
  </si>
  <si>
    <t>20% efficiency</t>
  </si>
  <si>
    <t>Acar and Dincer(2014)</t>
  </si>
  <si>
    <t>9$/kg</t>
  </si>
  <si>
    <t>1.5$/kg</t>
  </si>
  <si>
    <t>Investment Cost</t>
  </si>
  <si>
    <t>No data</t>
  </si>
  <si>
    <t>Cost( JPY/unit)</t>
  </si>
  <si>
    <t>ELC share</t>
  </si>
  <si>
    <t>ELC/LNG:</t>
  </si>
  <si>
    <t>LNG input only:</t>
  </si>
  <si>
    <t>LNG</t>
  </si>
  <si>
    <t>Mt/GWh</t>
  </si>
  <si>
    <t>based on competitive cost of h2/elc projections</t>
  </si>
  <si>
    <t>No emissions due to high energy density, uses less steel/concrete than nuclear</t>
  </si>
  <si>
    <t>no data on emissions intensity anyway :(</t>
  </si>
  <si>
    <t>kg/Nm3</t>
  </si>
  <si>
    <t>MJ/Nm3</t>
  </si>
  <si>
    <t>kWh/MJ</t>
  </si>
  <si>
    <t>kWh/Nm3</t>
  </si>
  <si>
    <t>Nm3/yr</t>
  </si>
  <si>
    <t>kg/yr</t>
  </si>
  <si>
    <t>ELC input</t>
  </si>
  <si>
    <t>Clean Water</t>
  </si>
  <si>
    <t>Waste Water</t>
  </si>
  <si>
    <t>kg</t>
  </si>
  <si>
    <t>kWh</t>
  </si>
  <si>
    <t>Investment cost</t>
  </si>
  <si>
    <t>ELC/kg H2</t>
  </si>
  <si>
    <t>kWh/kgH2</t>
  </si>
  <si>
    <t>kWhe/kWh-H2</t>
  </si>
  <si>
    <t>Annual Stats</t>
  </si>
  <si>
    <t>Output H2</t>
  </si>
  <si>
    <t>ELC  based H2output</t>
  </si>
  <si>
    <t>H2 OP ELC worth</t>
  </si>
  <si>
    <t>JPY</t>
  </si>
  <si>
    <t>USD/JPY</t>
  </si>
  <si>
    <t>USD</t>
  </si>
  <si>
    <t>USD/kWh-H2</t>
  </si>
  <si>
    <t>Cost</t>
  </si>
  <si>
    <t>yen</t>
  </si>
  <si>
    <t>kW/yr</t>
  </si>
  <si>
    <t>$/kWh</t>
  </si>
  <si>
    <t>$/kWh-cap</t>
  </si>
  <si>
    <t>$/kW</t>
  </si>
  <si>
    <t>Emissions</t>
  </si>
  <si>
    <t>source</t>
  </si>
  <si>
    <t>https://www.sciencedirect.com/science/article/pii/S0196890417312153</t>
  </si>
  <si>
    <t>kg/MWh-H2</t>
  </si>
  <si>
    <t>Variable O&amp;M Costs</t>
  </si>
  <si>
    <t>Fixed O&amp;M Costs</t>
  </si>
  <si>
    <t>Labour</t>
  </si>
  <si>
    <t>JPY/yr</t>
  </si>
  <si>
    <t>Repair</t>
  </si>
  <si>
    <t>https://www.topsoe.com/sites/default/files/topsoe_large_scale_hydrogen_produc.pdf</t>
  </si>
  <si>
    <t>20 y @13h/d</t>
  </si>
  <si>
    <t>Insurance</t>
  </si>
  <si>
    <t>Tax</t>
  </si>
  <si>
    <t>USD/yr</t>
  </si>
  <si>
    <t>FOM Cost</t>
  </si>
  <si>
    <t>AF</t>
  </si>
  <si>
    <t>total h2</t>
  </si>
  <si>
    <t>Total cost</t>
  </si>
  <si>
    <t>ELC input for 1 kg of H2</t>
  </si>
  <si>
    <t>Cost of H2</t>
  </si>
  <si>
    <t>$/kg</t>
  </si>
  <si>
    <t>ELC to H2 direct conversion</t>
  </si>
  <si>
    <t>Steam Reforming</t>
  </si>
  <si>
    <t>Note</t>
  </si>
  <si>
    <t>Emissions 1</t>
  </si>
  <si>
    <t>g/MJ</t>
  </si>
  <si>
    <t>g/kWh</t>
  </si>
  <si>
    <t>Electrolysis</t>
  </si>
  <si>
    <t>H2 Output</t>
  </si>
  <si>
    <t>kg/s</t>
  </si>
  <si>
    <t>GWh/yr</t>
  </si>
  <si>
    <t>Capex</t>
  </si>
  <si>
    <t>MEUR</t>
  </si>
  <si>
    <t>MEUR/GW</t>
  </si>
  <si>
    <t>VarOM</t>
  </si>
  <si>
    <t>Methane</t>
  </si>
  <si>
    <t>Electricity</t>
  </si>
  <si>
    <t>Other OM</t>
  </si>
  <si>
    <t>EUR/yr</t>
  </si>
  <si>
    <t>Unit cost</t>
  </si>
  <si>
    <t>EUR/MWh</t>
  </si>
  <si>
    <t>Water</t>
  </si>
  <si>
    <t>MUSD/yr</t>
  </si>
  <si>
    <t>USD/EUR</t>
  </si>
  <si>
    <t>MEUR/yr</t>
  </si>
  <si>
    <t>FixedOM</t>
  </si>
  <si>
    <t>GW</t>
  </si>
  <si>
    <t>MUSD/GW</t>
  </si>
  <si>
    <t>Input/yr</t>
  </si>
  <si>
    <t>H2/ELC ratio</t>
  </si>
  <si>
    <t>H2/(ELC+LNG)</t>
  </si>
  <si>
    <t>Total Output</t>
  </si>
  <si>
    <t>y</t>
  </si>
  <si>
    <t>MWh</t>
  </si>
  <si>
    <t>Total Price</t>
  </si>
  <si>
    <t>EUR</t>
  </si>
  <si>
    <t>Unit Price</t>
  </si>
  <si>
    <t>ELC/LNG</t>
  </si>
  <si>
    <t>Hydrogen</t>
  </si>
  <si>
    <t>water+fuel</t>
  </si>
  <si>
    <t>H2/ELC</t>
  </si>
  <si>
    <t>OtherOM</t>
  </si>
  <si>
    <t>Investment</t>
  </si>
  <si>
    <t>FOM</t>
  </si>
  <si>
    <t>GW/yr</t>
  </si>
  <si>
    <t>VAROM</t>
  </si>
  <si>
    <t>Output conversion factor</t>
  </si>
  <si>
    <t>added to make unit price match the paper</t>
  </si>
  <si>
    <t>CCS cost</t>
  </si>
  <si>
    <t>EUR/MWh-H2</t>
  </si>
  <si>
    <t>CCS ELC</t>
  </si>
  <si>
    <t>CCSELC</t>
  </si>
  <si>
    <t>Total /yr</t>
  </si>
  <si>
    <t>CCS Efficiency</t>
  </si>
  <si>
    <t>Captured CO2</t>
  </si>
  <si>
    <t>VAROM(w/o ELC)</t>
  </si>
  <si>
    <t>other OM</t>
  </si>
  <si>
    <t>Difference(CCS)</t>
  </si>
  <si>
    <t>water+fuel+CCS material</t>
  </si>
  <si>
    <t>10y</t>
  </si>
  <si>
    <t>Lifetime emissions</t>
  </si>
  <si>
    <t>kg/kW</t>
  </si>
  <si>
    <t>Total kWh over life</t>
  </si>
  <si>
    <t>Emi coeff</t>
  </si>
  <si>
    <t>gCO2/kWh</t>
  </si>
  <si>
    <t>Solar</t>
  </si>
  <si>
    <t>LCOE</t>
  </si>
  <si>
    <t>CF</t>
  </si>
  <si>
    <t>Onshore</t>
  </si>
  <si>
    <t>Offshore</t>
  </si>
  <si>
    <t>JPN</t>
  </si>
  <si>
    <t>WON</t>
  </si>
  <si>
    <t>WOFX</t>
  </si>
  <si>
    <t>WOFL</t>
  </si>
  <si>
    <t>Ratio</t>
  </si>
  <si>
    <t>g/H2</t>
  </si>
  <si>
    <t>Net energy</t>
  </si>
  <si>
    <t>ELCPVN17</t>
  </si>
  <si>
    <t>LCoE</t>
  </si>
  <si>
    <t>WOFF</t>
  </si>
  <si>
    <t xml:space="preserve"> </t>
  </si>
  <si>
    <t>CCS Trend</t>
  </si>
  <si>
    <t>example: Hadi</t>
  </si>
  <si>
    <t>fraction</t>
  </si>
  <si>
    <t>Total(Mt)</t>
  </si>
  <si>
    <t>Value(Mt)</t>
  </si>
  <si>
    <t>Year</t>
  </si>
  <si>
    <t>Assumption = Capture/liquefaction plant is atmost 1km away</t>
  </si>
  <si>
    <t>Costs</t>
  </si>
  <si>
    <t>Energy Penalty</t>
  </si>
  <si>
    <t>Assuming EIA excludes pipeline cost</t>
  </si>
  <si>
    <t>EIA Numbers(90% CCS)</t>
  </si>
  <si>
    <t>USC</t>
  </si>
  <si>
    <t>VOM</t>
  </si>
  <si>
    <t>Base emission Coeff</t>
  </si>
  <si>
    <t>LNG Surcharges</t>
  </si>
  <si>
    <t>Capture</t>
  </si>
  <si>
    <t>CO2 Captured(Mt/GWh)</t>
  </si>
  <si>
    <t>New CF</t>
  </si>
  <si>
    <t>Total (excluding capture)</t>
  </si>
  <si>
    <t>New VOM</t>
  </si>
  <si>
    <t>USC Surcharges</t>
  </si>
  <si>
    <t>SREF Surcharges</t>
  </si>
  <si>
    <t>CO2 output</t>
  </si>
  <si>
    <t>CO2 Captured</t>
  </si>
  <si>
    <t>kg(lifetime)</t>
  </si>
  <si>
    <t>Efficiency Penalty 90%CCS</t>
  </si>
  <si>
    <t>GWh reqd for capture for 1 GWh output</t>
  </si>
  <si>
    <t>GWh for 1 Mt CO2</t>
  </si>
  <si>
    <t>Total Penalty</t>
  </si>
  <si>
    <t>Net Production</t>
  </si>
  <si>
    <t>Captured Mt CO2/GWh</t>
  </si>
  <si>
    <t>GWh for capture/Mt</t>
  </si>
  <si>
    <t>% (excluding cap/cap)</t>
  </si>
  <si>
    <t>Capture Cost(GWh)</t>
  </si>
  <si>
    <t>Remaining OP</t>
  </si>
  <si>
    <t>CO2 Cap(Mt/GWh-gen)</t>
  </si>
  <si>
    <t>Energy Ratio</t>
  </si>
  <si>
    <t>Steam Reforming (0%CCS)</t>
  </si>
  <si>
    <t>Eff</t>
  </si>
  <si>
    <t>NewEFF</t>
  </si>
  <si>
    <t>SREF +90% CCS</t>
  </si>
  <si>
    <t>Pipeline 250k</t>
  </si>
  <si>
    <t>Given Capex</t>
  </si>
  <si>
    <t>Capex Adj Factor</t>
  </si>
  <si>
    <t>Adj Cap</t>
  </si>
  <si>
    <t>Adj Output</t>
  </si>
  <si>
    <t>OP factor</t>
  </si>
  <si>
    <t>New Unit price</t>
  </si>
  <si>
    <t>NG</t>
  </si>
  <si>
    <t>Coal</t>
  </si>
  <si>
    <t>Storage</t>
  </si>
  <si>
    <t>Cap Cost(MUSD/GWh)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</si>
</sst>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27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4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6" fillId="0" borderId="0" xfId="0" applyFont="1"/>
    <xf numFmtId="3" fontId="0" fillId="0" borderId="0" xfId="0" applyNumberFormat="1"/>
    <xf numFmtId="4" fontId="0" fillId="0" borderId="0" xfId="0" applyNumberFormat="1"/>
    <xf numFmtId="0" fontId="7" fillId="0" borderId="0" xfId="1"/>
    <xf numFmtId="0" fontId="8" fillId="0" borderId="0" xfId="0" applyFont="1"/>
    <xf numFmtId="0" fontId="0" fillId="0" borderId="0" xfId="0" applyFont="1"/>
    <xf numFmtId="0" fontId="0" fillId="3" borderId="0" xfId="0" applyFill="1"/>
    <xf numFmtId="11" fontId="0" fillId="0" borderId="0" xfId="0" applyNumberFormat="1"/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10" fillId="0" borderId="0" xfId="2"/>
    <xf numFmtId="0" fontId="10" fillId="0" borderId="0" xfId="2" applyFill="1"/>
    <xf numFmtId="0" fontId="0" fillId="4" borderId="0" xfId="0" applyFill="1"/>
    <xf numFmtId="0" fontId="8" fillId="4" borderId="0" xfId="0" applyFont="1" applyFill="1"/>
    <xf numFmtId="0" fontId="1" fillId="4" borderId="0" xfId="0" applyFont="1" applyFill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10" xfId="2" xr:uid="{0400114F-3974-41D3-B8FB-B111E4BDB3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opsoe.com/sites/default/files/topsoe_large_scale_hydrogen_produc.pdf" TargetMode="External"/><Relationship Id="rId1" Type="http://schemas.openxmlformats.org/officeDocument/2006/relationships/hyperlink" Target="https://www.sciencedirect.com/science/article/pii/S019689041731215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19689041731215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25EB-4023-477D-80C4-74718858ACC8}">
  <dimension ref="A1:P43"/>
  <sheetViews>
    <sheetView workbookViewId="0">
      <selection activeCell="C33" sqref="C33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210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213</v>
      </c>
      <c r="D2" s="8"/>
      <c r="E2" s="8"/>
    </row>
    <row r="3" spans="1:16" x14ac:dyDescent="0.3">
      <c r="C3" t="s">
        <v>190</v>
      </c>
      <c r="J3" s="25" t="s">
        <v>218</v>
      </c>
      <c r="K3" s="25"/>
      <c r="L3" s="25"/>
      <c r="M3" s="25"/>
      <c r="N3" s="25"/>
      <c r="O3" s="25"/>
      <c r="P3" s="25"/>
    </row>
    <row r="4" spans="1:16" x14ac:dyDescent="0.3">
      <c r="A4" t="s">
        <v>229</v>
      </c>
      <c r="B4">
        <v>0.18</v>
      </c>
      <c r="C4">
        <f>0.55/(1+B4)</f>
        <v>0.46610169491525427</v>
      </c>
      <c r="J4" s="2" t="s">
        <v>4</v>
      </c>
      <c r="K4" s="2" t="s">
        <v>239</v>
      </c>
      <c r="L4" s="2" t="s">
        <v>237</v>
      </c>
      <c r="M4" s="2" t="s">
        <v>255</v>
      </c>
      <c r="N4" s="2" t="s">
        <v>240</v>
      </c>
      <c r="O4" s="2" t="s">
        <v>221</v>
      </c>
      <c r="P4" s="2" t="s">
        <v>223</v>
      </c>
    </row>
    <row r="5" spans="1:16" x14ac:dyDescent="0.3">
      <c r="B5" t="s">
        <v>69</v>
      </c>
      <c r="C5" t="s">
        <v>215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>K5*$B$21</f>
        <v>4.4472000000000005E-2</v>
      </c>
      <c r="N5">
        <f>L5/$L$10</f>
        <v>0.94444444444444453</v>
      </c>
      <c r="O5">
        <f t="shared" ref="O5:O15" si="1">$B$15/N5</f>
        <v>0.42211529395200004</v>
      </c>
      <c r="P5">
        <f>$D$30+M5</f>
        <v>6.0472000000000005E-2</v>
      </c>
    </row>
    <row r="6" spans="1:16" x14ac:dyDescent="0.3">
      <c r="A6" s="2" t="s">
        <v>212</v>
      </c>
      <c r="B6">
        <v>0.18</v>
      </c>
      <c r="C6">
        <v>0.25</v>
      </c>
      <c r="E6" t="s">
        <v>230</v>
      </c>
      <c r="J6">
        <v>0.86</v>
      </c>
      <c r="K6">
        <f t="shared" si="0"/>
        <v>3.4400000000000001E-4</v>
      </c>
      <c r="L6">
        <f t="shared" ref="L6:L15" si="2">K6*$B$12</f>
        <v>0.23663377802239999</v>
      </c>
      <c r="M6">
        <f t="shared" ref="M6:M15" si="3">K6*$B$21</f>
        <v>4.4995200000000006E-2</v>
      </c>
      <c r="N6">
        <f>L6/$L$10</f>
        <v>0.95555555555555549</v>
      </c>
      <c r="O6">
        <f t="shared" si="1"/>
        <v>0.41720697658046524</v>
      </c>
      <c r="P6">
        <f>$D$30+M6</f>
        <v>6.0995200000000006E-2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234</v>
      </c>
      <c r="J7">
        <v>0.87</v>
      </c>
      <c r="K7">
        <f t="shared" si="0"/>
        <v>3.48E-4</v>
      </c>
      <c r="L7">
        <f t="shared" si="2"/>
        <v>0.2393853335808</v>
      </c>
      <c r="M7">
        <f t="shared" si="3"/>
        <v>4.5518400000000007E-2</v>
      </c>
      <c r="N7">
        <f>L7/$L$10</f>
        <v>0.96666666666666667</v>
      </c>
      <c r="O7">
        <f t="shared" si="1"/>
        <v>0.41241149409103456</v>
      </c>
      <c r="P7">
        <f>$D$30+M7</f>
        <v>6.1518400000000008E-2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235</v>
      </c>
      <c r="J8">
        <v>0.88</v>
      </c>
      <c r="K8">
        <f t="shared" si="0"/>
        <v>3.5200000000000005E-4</v>
      </c>
      <c r="L8">
        <f t="shared" si="2"/>
        <v>0.24213688913920003</v>
      </c>
      <c r="M8">
        <f t="shared" si="3"/>
        <v>4.6041600000000009E-2</v>
      </c>
      <c r="N8">
        <f>L8/$L$10</f>
        <v>0.97777777777777797</v>
      </c>
      <c r="O8">
        <f t="shared" si="1"/>
        <v>0.40772499983999999</v>
      </c>
      <c r="P8">
        <f>$D$30+M8</f>
        <v>6.2041600000000009E-2</v>
      </c>
    </row>
    <row r="9" spans="1:16" x14ac:dyDescent="0.3">
      <c r="B9">
        <v>5</v>
      </c>
      <c r="C9">
        <v>5</v>
      </c>
      <c r="E9" t="s">
        <v>18</v>
      </c>
      <c r="F9" t="s">
        <v>245</v>
      </c>
      <c r="J9">
        <v>0.89</v>
      </c>
      <c r="K9">
        <f t="shared" si="0"/>
        <v>3.5600000000000003E-4</v>
      </c>
      <c r="L9">
        <f t="shared" si="2"/>
        <v>0.24488844469760002</v>
      </c>
      <c r="M9">
        <f t="shared" si="3"/>
        <v>4.656480000000001E-2</v>
      </c>
      <c r="N9">
        <f>L9/$L$10</f>
        <v>0.98888888888888893</v>
      </c>
      <c r="O9">
        <f t="shared" si="1"/>
        <v>0.40314382006651689</v>
      </c>
      <c r="P9">
        <f>$D$30+M9</f>
        <v>6.2564800000000004E-2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3.6000000000000002E-4</v>
      </c>
      <c r="L10">
        <f t="shared" si="2"/>
        <v>0.247640000256</v>
      </c>
      <c r="M10">
        <f t="shared" si="3"/>
        <v>4.7088000000000005E-2</v>
      </c>
      <c r="N10">
        <f>L10/$L$10</f>
        <v>1</v>
      </c>
      <c r="O10">
        <f t="shared" si="1"/>
        <v>0.39866444428800007</v>
      </c>
      <c r="P10">
        <f>$D$30+M10</f>
        <v>6.3088000000000005E-2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3.6400000000000001E-4</v>
      </c>
      <c r="L11">
        <f t="shared" si="2"/>
        <v>0.25039155581439998</v>
      </c>
      <c r="M11">
        <f t="shared" si="3"/>
        <v>4.7611200000000006E-2</v>
      </c>
      <c r="N11">
        <f>L11/$L$10</f>
        <v>1.0111111111111111</v>
      </c>
      <c r="O11">
        <f t="shared" si="1"/>
        <v>0.39428351632879127</v>
      </c>
      <c r="P11">
        <f>$D$30+M11</f>
        <v>6.3611200000000007E-2</v>
      </c>
    </row>
    <row r="12" spans="1:16" x14ac:dyDescent="0.3">
      <c r="A12" t="s">
        <v>232</v>
      </c>
      <c r="B12">
        <f>SUM(B8:B11)</f>
        <v>687.88888959999997</v>
      </c>
      <c r="C12">
        <f>SUM(C8:C11)</f>
        <v>482.76975772927574</v>
      </c>
      <c r="E12" t="s">
        <v>18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3"/>
        <v>4.8134400000000015E-2</v>
      </c>
      <c r="N12">
        <f>L12/$L$10</f>
        <v>1.0222222222222224</v>
      </c>
      <c r="O12">
        <f t="shared" si="1"/>
        <v>0.38999782593391308</v>
      </c>
      <c r="P12">
        <f>$D$30+M12</f>
        <v>6.4134400000000008E-2</v>
      </c>
    </row>
    <row r="13" spans="1:16" x14ac:dyDescent="0.3">
      <c r="A13" t="s">
        <v>233</v>
      </c>
      <c r="B13">
        <f>1/B36</f>
        <v>2500</v>
      </c>
      <c r="C13">
        <f>1/B35</f>
        <v>1061.5711252653928</v>
      </c>
      <c r="E13" t="s">
        <v>231</v>
      </c>
      <c r="J13">
        <v>0.93</v>
      </c>
      <c r="K13">
        <f t="shared" si="0"/>
        <v>3.7200000000000004E-4</v>
      </c>
      <c r="L13">
        <f t="shared" si="2"/>
        <v>0.2558946669312</v>
      </c>
      <c r="M13">
        <f t="shared" si="3"/>
        <v>4.8657600000000009E-2</v>
      </c>
      <c r="N13">
        <f>L13/$L$10</f>
        <v>1.0333333333333334</v>
      </c>
      <c r="O13">
        <f t="shared" si="1"/>
        <v>0.38580430092387102</v>
      </c>
      <c r="P13">
        <f>$D$30+M13</f>
        <v>6.465760000000001E-2</v>
      </c>
    </row>
    <row r="14" spans="1:16" x14ac:dyDescent="0.3">
      <c r="A14" t="s">
        <v>238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2"/>
        <v>0.25864622248959995</v>
      </c>
      <c r="M14">
        <f t="shared" si="3"/>
        <v>4.9180800000000004E-2</v>
      </c>
      <c r="N14">
        <f>L14/$L$10</f>
        <v>1.0444444444444443</v>
      </c>
      <c r="O14">
        <f t="shared" si="1"/>
        <v>0.38169999985021291</v>
      </c>
      <c r="P14">
        <f>$D$30+M14</f>
        <v>6.5180800000000011E-2</v>
      </c>
    </row>
    <row r="15" spans="1:16" x14ac:dyDescent="0.3">
      <c r="A15" t="s">
        <v>221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2"/>
        <v>0.26139777804800002</v>
      </c>
      <c r="M15">
        <f t="shared" si="3"/>
        <v>4.9704000000000005E-2</v>
      </c>
      <c r="N15">
        <f>L15/$L$10</f>
        <v>1.0555555555555556</v>
      </c>
      <c r="O15">
        <f t="shared" si="1"/>
        <v>0.37768210511494743</v>
      </c>
      <c r="P15">
        <f>$D$30+M15</f>
        <v>6.5704000000000012E-2</v>
      </c>
    </row>
    <row r="17" spans="1:16" x14ac:dyDescent="0.3">
      <c r="B17" s="2" t="s">
        <v>252</v>
      </c>
      <c r="C17" t="s">
        <v>253</v>
      </c>
      <c r="J17" s="25" t="s">
        <v>224</v>
      </c>
      <c r="K17" s="25"/>
      <c r="L17" s="25"/>
      <c r="M17" s="25"/>
      <c r="N17" s="25"/>
      <c r="O17" s="25"/>
      <c r="P17" s="25"/>
    </row>
    <row r="18" spans="1:16" x14ac:dyDescent="0.3">
      <c r="A18" s="2" t="s">
        <v>211</v>
      </c>
      <c r="B18">
        <v>95</v>
      </c>
      <c r="C18">
        <v>62</v>
      </c>
      <c r="D18" t="s">
        <v>15</v>
      </c>
      <c r="E18" t="s">
        <v>219</v>
      </c>
      <c r="J18" s="2" t="s">
        <v>4</v>
      </c>
      <c r="K18" s="2" t="s">
        <v>220</v>
      </c>
      <c r="L18" s="2" t="s">
        <v>237</v>
      </c>
      <c r="M18" s="2" t="s">
        <v>240</v>
      </c>
      <c r="N18" s="2" t="s">
        <v>221</v>
      </c>
      <c r="O18" s="2" t="s">
        <v>255</v>
      </c>
      <c r="P18" s="2" t="s">
        <v>223</v>
      </c>
    </row>
    <row r="19" spans="1:16" x14ac:dyDescent="0.3">
      <c r="B19">
        <v>4.8</v>
      </c>
      <c r="C19">
        <v>4.8</v>
      </c>
      <c r="D19" t="s">
        <v>15</v>
      </c>
      <c r="E19" t="s">
        <v>24</v>
      </c>
      <c r="J19">
        <v>0.85</v>
      </c>
      <c r="K19">
        <f t="shared" ref="K19:K29" si="4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3" si="5">$C$15/M19</f>
        <v>0.31751681137460702</v>
      </c>
      <c r="O19">
        <f>K19*$C$21</f>
        <v>7.8308459999999996E-2</v>
      </c>
      <c r="P19">
        <f>$D$29+O19</f>
        <v>8.8308459999999991E-2</v>
      </c>
    </row>
    <row r="20" spans="1:16" x14ac:dyDescent="0.3">
      <c r="B20">
        <v>31</v>
      </c>
      <c r="C20">
        <v>31</v>
      </c>
      <c r="D20" t="s">
        <v>15</v>
      </c>
      <c r="E20" t="s">
        <v>254</v>
      </c>
      <c r="J20">
        <v>0.86</v>
      </c>
      <c r="K20">
        <f t="shared" si="4"/>
        <v>8.1012E-4</v>
      </c>
      <c r="L20">
        <f t="shared" ref="L20:L29" si="6">K20*$C$12</f>
        <v>0.39110143613164089</v>
      </c>
      <c r="M20">
        <f t="shared" ref="M20:M29" si="7">L20/$L$24</f>
        <v>0.9555555555555556</v>
      </c>
      <c r="N20">
        <f t="shared" si="5"/>
        <v>0.31382475542839072</v>
      </c>
      <c r="O20">
        <f t="shared" ref="O20:O29" si="8">K20*$C$21</f>
        <v>7.9229735999999995E-2</v>
      </c>
      <c r="P20">
        <f t="shared" ref="P20:P29" si="9">$D$29+O20</f>
        <v>8.922973599999999E-2</v>
      </c>
    </row>
    <row r="21" spans="1:16" x14ac:dyDescent="0.3">
      <c r="A21" s="2" t="s">
        <v>222</v>
      </c>
      <c r="B21" s="2">
        <f>SUM(B18:B20)</f>
        <v>130.80000000000001</v>
      </c>
      <c r="C21" s="2">
        <f>SUM(C18:C20)</f>
        <v>97.8</v>
      </c>
      <c r="D21" s="2" t="s">
        <v>15</v>
      </c>
      <c r="J21">
        <v>0.87</v>
      </c>
      <c r="K21">
        <f t="shared" si="4"/>
        <v>8.1954E-4</v>
      </c>
      <c r="L21">
        <f t="shared" si="6"/>
        <v>0.39564912724945062</v>
      </c>
      <c r="M21">
        <f t="shared" si="7"/>
        <v>0.96666666666666667</v>
      </c>
      <c r="N21">
        <f t="shared" si="5"/>
        <v>0.31021757433151265</v>
      </c>
      <c r="O21">
        <f t="shared" si="8"/>
        <v>8.0151011999999994E-2</v>
      </c>
      <c r="P21">
        <f t="shared" si="9"/>
        <v>9.0151011999999989E-2</v>
      </c>
    </row>
    <row r="22" spans="1:16" x14ac:dyDescent="0.3">
      <c r="A22" t="s">
        <v>236</v>
      </c>
      <c r="B22">
        <f>B21/B18</f>
        <v>1.3768421052631581</v>
      </c>
      <c r="J22">
        <v>0.88</v>
      </c>
      <c r="K22">
        <f t="shared" si="4"/>
        <v>8.2896000000000001E-4</v>
      </c>
      <c r="L22">
        <f t="shared" si="6"/>
        <v>0.4001968183672604</v>
      </c>
      <c r="M22">
        <f t="shared" si="7"/>
        <v>0.97777777777777775</v>
      </c>
      <c r="N22">
        <f t="shared" si="5"/>
        <v>0.30669237462320004</v>
      </c>
      <c r="O22">
        <f t="shared" si="8"/>
        <v>8.1072287999999992E-2</v>
      </c>
      <c r="P22">
        <f t="shared" si="9"/>
        <v>9.1072287999999987E-2</v>
      </c>
    </row>
    <row r="23" spans="1:16" x14ac:dyDescent="0.3">
      <c r="J23">
        <v>0.89</v>
      </c>
      <c r="K23">
        <f t="shared" si="4"/>
        <v>8.3838000000000001E-4</v>
      </c>
      <c r="L23">
        <f t="shared" si="6"/>
        <v>0.40474450948507018</v>
      </c>
      <c r="M23">
        <f t="shared" si="7"/>
        <v>0.98888888888888893</v>
      </c>
      <c r="N23">
        <f t="shared" si="5"/>
        <v>0.30324639288586069</v>
      </c>
      <c r="O23">
        <f t="shared" si="8"/>
        <v>8.1993564000000005E-2</v>
      </c>
      <c r="P23">
        <f t="shared" si="9"/>
        <v>9.1993564E-2</v>
      </c>
    </row>
    <row r="24" spans="1:16" x14ac:dyDescent="0.3">
      <c r="A24" s="2"/>
      <c r="J24">
        <v>0.9</v>
      </c>
      <c r="K24">
        <f t="shared" si="4"/>
        <v>8.4780000000000001E-4</v>
      </c>
      <c r="L24">
        <f t="shared" si="6"/>
        <v>0.40929220060287996</v>
      </c>
      <c r="M24">
        <f t="shared" si="7"/>
        <v>1</v>
      </c>
      <c r="N24">
        <f>$C$15/M24</f>
        <v>0.29987698852046224</v>
      </c>
      <c r="O24">
        <f t="shared" si="8"/>
        <v>8.2914840000000004E-2</v>
      </c>
      <c r="P24">
        <f t="shared" si="9"/>
        <v>9.2914839999999999E-2</v>
      </c>
    </row>
    <row r="25" spans="1:16" x14ac:dyDescent="0.3">
      <c r="J25">
        <v>0.91</v>
      </c>
      <c r="K25">
        <f t="shared" si="4"/>
        <v>8.5722000000000001E-4</v>
      </c>
      <c r="L25">
        <f t="shared" si="6"/>
        <v>0.41383989172068975</v>
      </c>
      <c r="M25">
        <f t="shared" si="7"/>
        <v>1.0111111111111111</v>
      </c>
      <c r="N25">
        <f t="shared" ref="N25:N29" si="10">$C$15/M25</f>
        <v>0.29658163699825935</v>
      </c>
      <c r="O25">
        <f t="shared" si="8"/>
        <v>8.3836116000000002E-2</v>
      </c>
      <c r="P25">
        <f t="shared" si="9"/>
        <v>9.3836115999999997E-2</v>
      </c>
    </row>
    <row r="26" spans="1:16" x14ac:dyDescent="0.3">
      <c r="J26">
        <v>0.92</v>
      </c>
      <c r="K26">
        <f t="shared" si="4"/>
        <v>8.6664000000000001E-4</v>
      </c>
      <c r="L26">
        <f t="shared" si="6"/>
        <v>0.41838758283849953</v>
      </c>
      <c r="M26">
        <f t="shared" si="7"/>
        <v>1.0222222222222221</v>
      </c>
      <c r="N26">
        <f t="shared" si="10"/>
        <v>0.29335792355262613</v>
      </c>
      <c r="O26">
        <f t="shared" si="8"/>
        <v>8.4757392000000001E-2</v>
      </c>
      <c r="P26">
        <f t="shared" si="9"/>
        <v>9.4757391999999996E-2</v>
      </c>
    </row>
    <row r="27" spans="1:16" x14ac:dyDescent="0.3">
      <c r="A27" s="2"/>
      <c r="J27">
        <v>0.93</v>
      </c>
      <c r="K27">
        <f t="shared" si="4"/>
        <v>8.7606000000000001E-4</v>
      </c>
      <c r="L27">
        <f t="shared" si="6"/>
        <v>0.42293527395630931</v>
      </c>
      <c r="M27">
        <f t="shared" si="7"/>
        <v>1.0333333333333334</v>
      </c>
      <c r="N27">
        <f t="shared" si="10"/>
        <v>0.29020353727786663</v>
      </c>
      <c r="O27">
        <f t="shared" si="8"/>
        <v>8.5678667999999999E-2</v>
      </c>
      <c r="P27">
        <f t="shared" si="9"/>
        <v>9.5678667999999994E-2</v>
      </c>
    </row>
    <row r="28" spans="1:16" x14ac:dyDescent="0.3">
      <c r="A28" t="s">
        <v>214</v>
      </c>
      <c r="B28" s="2" t="s">
        <v>134</v>
      </c>
      <c r="C28" s="2" t="s">
        <v>166</v>
      </c>
      <c r="D28" s="2" t="s">
        <v>216</v>
      </c>
      <c r="E28" s="2" t="s">
        <v>242</v>
      </c>
      <c r="J28">
        <v>0.94</v>
      </c>
      <c r="K28">
        <f t="shared" si="4"/>
        <v>8.8548000000000001E-4</v>
      </c>
      <c r="L28">
        <f t="shared" si="6"/>
        <v>0.42748296507411909</v>
      </c>
      <c r="M28">
        <f t="shared" si="7"/>
        <v>1.0444444444444445</v>
      </c>
      <c r="N28">
        <f t="shared" si="10"/>
        <v>0.28711626560469788</v>
      </c>
      <c r="O28">
        <f t="shared" si="8"/>
        <v>8.6599943999999998E-2</v>
      </c>
      <c r="P28">
        <f t="shared" si="9"/>
        <v>9.6599943999999993E-2</v>
      </c>
    </row>
    <row r="29" spans="1:16" x14ac:dyDescent="0.3">
      <c r="A29" s="2" t="s">
        <v>215</v>
      </c>
      <c r="B29" s="20">
        <v>6816</v>
      </c>
      <c r="C29" s="20">
        <v>84</v>
      </c>
      <c r="D29" s="20">
        <f>10*1000/1000000</f>
        <v>0.01</v>
      </c>
      <c r="J29">
        <v>0.95</v>
      </c>
      <c r="K29">
        <f t="shared" si="4"/>
        <v>8.9490000000000001E-4</v>
      </c>
      <c r="L29">
        <f t="shared" si="6"/>
        <v>0.43203065619192887</v>
      </c>
      <c r="M29">
        <f t="shared" si="7"/>
        <v>1.0555555555555556</v>
      </c>
      <c r="N29">
        <f t="shared" si="10"/>
        <v>0.28409398912464845</v>
      </c>
      <c r="O29">
        <f t="shared" si="8"/>
        <v>8.7521219999999997E-2</v>
      </c>
      <c r="P29">
        <f t="shared" si="9"/>
        <v>9.7521219999999992E-2</v>
      </c>
    </row>
    <row r="30" spans="1:16" x14ac:dyDescent="0.3">
      <c r="A30" s="2" t="s">
        <v>69</v>
      </c>
      <c r="B30" s="20">
        <v>5088</v>
      </c>
      <c r="C30" s="20">
        <v>33</v>
      </c>
      <c r="D30" s="20">
        <f>16*1000/1000000</f>
        <v>1.6E-2</v>
      </c>
    </row>
    <row r="31" spans="1:16" x14ac:dyDescent="0.3">
      <c r="A31" s="2" t="s">
        <v>241</v>
      </c>
      <c r="B31" s="20">
        <v>495</v>
      </c>
      <c r="C31" s="20">
        <v>4</v>
      </c>
      <c r="D31" s="20">
        <v>2.6473008613171967E-2</v>
      </c>
      <c r="E31">
        <v>0.73</v>
      </c>
      <c r="J31" s="25" t="s">
        <v>225</v>
      </c>
      <c r="K31" s="25"/>
      <c r="L31" s="25"/>
      <c r="M31" s="25"/>
      <c r="N31" s="25"/>
      <c r="O31" s="25"/>
      <c r="P31" s="25"/>
    </row>
    <row r="32" spans="1:16" x14ac:dyDescent="0.3">
      <c r="A32" s="2" t="s">
        <v>244</v>
      </c>
      <c r="B32" s="2">
        <f>6*B31</f>
        <v>2970</v>
      </c>
      <c r="C32" s="21">
        <v>33</v>
      </c>
      <c r="J32" s="2" t="s">
        <v>4</v>
      </c>
      <c r="K32" s="2" t="s">
        <v>220</v>
      </c>
      <c r="L32" s="2" t="s">
        <v>237</v>
      </c>
      <c r="M32" s="2"/>
      <c r="N32" s="2" t="s">
        <v>243</v>
      </c>
      <c r="O32" s="2" t="s">
        <v>255</v>
      </c>
      <c r="P32" s="2" t="s">
        <v>223</v>
      </c>
    </row>
    <row r="33" spans="1:16" x14ac:dyDescent="0.3">
      <c r="J33">
        <v>0.85</v>
      </c>
      <c r="K33">
        <f t="shared" ref="K33:K43" si="11">$B$37*J33</f>
        <v>2.6604999999999999E-4</v>
      </c>
      <c r="L33">
        <f>K33*$B$12</f>
        <v>0.18301283907808</v>
      </c>
      <c r="N33">
        <f>$E$31-L33</f>
        <v>0.54698716092192001</v>
      </c>
      <c r="O33">
        <f>K33*$B$21</f>
        <v>3.4799340000000005E-2</v>
      </c>
      <c r="P33">
        <f>($D$31*M19)+O33</f>
        <v>5.9801625912440197E-2</v>
      </c>
    </row>
    <row r="34" spans="1:16" x14ac:dyDescent="0.3">
      <c r="A34" s="2" t="s">
        <v>217</v>
      </c>
      <c r="J34">
        <v>0.86</v>
      </c>
      <c r="K34">
        <f t="shared" si="11"/>
        <v>2.6917999999999999E-4</v>
      </c>
      <c r="L34">
        <f t="shared" ref="L34:L43" si="12">K34*$B$12</f>
        <v>0.18516593130252798</v>
      </c>
      <c r="N34">
        <f t="shared" ref="N34:N43" si="13">$E$31-L34</f>
        <v>0.54483406869747197</v>
      </c>
      <c r="O34">
        <f t="shared" ref="O34:O43" si="14">K34*$B$21</f>
        <v>3.5208744E-2</v>
      </c>
      <c r="P34">
        <f t="shared" ref="P34:P43" si="15">($D$31*M20)+O34</f>
        <v>6.0505174452586546E-2</v>
      </c>
    </row>
    <row r="35" spans="1:16" x14ac:dyDescent="0.3">
      <c r="A35" s="14" t="s">
        <v>215</v>
      </c>
      <c r="B35" s="21">
        <f>942/1000000</f>
        <v>9.4200000000000002E-4</v>
      </c>
      <c r="C35" t="s">
        <v>70</v>
      </c>
      <c r="J35">
        <v>0.87</v>
      </c>
      <c r="K35">
        <f t="shared" si="11"/>
        <v>2.7231E-4</v>
      </c>
      <c r="L35">
        <f t="shared" si="12"/>
        <v>0.18731902352697599</v>
      </c>
      <c r="N35">
        <f t="shared" si="13"/>
        <v>0.54268097647302405</v>
      </c>
      <c r="O35">
        <f t="shared" si="14"/>
        <v>3.5618148000000002E-2</v>
      </c>
      <c r="P35">
        <f t="shared" si="15"/>
        <v>6.1208722992732903E-2</v>
      </c>
    </row>
    <row r="36" spans="1:16" x14ac:dyDescent="0.3">
      <c r="A36" s="14" t="s">
        <v>69</v>
      </c>
      <c r="B36" s="21">
        <f>400/1000000</f>
        <v>4.0000000000000002E-4</v>
      </c>
      <c r="C36" t="s">
        <v>70</v>
      </c>
      <c r="J36">
        <v>0.88</v>
      </c>
      <c r="K36">
        <f t="shared" si="11"/>
        <v>2.7544000000000001E-4</v>
      </c>
      <c r="L36">
        <f t="shared" si="12"/>
        <v>0.189472115751424</v>
      </c>
      <c r="N36">
        <f t="shared" si="13"/>
        <v>0.54052788424857601</v>
      </c>
      <c r="O36">
        <f t="shared" si="14"/>
        <v>3.6027552000000004E-2</v>
      </c>
      <c r="P36">
        <f t="shared" si="15"/>
        <v>6.1912271532879259E-2</v>
      </c>
    </row>
    <row r="37" spans="1:16" x14ac:dyDescent="0.3">
      <c r="A37" s="14" t="s">
        <v>125</v>
      </c>
      <c r="B37" s="21">
        <f>313/1000000</f>
        <v>3.1300000000000002E-4</v>
      </c>
      <c r="C37" t="s">
        <v>70</v>
      </c>
      <c r="J37">
        <v>0.89</v>
      </c>
      <c r="K37">
        <f t="shared" si="11"/>
        <v>2.7857000000000001E-4</v>
      </c>
      <c r="L37">
        <f t="shared" si="12"/>
        <v>0.19162520797587199</v>
      </c>
      <c r="N37">
        <f t="shared" si="13"/>
        <v>0.53837479202412797</v>
      </c>
      <c r="O37">
        <f t="shared" si="14"/>
        <v>3.6436956000000006E-2</v>
      </c>
      <c r="P37">
        <f t="shared" si="15"/>
        <v>6.2615820073025616E-2</v>
      </c>
    </row>
    <row r="38" spans="1:16" x14ac:dyDescent="0.3">
      <c r="J38">
        <v>0.9</v>
      </c>
      <c r="K38">
        <f t="shared" si="11"/>
        <v>2.8170000000000002E-4</v>
      </c>
      <c r="L38">
        <f t="shared" si="12"/>
        <v>0.19377830020032</v>
      </c>
      <c r="N38">
        <f t="shared" si="13"/>
        <v>0.53622169979968004</v>
      </c>
      <c r="O38">
        <f t="shared" si="14"/>
        <v>3.6846360000000009E-2</v>
      </c>
      <c r="P38">
        <f t="shared" si="15"/>
        <v>6.3319368613171972E-2</v>
      </c>
    </row>
    <row r="39" spans="1:16" x14ac:dyDescent="0.3">
      <c r="J39">
        <v>0.91</v>
      </c>
      <c r="K39">
        <f t="shared" si="11"/>
        <v>2.8483000000000002E-4</v>
      </c>
      <c r="L39">
        <f t="shared" si="12"/>
        <v>0.19593139242476801</v>
      </c>
      <c r="N39">
        <f t="shared" si="13"/>
        <v>0.534068607575232</v>
      </c>
      <c r="O39">
        <f t="shared" si="14"/>
        <v>3.7255764000000004E-2</v>
      </c>
      <c r="P39">
        <f t="shared" si="15"/>
        <v>6.4022917153318329E-2</v>
      </c>
    </row>
    <row r="40" spans="1:16" x14ac:dyDescent="0.3">
      <c r="J40">
        <v>0.92</v>
      </c>
      <c r="K40">
        <f t="shared" si="11"/>
        <v>2.8796000000000003E-4</v>
      </c>
      <c r="L40">
        <f t="shared" si="12"/>
        <v>0.19808448464921602</v>
      </c>
      <c r="N40">
        <f t="shared" si="13"/>
        <v>0.53191551535078396</v>
      </c>
      <c r="O40">
        <f t="shared" si="14"/>
        <v>3.7665168000000006E-2</v>
      </c>
      <c r="P40">
        <f t="shared" si="15"/>
        <v>6.4726465693464685E-2</v>
      </c>
    </row>
    <row r="41" spans="1:16" x14ac:dyDescent="0.3">
      <c r="J41">
        <v>0.93</v>
      </c>
      <c r="K41">
        <f t="shared" si="11"/>
        <v>2.9109000000000003E-4</v>
      </c>
      <c r="L41">
        <f t="shared" si="12"/>
        <v>0.200237576873664</v>
      </c>
      <c r="N41">
        <f t="shared" si="13"/>
        <v>0.52976242312633604</v>
      </c>
      <c r="O41">
        <f t="shared" si="14"/>
        <v>3.8074572000000008E-2</v>
      </c>
      <c r="P41">
        <f t="shared" si="15"/>
        <v>6.5430014233611042E-2</v>
      </c>
    </row>
    <row r="42" spans="1:16" x14ac:dyDescent="0.3">
      <c r="J42">
        <v>0.94</v>
      </c>
      <c r="K42">
        <f t="shared" si="11"/>
        <v>2.9421999999999999E-4</v>
      </c>
      <c r="L42">
        <f t="shared" si="12"/>
        <v>0.20239066909811199</v>
      </c>
      <c r="N42">
        <f t="shared" si="13"/>
        <v>0.527609330901888</v>
      </c>
      <c r="O42">
        <f t="shared" si="14"/>
        <v>3.8483976000000003E-2</v>
      </c>
      <c r="P42">
        <f t="shared" si="15"/>
        <v>6.6133562773757398E-2</v>
      </c>
    </row>
    <row r="43" spans="1:16" x14ac:dyDescent="0.3">
      <c r="J43">
        <v>0.95</v>
      </c>
      <c r="K43">
        <f t="shared" si="11"/>
        <v>2.9734999999999999E-4</v>
      </c>
      <c r="L43">
        <f t="shared" si="12"/>
        <v>0.20454376132256</v>
      </c>
      <c r="N43">
        <f t="shared" si="13"/>
        <v>0.52545623867743996</v>
      </c>
      <c r="O43">
        <f t="shared" si="14"/>
        <v>3.8893380000000005E-2</v>
      </c>
      <c r="P43">
        <f t="shared" si="15"/>
        <v>6.6837111313903741E-2</v>
      </c>
    </row>
  </sheetData>
  <mergeCells count="3">
    <mergeCell ref="J3:P3"/>
    <mergeCell ref="J17:P17"/>
    <mergeCell ref="J31:P3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5B1-F75D-401E-9CDA-9DC2F24930C6}">
  <dimension ref="A1:K43"/>
  <sheetViews>
    <sheetView workbookViewId="0">
      <selection activeCell="F12" sqref="F12"/>
    </sheetView>
  </sheetViews>
  <sheetFormatPr defaultRowHeight="14.4" x14ac:dyDescent="0.3"/>
  <cols>
    <col min="1" max="1" width="14.6640625" customWidth="1"/>
    <col min="2" max="2" width="12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  <col min="13" max="13" width="12" bestFit="1" customWidth="1"/>
    <col min="14" max="14" width="12.88671875" bestFit="1" customWidth="1"/>
    <col min="15" max="15" width="11" bestFit="1" customWidth="1"/>
  </cols>
  <sheetData>
    <row r="1" spans="1:10" x14ac:dyDescent="0.3">
      <c r="C1" s="5">
        <v>41.869</v>
      </c>
      <c r="D1" t="s">
        <v>74</v>
      </c>
      <c r="E1" t="s">
        <v>29</v>
      </c>
      <c r="G1">
        <f>1/110</f>
        <v>9.0909090909090905E-3</v>
      </c>
      <c r="H1" t="s">
        <v>94</v>
      </c>
      <c r="I1">
        <v>1.1000000000000001</v>
      </c>
      <c r="J1" t="s">
        <v>146</v>
      </c>
    </row>
    <row r="2" spans="1:10" x14ac:dyDescent="0.3">
      <c r="A2" s="2"/>
      <c r="B2" s="2"/>
      <c r="C2" s="9">
        <v>0.27779999999999999</v>
      </c>
      <c r="D2" s="2" t="s">
        <v>76</v>
      </c>
      <c r="E2" s="2"/>
      <c r="F2" s="2"/>
      <c r="G2" s="2"/>
      <c r="H2" s="2"/>
      <c r="I2" s="2"/>
      <c r="J2" s="2"/>
    </row>
    <row r="3" spans="1:10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75</v>
      </c>
      <c r="G3">
        <f>C2*E3</f>
        <v>1395.7449839999999</v>
      </c>
      <c r="H3" t="s">
        <v>77</v>
      </c>
      <c r="I3">
        <f>C3*C2</f>
        <v>33.335999999999999</v>
      </c>
      <c r="J3" t="s">
        <v>3</v>
      </c>
    </row>
    <row r="4" spans="1:10" x14ac:dyDescent="0.3">
      <c r="A4" t="s">
        <v>86</v>
      </c>
      <c r="C4">
        <v>9.31</v>
      </c>
      <c r="D4" t="s">
        <v>87</v>
      </c>
      <c r="E4">
        <f>C4/I3</f>
        <v>0.27927765778737701</v>
      </c>
      <c r="F4" t="s">
        <v>88</v>
      </c>
    </row>
    <row r="5" spans="1:10" x14ac:dyDescent="0.3">
      <c r="A5" t="s">
        <v>176</v>
      </c>
      <c r="B5">
        <v>0.9</v>
      </c>
    </row>
    <row r="7" spans="1:10" x14ac:dyDescent="0.3">
      <c r="A7" t="s">
        <v>169</v>
      </c>
      <c r="C7">
        <v>0.65</v>
      </c>
      <c r="E7" s="13" t="s">
        <v>170</v>
      </c>
    </row>
    <row r="9" spans="1:10" x14ac:dyDescent="0.3">
      <c r="A9" t="s">
        <v>131</v>
      </c>
      <c r="B9">
        <v>2.5</v>
      </c>
      <c r="C9" t="s">
        <v>132</v>
      </c>
      <c r="D9">
        <f>B9*(365*24*60*60)</f>
        <v>78840000</v>
      </c>
      <c r="E9" t="s">
        <v>79</v>
      </c>
      <c r="F9">
        <f>($D$9*I3*C7/(1000000))</f>
        <v>1708.3366559999999</v>
      </c>
      <c r="G9" t="s">
        <v>133</v>
      </c>
      <c r="I9">
        <f>F9/8760</f>
        <v>0.19501559999999998</v>
      </c>
      <c r="J9" t="s">
        <v>149</v>
      </c>
    </row>
    <row r="10" spans="1:10" x14ac:dyDescent="0.3">
      <c r="A10" t="s">
        <v>226</v>
      </c>
      <c r="B10">
        <v>11</v>
      </c>
      <c r="C10" t="s">
        <v>132</v>
      </c>
      <c r="D10">
        <f t="shared" ref="D10:D11" si="0">B10*(365*24*60*60)</f>
        <v>346896000</v>
      </c>
      <c r="E10" t="s">
        <v>79</v>
      </c>
      <c r="F10">
        <f>D10*20</f>
        <v>6937920000</v>
      </c>
      <c r="G10" t="s">
        <v>228</v>
      </c>
    </row>
    <row r="11" spans="1:10" x14ac:dyDescent="0.3">
      <c r="A11" t="s">
        <v>227</v>
      </c>
      <c r="B11">
        <v>14</v>
      </c>
      <c r="C11" t="s">
        <v>132</v>
      </c>
      <c r="D11">
        <f t="shared" si="0"/>
        <v>441504000</v>
      </c>
      <c r="E11" t="s">
        <v>79</v>
      </c>
      <c r="F11">
        <f>D11*B15</f>
        <v>8830080000</v>
      </c>
      <c r="G11" t="s">
        <v>228</v>
      </c>
    </row>
    <row r="12" spans="1:10" x14ac:dyDescent="0.3">
      <c r="A12" t="s">
        <v>176</v>
      </c>
      <c r="F12">
        <f>F11/(F11+F10)</f>
        <v>0.56000000000000005</v>
      </c>
    </row>
    <row r="14" spans="1:10" x14ac:dyDescent="0.3">
      <c r="A14" s="2" t="s">
        <v>134</v>
      </c>
      <c r="B14">
        <v>162</v>
      </c>
      <c r="C14" t="s">
        <v>135</v>
      </c>
      <c r="D14">
        <f>B14/I9</f>
        <v>830.70277454726704</v>
      </c>
      <c r="E14" t="s">
        <v>136</v>
      </c>
      <c r="F14" s="15">
        <f>D14*I1</f>
        <v>913.77305200199385</v>
      </c>
      <c r="G14" t="s">
        <v>150</v>
      </c>
    </row>
    <row r="15" spans="1:10" x14ac:dyDescent="0.3">
      <c r="A15" s="2" t="s">
        <v>36</v>
      </c>
      <c r="B15">
        <v>20</v>
      </c>
      <c r="C15" t="s">
        <v>155</v>
      </c>
    </row>
    <row r="17" spans="1:11" x14ac:dyDescent="0.3">
      <c r="A17" s="2" t="s">
        <v>137</v>
      </c>
      <c r="D17" s="2" t="s">
        <v>142</v>
      </c>
      <c r="H17" s="2" t="s">
        <v>151</v>
      </c>
      <c r="J17" s="2" t="s">
        <v>175</v>
      </c>
    </row>
    <row r="18" spans="1:11" x14ac:dyDescent="0.3">
      <c r="A18" t="s">
        <v>138</v>
      </c>
      <c r="B18">
        <f>64546*1000</f>
        <v>64546000</v>
      </c>
      <c r="C18" t="s">
        <v>141</v>
      </c>
      <c r="D18">
        <v>20</v>
      </c>
      <c r="E18" t="s">
        <v>143</v>
      </c>
      <c r="H18">
        <f>B18/(D18*1000)</f>
        <v>3227.3</v>
      </c>
      <c r="I18" t="s">
        <v>22</v>
      </c>
      <c r="J18">
        <f>B18/(D18*1000)</f>
        <v>3227.3</v>
      </c>
      <c r="K18" t="s">
        <v>22</v>
      </c>
    </row>
    <row r="19" spans="1:11" x14ac:dyDescent="0.3">
      <c r="A19" t="s">
        <v>139</v>
      </c>
      <c r="B19">
        <v>1064000</v>
      </c>
      <c r="C19" t="s">
        <v>141</v>
      </c>
      <c r="D19">
        <v>30</v>
      </c>
      <c r="E19" t="s">
        <v>143</v>
      </c>
      <c r="H19" s="2">
        <f>B19/(D19*1000)</f>
        <v>35.466666666666669</v>
      </c>
      <c r="I19" t="s">
        <v>22</v>
      </c>
      <c r="J19" s="2">
        <f>H19+F20</f>
        <v>429.84637734909302</v>
      </c>
      <c r="K19" t="s">
        <v>22</v>
      </c>
    </row>
    <row r="20" spans="1:11" x14ac:dyDescent="0.3">
      <c r="A20" t="s">
        <v>174</v>
      </c>
      <c r="F20">
        <f>B43</f>
        <v>394.37971068242638</v>
      </c>
      <c r="G20" t="s">
        <v>22</v>
      </c>
    </row>
    <row r="21" spans="1:11" x14ac:dyDescent="0.3">
      <c r="A21" t="s">
        <v>140</v>
      </c>
      <c r="B21">
        <v>1089000</v>
      </c>
      <c r="C21" t="s">
        <v>141</v>
      </c>
      <c r="D21">
        <f>B21/1000000</f>
        <v>1.089</v>
      </c>
      <c r="E21" t="s">
        <v>147</v>
      </c>
    </row>
    <row r="22" spans="1:11" x14ac:dyDescent="0.3">
      <c r="A22" t="s">
        <v>180</v>
      </c>
      <c r="B22">
        <f>(97662-64546-2778-1064-1089)*1000</f>
        <v>28185000</v>
      </c>
      <c r="C22" t="s">
        <v>141</v>
      </c>
      <c r="H22" t="s">
        <v>163</v>
      </c>
      <c r="I22" t="s">
        <v>153</v>
      </c>
      <c r="J22" t="s">
        <v>160</v>
      </c>
    </row>
    <row r="23" spans="1:11" x14ac:dyDescent="0.3">
      <c r="H23">
        <f>F9/J19</f>
        <v>3.9742958089713083</v>
      </c>
      <c r="I23">
        <f>F9/(J19+J18)</f>
        <v>0.46712285474290999</v>
      </c>
      <c r="J23" s="15">
        <f>J19/J18</f>
        <v>0.13319070967963714</v>
      </c>
    </row>
    <row r="24" spans="1:11" x14ac:dyDescent="0.3">
      <c r="A24" t="s">
        <v>144</v>
      </c>
      <c r="B24">
        <v>12</v>
      </c>
      <c r="C24" t="s">
        <v>132</v>
      </c>
    </row>
    <row r="25" spans="1:11" x14ac:dyDescent="0.3">
      <c r="B25">
        <f>B24*(365*24*60*60)</f>
        <v>378432000</v>
      </c>
      <c r="C25" t="s">
        <v>79</v>
      </c>
    </row>
    <row r="26" spans="1:11" x14ac:dyDescent="0.3">
      <c r="B26">
        <f>B25*0.3</f>
        <v>113529600</v>
      </c>
      <c r="C26" t="s">
        <v>110</v>
      </c>
      <c r="D26">
        <f>B26*G1/(1000000)</f>
        <v>1.0320872727272727</v>
      </c>
      <c r="E26" t="s">
        <v>145</v>
      </c>
      <c r="F26">
        <f>D26/I1</f>
        <v>0.93826115702479329</v>
      </c>
      <c r="G26" t="s">
        <v>147</v>
      </c>
    </row>
    <row r="28" spans="1:11" x14ac:dyDescent="0.3">
      <c r="A28" s="2" t="s">
        <v>178</v>
      </c>
      <c r="B28">
        <f>(B18/1000000)+F26</f>
        <v>65.484261157024804</v>
      </c>
      <c r="C28" t="s">
        <v>147</v>
      </c>
      <c r="D28">
        <f>B28*I1</f>
        <v>72.032687272727287</v>
      </c>
      <c r="E28" t="s">
        <v>145</v>
      </c>
      <c r="F28" s="15">
        <f>(D28/F9)+B41</f>
        <v>5.8665393466056544E-2</v>
      </c>
      <c r="G28" t="s">
        <v>35</v>
      </c>
    </row>
    <row r="29" spans="1:11" x14ac:dyDescent="0.3">
      <c r="A29" s="13" t="s">
        <v>181</v>
      </c>
    </row>
    <row r="31" spans="1:11" x14ac:dyDescent="0.3">
      <c r="A31" s="2" t="s">
        <v>148</v>
      </c>
      <c r="B31">
        <f>D21</f>
        <v>1.089</v>
      </c>
      <c r="C31" t="s">
        <v>147</v>
      </c>
      <c r="D31">
        <f>B31*I1</f>
        <v>1.1979</v>
      </c>
      <c r="E31" t="s">
        <v>145</v>
      </c>
      <c r="F31" s="15">
        <f>D31/I9</f>
        <v>6.1425855162356244</v>
      </c>
      <c r="G31" t="s">
        <v>150</v>
      </c>
    </row>
    <row r="32" spans="1:11" x14ac:dyDescent="0.3">
      <c r="A32" s="14"/>
    </row>
    <row r="34" spans="1:6" x14ac:dyDescent="0.3">
      <c r="A34" s="2" t="s">
        <v>154</v>
      </c>
      <c r="B34">
        <f>F9*B15*1000</f>
        <v>34166733.119999997</v>
      </c>
      <c r="C34" t="s">
        <v>156</v>
      </c>
    </row>
    <row r="35" spans="1:6" x14ac:dyDescent="0.3">
      <c r="A35" s="2" t="s">
        <v>157</v>
      </c>
      <c r="B35">
        <f>(B14*1000000)+(97662000*B15)</f>
        <v>2115240000</v>
      </c>
      <c r="C35" t="s">
        <v>158</v>
      </c>
    </row>
    <row r="36" spans="1:6" x14ac:dyDescent="0.3">
      <c r="A36" s="2" t="s">
        <v>159</v>
      </c>
      <c r="B36">
        <f>B35/B34</f>
        <v>61.909343002471992</v>
      </c>
      <c r="C36" t="s">
        <v>143</v>
      </c>
    </row>
    <row r="38" spans="1:6" x14ac:dyDescent="0.3">
      <c r="A38" s="2" t="s">
        <v>103</v>
      </c>
      <c r="B38">
        <v>3.1300000000000002E-4</v>
      </c>
      <c r="C38" t="s">
        <v>70</v>
      </c>
    </row>
    <row r="39" spans="1:6" x14ac:dyDescent="0.3">
      <c r="A39" s="2" t="s">
        <v>177</v>
      </c>
      <c r="B39">
        <f>B38*F9*B5</f>
        <v>0.48123843599520005</v>
      </c>
      <c r="C39" t="s">
        <v>23</v>
      </c>
    </row>
    <row r="40" spans="1:6" x14ac:dyDescent="0.3">
      <c r="A40" s="14" t="s">
        <v>171</v>
      </c>
      <c r="B40">
        <v>15</v>
      </c>
      <c r="C40" t="s">
        <v>172</v>
      </c>
    </row>
    <row r="41" spans="1:6" x14ac:dyDescent="0.3">
      <c r="B41" s="15">
        <f>B40*I1/1000</f>
        <v>1.6500000000000001E-2</v>
      </c>
      <c r="C41" t="s">
        <v>35</v>
      </c>
      <c r="E41">
        <f>B41*F9*1000000/I1</f>
        <v>25625049.84</v>
      </c>
      <c r="F41" t="s">
        <v>135</v>
      </c>
    </row>
    <row r="42" spans="1:6" x14ac:dyDescent="0.3">
      <c r="A42" t="s">
        <v>173</v>
      </c>
      <c r="B42">
        <v>2950</v>
      </c>
      <c r="C42" t="s">
        <v>26</v>
      </c>
      <c r="D42">
        <f>B42*C2</f>
        <v>819.51</v>
      </c>
      <c r="E42" t="s">
        <v>18</v>
      </c>
    </row>
    <row r="43" spans="1:6" x14ac:dyDescent="0.3">
      <c r="B43" s="3">
        <f>D42*B39</f>
        <v>394.37971068242638</v>
      </c>
      <c r="C43" s="3" t="s">
        <v>22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823C-69C1-4E4C-92FB-4F8D7DC530BE}">
  <dimension ref="A1:N25"/>
  <sheetViews>
    <sheetView workbookViewId="0">
      <selection activeCell="M30" sqref="M30"/>
    </sheetView>
  </sheetViews>
  <sheetFormatPr defaultRowHeight="14.4" x14ac:dyDescent="0.3"/>
  <cols>
    <col min="1" max="1" width="12.5546875" customWidth="1"/>
    <col min="2" max="2" width="12" bestFit="1" customWidth="1"/>
    <col min="3" max="3" width="10.33203125" customWidth="1"/>
    <col min="9" max="9" width="11.33203125" customWidth="1"/>
  </cols>
  <sheetData>
    <row r="1" spans="1:14" x14ac:dyDescent="0.3">
      <c r="B1" t="s">
        <v>1</v>
      </c>
      <c r="D1">
        <v>120</v>
      </c>
      <c r="E1" t="s">
        <v>2</v>
      </c>
      <c r="F1">
        <v>5024.28</v>
      </c>
      <c r="G1" t="s">
        <v>75</v>
      </c>
      <c r="H1">
        <v>1395.7449839999999</v>
      </c>
      <c r="I1" t="s">
        <v>77</v>
      </c>
      <c r="J1">
        <v>33.335999999999999</v>
      </c>
      <c r="K1" t="s">
        <v>3</v>
      </c>
      <c r="M1" s="9">
        <v>0.27779999999999999</v>
      </c>
      <c r="N1" s="2" t="s">
        <v>76</v>
      </c>
    </row>
    <row r="2" spans="1:14" x14ac:dyDescent="0.3">
      <c r="B2">
        <f>1/110</f>
        <v>9.0909090909090905E-3</v>
      </c>
      <c r="C2" t="s">
        <v>94</v>
      </c>
      <c r="D2">
        <v>1.1000000000000001</v>
      </c>
      <c r="E2" t="s">
        <v>146</v>
      </c>
      <c r="I2" t="s">
        <v>16</v>
      </c>
      <c r="J2">
        <f>3.9</f>
        <v>3.9</v>
      </c>
      <c r="K2" t="s">
        <v>3</v>
      </c>
    </row>
    <row r="3" spans="1:14" x14ac:dyDescent="0.3">
      <c r="I3" t="s">
        <v>199</v>
      </c>
      <c r="J3">
        <f>J1-J2</f>
        <v>29.436</v>
      </c>
      <c r="K3" t="s">
        <v>3</v>
      </c>
    </row>
    <row r="4" spans="1:14" x14ac:dyDescent="0.3">
      <c r="A4" t="s">
        <v>36</v>
      </c>
      <c r="B4">
        <v>20</v>
      </c>
      <c r="C4" t="s">
        <v>155</v>
      </c>
      <c r="D4" t="s">
        <v>134</v>
      </c>
      <c r="E4">
        <f>1000*D2</f>
        <v>1100</v>
      </c>
      <c r="F4" t="s">
        <v>102</v>
      </c>
      <c r="G4">
        <f>600*D2</f>
        <v>660</v>
      </c>
    </row>
    <row r="6" spans="1:14" x14ac:dyDescent="0.3">
      <c r="A6" s="2" t="s">
        <v>165</v>
      </c>
      <c r="B6">
        <v>2974000</v>
      </c>
      <c r="C6" t="s">
        <v>158</v>
      </c>
      <c r="D6">
        <f>B6/(1000000*L10)</f>
        <v>1239.0675412633659</v>
      </c>
      <c r="E6" t="s">
        <v>136</v>
      </c>
      <c r="F6">
        <f>D6*D2</f>
        <v>1362.9742953897025</v>
      </c>
      <c r="G6" t="s">
        <v>150</v>
      </c>
    </row>
    <row r="8" spans="1:14" x14ac:dyDescent="0.3">
      <c r="A8" t="s">
        <v>144</v>
      </c>
      <c r="B8">
        <v>0.22</v>
      </c>
      <c r="C8" t="s">
        <v>132</v>
      </c>
      <c r="I8" t="s">
        <v>161</v>
      </c>
      <c r="J8">
        <v>0.02</v>
      </c>
      <c r="K8" t="s">
        <v>132</v>
      </c>
    </row>
    <row r="9" spans="1:14" x14ac:dyDescent="0.3">
      <c r="B9">
        <f>B8*(365*24*60*60)</f>
        <v>6937920</v>
      </c>
      <c r="C9" t="s">
        <v>79</v>
      </c>
      <c r="J9">
        <f>J8*(365*24*60*60)</f>
        <v>630720</v>
      </c>
      <c r="K9" t="s">
        <v>79</v>
      </c>
      <c r="L9">
        <f>J9*J1/1000000</f>
        <v>21.025681919999997</v>
      </c>
      <c r="M9" t="s">
        <v>133</v>
      </c>
    </row>
    <row r="10" spans="1:14" x14ac:dyDescent="0.3">
      <c r="B10">
        <f>0.3*B9</f>
        <v>2081376</v>
      </c>
      <c r="C10" t="s">
        <v>110</v>
      </c>
      <c r="D10">
        <f>B10*B2/1000000</f>
        <v>1.89216E-2</v>
      </c>
      <c r="E10" t="s">
        <v>145</v>
      </c>
      <c r="F10">
        <f>D10/D2</f>
        <v>1.7201454545454544E-2</v>
      </c>
      <c r="G10" t="s">
        <v>147</v>
      </c>
      <c r="L10">
        <f>L9/8760</f>
        <v>2.4001919999999998E-3</v>
      </c>
      <c r="M10" t="s">
        <v>167</v>
      </c>
    </row>
    <row r="11" spans="1:14" x14ac:dyDescent="0.3">
      <c r="F11">
        <f>F10*1000000</f>
        <v>17201.454545454544</v>
      </c>
      <c r="G11" t="s">
        <v>141</v>
      </c>
    </row>
    <row r="12" spans="1:14" x14ac:dyDescent="0.3">
      <c r="A12" s="2" t="s">
        <v>168</v>
      </c>
      <c r="B12">
        <f>D10/L9</f>
        <v>8.9992800575953936E-4</v>
      </c>
      <c r="C12" t="s">
        <v>35</v>
      </c>
    </row>
    <row r="14" spans="1:14" x14ac:dyDescent="0.3">
      <c r="A14" t="s">
        <v>139</v>
      </c>
      <c r="B14">
        <v>52</v>
      </c>
      <c r="C14" t="s">
        <v>87</v>
      </c>
      <c r="I14" t="s">
        <v>163</v>
      </c>
      <c r="J14">
        <f>J1/B14</f>
        <v>0.6410769230769231</v>
      </c>
    </row>
    <row r="16" spans="1:14" x14ac:dyDescent="0.3">
      <c r="A16" s="2" t="s">
        <v>166</v>
      </c>
      <c r="B16">
        <v>15000</v>
      </c>
      <c r="C16" t="s">
        <v>141</v>
      </c>
      <c r="D16">
        <f>B16*D2/(1000000*L10)</f>
        <v>6.8744500439964815</v>
      </c>
      <c r="E16" t="s">
        <v>150</v>
      </c>
    </row>
    <row r="17" spans="1:7" x14ac:dyDescent="0.3">
      <c r="A17" t="s">
        <v>164</v>
      </c>
    </row>
    <row r="19" spans="1:7" x14ac:dyDescent="0.3">
      <c r="A19" s="2" t="s">
        <v>154</v>
      </c>
      <c r="B19">
        <f>L9*B4</f>
        <v>420.51363839999993</v>
      </c>
      <c r="C19" t="s">
        <v>22</v>
      </c>
      <c r="E19" t="s">
        <v>250</v>
      </c>
      <c r="G19">
        <v>0.16200000000000001</v>
      </c>
    </row>
    <row r="20" spans="1:7" x14ac:dyDescent="0.3">
      <c r="A20" s="2" t="s">
        <v>157</v>
      </c>
      <c r="B20">
        <f>B6+(B16*B4)+(F11*B4)</f>
        <v>3618029.0909090908</v>
      </c>
      <c r="C20" t="s">
        <v>158</v>
      </c>
      <c r="E20" t="s">
        <v>251</v>
      </c>
      <c r="G20">
        <f>B20/(B19*1000*G19)</f>
        <v>53.110079834324445</v>
      </c>
    </row>
    <row r="21" spans="1:7" x14ac:dyDescent="0.3">
      <c r="A21" s="2" t="s">
        <v>159</v>
      </c>
      <c r="B21">
        <f>B20/(B19*1000)</f>
        <v>8.603832933160561</v>
      </c>
      <c r="C21" t="s">
        <v>143</v>
      </c>
    </row>
    <row r="24" spans="1:7" x14ac:dyDescent="0.3">
      <c r="A24" s="2" t="s">
        <v>103</v>
      </c>
      <c r="B24">
        <v>2017</v>
      </c>
      <c r="C24">
        <v>1160</v>
      </c>
      <c r="D24" t="s">
        <v>198</v>
      </c>
      <c r="E24">
        <f>C24/J3</f>
        <v>39.407528196765867</v>
      </c>
      <c r="F24" t="s">
        <v>187</v>
      </c>
    </row>
    <row r="25" spans="1:7" x14ac:dyDescent="0.3">
      <c r="B25">
        <v>2050</v>
      </c>
      <c r="C25">
        <v>480</v>
      </c>
      <c r="D25" t="s">
        <v>198</v>
      </c>
      <c r="E25">
        <f>C25/J3</f>
        <v>16.306563391765184</v>
      </c>
      <c r="F25" t="s">
        <v>187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C190-EC74-43BE-8FB1-1D4B5E66E226}">
  <dimension ref="A1:I5"/>
  <sheetViews>
    <sheetView workbookViewId="0">
      <selection activeCell="K7" sqref="K7"/>
    </sheetView>
  </sheetViews>
  <sheetFormatPr defaultRowHeight="14.4" x14ac:dyDescent="0.3"/>
  <cols>
    <col min="3" max="3" width="12" bestFit="1" customWidth="1"/>
    <col min="6" max="6" width="12" bestFit="1" customWidth="1"/>
  </cols>
  <sheetData>
    <row r="1" spans="1:9" x14ac:dyDescent="0.3">
      <c r="A1" t="s">
        <v>36</v>
      </c>
      <c r="B1" t="s">
        <v>182</v>
      </c>
      <c r="D1">
        <v>2020</v>
      </c>
      <c r="F1">
        <v>2030</v>
      </c>
    </row>
    <row r="2" spans="1:9" x14ac:dyDescent="0.3">
      <c r="A2" t="s">
        <v>183</v>
      </c>
      <c r="C2">
        <v>25</v>
      </c>
      <c r="D2" t="s">
        <v>184</v>
      </c>
      <c r="F2">
        <f>15</f>
        <v>15</v>
      </c>
      <c r="G2" t="s">
        <v>184</v>
      </c>
    </row>
    <row r="3" spans="1:9" x14ac:dyDescent="0.3">
      <c r="A3" t="s">
        <v>185</v>
      </c>
      <c r="C3">
        <f>8760*10*0.5</f>
        <v>43800</v>
      </c>
      <c r="D3" t="s">
        <v>84</v>
      </c>
    </row>
    <row r="4" spans="1:9" x14ac:dyDescent="0.3">
      <c r="A4" t="s">
        <v>186</v>
      </c>
      <c r="C4">
        <f>C2*1000/C3</f>
        <v>0.57077625570776258</v>
      </c>
      <c r="D4" t="s">
        <v>187</v>
      </c>
      <c r="F4">
        <f>F2*1000/C3</f>
        <v>0.34246575342465752</v>
      </c>
    </row>
    <row r="5" spans="1:9" x14ac:dyDescent="0.3">
      <c r="C5">
        <f>C4/1000000</f>
        <v>5.7077625570776257E-7</v>
      </c>
      <c r="F5">
        <f>F4/1000000</f>
        <v>3.424657534246575E-7</v>
      </c>
      <c r="I5" s="16">
        <f>942/1000000</f>
        <v>9.4200000000000002E-4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F198-3247-41A0-820F-167859A4EE2B}">
  <dimension ref="A3:R21"/>
  <sheetViews>
    <sheetView workbookViewId="0">
      <selection activeCell="I16" sqref="I16"/>
    </sheetView>
  </sheetViews>
  <sheetFormatPr defaultRowHeight="14.4" x14ac:dyDescent="0.3"/>
  <cols>
    <col min="1" max="1" width="11.109375" customWidth="1"/>
  </cols>
  <sheetData>
    <row r="3" spans="1:18" x14ac:dyDescent="0.3">
      <c r="B3" s="2">
        <v>2017</v>
      </c>
      <c r="C3" s="18">
        <v>2025</v>
      </c>
      <c r="D3" s="18"/>
      <c r="E3" s="25">
        <v>2040</v>
      </c>
      <c r="F3" s="25"/>
      <c r="G3" t="s">
        <v>197</v>
      </c>
      <c r="Q3" s="17"/>
      <c r="R3" s="17"/>
    </row>
    <row r="4" spans="1:18" x14ac:dyDescent="0.3">
      <c r="B4" s="2" t="s">
        <v>201</v>
      </c>
      <c r="C4" s="2" t="s">
        <v>189</v>
      </c>
      <c r="D4" s="2" t="s">
        <v>190</v>
      </c>
      <c r="E4" s="2" t="s">
        <v>189</v>
      </c>
      <c r="F4" s="2" t="s">
        <v>190</v>
      </c>
      <c r="Q4" s="17"/>
      <c r="R4" s="17"/>
    </row>
    <row r="5" spans="1:18" x14ac:dyDescent="0.3">
      <c r="A5" s="2" t="s">
        <v>188</v>
      </c>
      <c r="B5">
        <f>(B18+(25*C18))/(8760*0.2*25)</f>
        <v>3.8510273972602739E-2</v>
      </c>
      <c r="C5">
        <f>35.74/1000</f>
        <v>3.5740000000000001E-2</v>
      </c>
      <c r="D5">
        <v>29</v>
      </c>
      <c r="E5">
        <f>29.7/1000</f>
        <v>2.9700000000000001E-2</v>
      </c>
      <c r="F5">
        <v>29</v>
      </c>
      <c r="G5">
        <f>E5/C5</f>
        <v>0.83100167879127029</v>
      </c>
      <c r="Q5" s="17"/>
      <c r="R5" s="17"/>
    </row>
    <row r="6" spans="1:18" x14ac:dyDescent="0.3">
      <c r="A6" s="2" t="s">
        <v>191</v>
      </c>
      <c r="B6">
        <f>(B20+(25*C20))/(8760*0.4*25)</f>
        <v>2.2539954337899543E-2</v>
      </c>
      <c r="C6">
        <f>39.95/1000</f>
        <v>3.9949999999999999E-2</v>
      </c>
      <c r="D6">
        <v>40</v>
      </c>
      <c r="E6">
        <f>35.97/1000</f>
        <v>3.5970000000000002E-2</v>
      </c>
      <c r="F6">
        <v>40</v>
      </c>
      <c r="G6">
        <f>E6/C6</f>
        <v>0.9003754693366709</v>
      </c>
      <c r="Q6" s="17"/>
      <c r="R6" s="17"/>
    </row>
    <row r="7" spans="1:18" x14ac:dyDescent="0.3">
      <c r="A7" s="2" t="s">
        <v>192</v>
      </c>
      <c r="B7">
        <f>(B21+(25*C21))/(8760*0.44*20)</f>
        <v>0.1061708696554587</v>
      </c>
      <c r="C7">
        <f>122.25/1000</f>
        <v>0.12225</v>
      </c>
      <c r="D7">
        <v>44</v>
      </c>
      <c r="E7">
        <f>85.53/1000</f>
        <v>8.5529999999999995E-2</v>
      </c>
      <c r="F7">
        <v>44</v>
      </c>
      <c r="G7">
        <f>E7/C7</f>
        <v>0.69963190184049073</v>
      </c>
      <c r="R7" s="17"/>
    </row>
    <row r="11" spans="1:18" x14ac:dyDescent="0.3">
      <c r="A11" s="2" t="s">
        <v>193</v>
      </c>
      <c r="B11" s="2">
        <v>2017</v>
      </c>
      <c r="C11" s="2">
        <v>2025</v>
      </c>
      <c r="D11" s="2">
        <v>2040</v>
      </c>
      <c r="E11" s="2">
        <v>2050</v>
      </c>
    </row>
    <row r="12" spans="1:18" x14ac:dyDescent="0.3">
      <c r="A12" s="2" t="s">
        <v>188</v>
      </c>
      <c r="B12">
        <v>1307</v>
      </c>
      <c r="D12" s="15">
        <f>B12*G5</f>
        <v>1086.1191941801903</v>
      </c>
      <c r="E12" s="15">
        <f>D12*G5</f>
        <v>902.56687373115983</v>
      </c>
    </row>
    <row r="13" spans="1:18" x14ac:dyDescent="0.3">
      <c r="A13" s="2" t="s">
        <v>194</v>
      </c>
      <c r="B13">
        <v>3454</v>
      </c>
      <c r="D13" s="15">
        <f>G6*B13</f>
        <v>3109.8968710888612</v>
      </c>
      <c r="E13" s="15">
        <f>G6*D13</f>
        <v>2800.0748548952779</v>
      </c>
    </row>
    <row r="14" spans="1:18" x14ac:dyDescent="0.3">
      <c r="A14" s="2" t="s">
        <v>195</v>
      </c>
      <c r="B14">
        <v>7772.73</v>
      </c>
      <c r="D14" s="15">
        <f>G7*B14</f>
        <v>5438.0498723926376</v>
      </c>
      <c r="E14" s="15">
        <f>D14*G7</f>
        <v>3804.6331745254988</v>
      </c>
    </row>
    <row r="15" spans="1:18" x14ac:dyDescent="0.3">
      <c r="A15" s="2" t="s">
        <v>196</v>
      </c>
      <c r="B15">
        <v>12897</v>
      </c>
      <c r="D15" s="15">
        <f>G7*B15</f>
        <v>9023.1526380368086</v>
      </c>
      <c r="E15" s="15">
        <f>D15*G7</f>
        <v>6312.8854407467334</v>
      </c>
    </row>
    <row r="16" spans="1:18" x14ac:dyDescent="0.3">
      <c r="I16" t="s">
        <v>203</v>
      </c>
    </row>
    <row r="18" spans="1:4" x14ac:dyDescent="0.3">
      <c r="A18" t="s">
        <v>200</v>
      </c>
      <c r="B18">
        <v>1307</v>
      </c>
      <c r="C18">
        <v>15.19</v>
      </c>
      <c r="D18">
        <v>0</v>
      </c>
    </row>
    <row r="20" spans="1:4" x14ac:dyDescent="0.3">
      <c r="A20" t="s">
        <v>194</v>
      </c>
      <c r="B20">
        <v>1319</v>
      </c>
      <c r="C20">
        <v>26.22</v>
      </c>
      <c r="D20">
        <v>0</v>
      </c>
    </row>
    <row r="21" spans="1:4" x14ac:dyDescent="0.3">
      <c r="A21" t="s">
        <v>202</v>
      </c>
      <c r="B21">
        <v>5446</v>
      </c>
      <c r="C21">
        <v>109.54</v>
      </c>
      <c r="D21">
        <v>0</v>
      </c>
    </row>
  </sheetData>
  <mergeCells count="1">
    <mergeCell ref="E3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6BEB-6091-4743-A766-86BDD24D0263}">
  <dimension ref="A1"/>
  <sheetViews>
    <sheetView workbookViewId="0">
      <selection activeCell="N40" sqref="N40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9435-D140-4ACE-89B8-673675A87D0E}">
  <dimension ref="A1:P43"/>
  <sheetViews>
    <sheetView tabSelected="1" workbookViewId="0">
      <selection activeCell="A21" sqref="A21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210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213</v>
      </c>
      <c r="D2" s="8"/>
      <c r="E2" s="8"/>
    </row>
    <row r="3" spans="1:16" x14ac:dyDescent="0.3">
      <c r="C3" t="s">
        <v>190</v>
      </c>
      <c r="J3" s="25" t="s">
        <v>218</v>
      </c>
      <c r="K3" s="25"/>
      <c r="L3" s="25"/>
      <c r="M3" s="25"/>
      <c r="N3" s="25"/>
      <c r="O3" s="25"/>
      <c r="P3" s="25"/>
    </row>
    <row r="4" spans="1:16" x14ac:dyDescent="0.3">
      <c r="A4" t="s">
        <v>229</v>
      </c>
      <c r="B4">
        <v>0.18</v>
      </c>
      <c r="C4">
        <f>0.55/(1+B4)</f>
        <v>0.46610169491525427</v>
      </c>
      <c r="J4" s="2" t="s">
        <v>4</v>
      </c>
      <c r="K4" s="2" t="s">
        <v>239</v>
      </c>
      <c r="L4" s="2" t="s">
        <v>237</v>
      </c>
      <c r="M4" s="2" t="s">
        <v>255</v>
      </c>
      <c r="N4" s="2" t="s">
        <v>240</v>
      </c>
      <c r="O4" s="2" t="s">
        <v>221</v>
      </c>
      <c r="P4" s="2" t="s">
        <v>223</v>
      </c>
    </row>
    <row r="5" spans="1:16" x14ac:dyDescent="0.3">
      <c r="B5" t="s">
        <v>69</v>
      </c>
      <c r="C5" t="s">
        <v>215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>K5*$B$21</f>
        <v>3.1110000000000002E-2</v>
      </c>
      <c r="N5">
        <f>L5/$L$10</f>
        <v>0.94444444444444453</v>
      </c>
      <c r="O5">
        <f t="shared" ref="O5:O15" si="1">$B$15/N5</f>
        <v>0.42211529395200004</v>
      </c>
      <c r="P5">
        <f>$D$30+M5</f>
        <v>4.2110000000000002E-2</v>
      </c>
    </row>
    <row r="6" spans="1:16" x14ac:dyDescent="0.3">
      <c r="A6" s="2" t="s">
        <v>212</v>
      </c>
      <c r="B6">
        <v>0.18</v>
      </c>
      <c r="C6">
        <v>0.25</v>
      </c>
      <c r="E6" t="s">
        <v>230</v>
      </c>
      <c r="J6">
        <v>0.86</v>
      </c>
      <c r="K6">
        <f t="shared" si="0"/>
        <v>3.4400000000000001E-4</v>
      </c>
      <c r="L6">
        <f t="shared" ref="L6:L15" si="2">K6*$B$12</f>
        <v>0.23663377802239999</v>
      </c>
      <c r="M6">
        <f t="shared" ref="M6:M15" si="3">K6*$B$21</f>
        <v>3.1476000000000004E-2</v>
      </c>
      <c r="N6">
        <f>L6/$L$10</f>
        <v>0.95555555555555549</v>
      </c>
      <c r="O6">
        <f t="shared" si="1"/>
        <v>0.41720697658046524</v>
      </c>
      <c r="P6">
        <f>$D$30+M6</f>
        <v>4.2476E-2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234</v>
      </c>
      <c r="J7">
        <v>0.87</v>
      </c>
      <c r="K7">
        <f t="shared" si="0"/>
        <v>3.48E-4</v>
      </c>
      <c r="L7">
        <f t="shared" si="2"/>
        <v>0.2393853335808</v>
      </c>
      <c r="M7">
        <f t="shared" si="3"/>
        <v>3.1842000000000002E-2</v>
      </c>
      <c r="N7">
        <f>L7/$L$10</f>
        <v>0.96666666666666667</v>
      </c>
      <c r="O7">
        <f t="shared" si="1"/>
        <v>0.41241149409103456</v>
      </c>
      <c r="P7">
        <f>$D$30+M7</f>
        <v>4.2842000000000005E-2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235</v>
      </c>
      <c r="J8">
        <v>0.88</v>
      </c>
      <c r="K8">
        <f t="shared" si="0"/>
        <v>3.5200000000000005E-4</v>
      </c>
      <c r="L8">
        <f t="shared" si="2"/>
        <v>0.24213688913920003</v>
      </c>
      <c r="M8">
        <f t="shared" si="3"/>
        <v>3.2208000000000007E-2</v>
      </c>
      <c r="N8">
        <f>L8/$L$10</f>
        <v>0.97777777777777797</v>
      </c>
      <c r="O8">
        <f t="shared" si="1"/>
        <v>0.40772499983999999</v>
      </c>
      <c r="P8">
        <f>$D$30+M8</f>
        <v>4.320800000000001E-2</v>
      </c>
    </row>
    <row r="9" spans="1:16" x14ac:dyDescent="0.3">
      <c r="B9">
        <v>5</v>
      </c>
      <c r="C9">
        <v>5</v>
      </c>
      <c r="E9" t="s">
        <v>18</v>
      </c>
      <c r="F9" t="s">
        <v>245</v>
      </c>
      <c r="J9">
        <v>0.89</v>
      </c>
      <c r="K9">
        <f t="shared" si="0"/>
        <v>3.5600000000000003E-4</v>
      </c>
      <c r="L9">
        <f t="shared" si="2"/>
        <v>0.24488844469760002</v>
      </c>
      <c r="M9">
        <f t="shared" si="3"/>
        <v>3.2574000000000006E-2</v>
      </c>
      <c r="N9">
        <f>L9/$L$10</f>
        <v>0.98888888888888893</v>
      </c>
      <c r="O9">
        <f t="shared" si="1"/>
        <v>0.40314382006651689</v>
      </c>
      <c r="P9">
        <f>$D$30+M9</f>
        <v>4.3574000000000002E-2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3.6000000000000002E-4</v>
      </c>
      <c r="L10">
        <f t="shared" si="2"/>
        <v>0.247640000256</v>
      </c>
      <c r="M10">
        <f t="shared" si="3"/>
        <v>3.2940000000000004E-2</v>
      </c>
      <c r="N10">
        <f>L10/$L$10</f>
        <v>1</v>
      </c>
      <c r="O10">
        <f t="shared" si="1"/>
        <v>0.39866444428800007</v>
      </c>
      <c r="P10">
        <f>$D$30+M10</f>
        <v>4.3940000000000007E-2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3.6400000000000001E-4</v>
      </c>
      <c r="L11">
        <f t="shared" si="2"/>
        <v>0.25039155581439998</v>
      </c>
      <c r="M11">
        <f t="shared" si="3"/>
        <v>3.3306000000000002E-2</v>
      </c>
      <c r="N11">
        <f>L11/$L$10</f>
        <v>1.0111111111111111</v>
      </c>
      <c r="O11">
        <f t="shared" si="1"/>
        <v>0.39428351632879127</v>
      </c>
      <c r="P11">
        <f>$D$30+M11</f>
        <v>4.4305999999999998E-2</v>
      </c>
    </row>
    <row r="12" spans="1:16" x14ac:dyDescent="0.3">
      <c r="A12" t="s">
        <v>232</v>
      </c>
      <c r="B12">
        <f>SUM(B8:B11)</f>
        <v>687.88888959999997</v>
      </c>
      <c r="C12">
        <f>SUM(C8:C11)</f>
        <v>482.76975772927574</v>
      </c>
      <c r="E12" t="s">
        <v>18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3"/>
        <v>3.3672000000000007E-2</v>
      </c>
      <c r="N12">
        <f>L12/$L$10</f>
        <v>1.0222222222222224</v>
      </c>
      <c r="O12">
        <f t="shared" si="1"/>
        <v>0.38999782593391308</v>
      </c>
      <c r="P12">
        <f>$D$30+M12</f>
        <v>4.4672000000000003E-2</v>
      </c>
    </row>
    <row r="13" spans="1:16" x14ac:dyDescent="0.3">
      <c r="A13" t="s">
        <v>233</v>
      </c>
      <c r="B13">
        <f>1/B36</f>
        <v>2500</v>
      </c>
      <c r="C13">
        <f>1/B35</f>
        <v>1061.5711252653928</v>
      </c>
      <c r="E13" t="s">
        <v>231</v>
      </c>
      <c r="J13">
        <v>0.93</v>
      </c>
      <c r="K13">
        <f t="shared" si="0"/>
        <v>3.7200000000000004E-4</v>
      </c>
      <c r="L13">
        <f t="shared" si="2"/>
        <v>0.2558946669312</v>
      </c>
      <c r="M13">
        <f t="shared" si="3"/>
        <v>3.4038000000000006E-2</v>
      </c>
      <c r="N13">
        <f>L13/$L$10</f>
        <v>1.0333333333333334</v>
      </c>
      <c r="O13">
        <f t="shared" si="1"/>
        <v>0.38580430092387102</v>
      </c>
      <c r="P13">
        <f>$D$30+M13</f>
        <v>4.5038000000000009E-2</v>
      </c>
    </row>
    <row r="14" spans="1:16" x14ac:dyDescent="0.3">
      <c r="A14" t="s">
        <v>238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2"/>
        <v>0.25864622248959995</v>
      </c>
      <c r="M14">
        <f t="shared" si="3"/>
        <v>3.4403999999999997E-2</v>
      </c>
      <c r="N14">
        <f>L14/$L$10</f>
        <v>1.0444444444444443</v>
      </c>
      <c r="O14">
        <f t="shared" si="1"/>
        <v>0.38169999985021291</v>
      </c>
      <c r="P14">
        <f>$D$30+M14</f>
        <v>4.5404E-2</v>
      </c>
    </row>
    <row r="15" spans="1:16" x14ac:dyDescent="0.3">
      <c r="A15" t="s">
        <v>221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2"/>
        <v>0.26139777804800002</v>
      </c>
      <c r="M15">
        <f t="shared" si="3"/>
        <v>3.4770000000000002E-2</v>
      </c>
      <c r="N15">
        <f>L15/$L$10</f>
        <v>1.0555555555555556</v>
      </c>
      <c r="O15">
        <f t="shared" si="1"/>
        <v>0.37768210511494743</v>
      </c>
      <c r="P15">
        <f>$D$30+M15</f>
        <v>4.5770000000000005E-2</v>
      </c>
    </row>
    <row r="17" spans="1:16" x14ac:dyDescent="0.3">
      <c r="B17" s="2" t="s">
        <v>252</v>
      </c>
      <c r="C17" t="s">
        <v>253</v>
      </c>
      <c r="J17" s="25" t="s">
        <v>224</v>
      </c>
      <c r="K17" s="25"/>
      <c r="L17" s="25"/>
      <c r="M17" s="25"/>
      <c r="N17" s="25"/>
      <c r="O17" s="25"/>
      <c r="P17" s="25"/>
    </row>
    <row r="18" spans="1:16" x14ac:dyDescent="0.3">
      <c r="A18" s="2" t="s">
        <v>211</v>
      </c>
      <c r="B18">
        <v>75</v>
      </c>
      <c r="C18">
        <v>41</v>
      </c>
      <c r="D18" t="s">
        <v>15</v>
      </c>
      <c r="E18" t="s">
        <v>219</v>
      </c>
      <c r="J18" s="2" t="s">
        <v>4</v>
      </c>
      <c r="K18" s="2" t="s">
        <v>220</v>
      </c>
      <c r="L18" s="2" t="s">
        <v>237</v>
      </c>
      <c r="M18" s="2" t="s">
        <v>240</v>
      </c>
      <c r="N18" s="2" t="s">
        <v>221</v>
      </c>
      <c r="O18" s="2" t="s">
        <v>255</v>
      </c>
      <c r="P18" s="2" t="s">
        <v>223</v>
      </c>
    </row>
    <row r="19" spans="1:16" x14ac:dyDescent="0.3">
      <c r="B19">
        <v>2.4</v>
      </c>
      <c r="C19">
        <v>2.4</v>
      </c>
      <c r="D19" t="s">
        <v>15</v>
      </c>
      <c r="E19" t="s">
        <v>24</v>
      </c>
      <c r="J19">
        <v>0.85</v>
      </c>
      <c r="K19">
        <f t="shared" ref="K19:K29" si="4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3" si="5">$C$15/M19</f>
        <v>0.31751681137460702</v>
      </c>
      <c r="O19">
        <f>K19*$C$21</f>
        <v>4.6040249999999998E-2</v>
      </c>
      <c r="P19">
        <f>$D$29+O19</f>
        <v>5.5040249999999999E-2</v>
      </c>
    </row>
    <row r="20" spans="1:16" x14ac:dyDescent="0.3">
      <c r="B20">
        <v>14.1</v>
      </c>
      <c r="C20">
        <v>14.1</v>
      </c>
      <c r="D20" t="s">
        <v>15</v>
      </c>
      <c r="E20" t="s">
        <v>254</v>
      </c>
      <c r="J20">
        <v>0.86</v>
      </c>
      <c r="K20">
        <f t="shared" si="4"/>
        <v>8.1012E-4</v>
      </c>
      <c r="L20">
        <f t="shared" ref="L20:L29" si="6">K20*$C$12</f>
        <v>0.39110143613164089</v>
      </c>
      <c r="M20">
        <f t="shared" ref="M20:M29" si="7">L20/$L$24</f>
        <v>0.9555555555555556</v>
      </c>
      <c r="N20">
        <f t="shared" si="5"/>
        <v>0.31382475542839072</v>
      </c>
      <c r="O20">
        <f t="shared" ref="O20:O29" si="8">K20*$C$21</f>
        <v>4.6581900000000002E-2</v>
      </c>
      <c r="P20">
        <f t="shared" ref="P20:P29" si="9">$D$29+O20</f>
        <v>5.5581900000000004E-2</v>
      </c>
    </row>
    <row r="21" spans="1:16" x14ac:dyDescent="0.3">
      <c r="A21" s="2" t="s">
        <v>222</v>
      </c>
      <c r="B21" s="2">
        <f>SUM(B18:B20)</f>
        <v>91.5</v>
      </c>
      <c r="C21" s="2">
        <f>SUM(C18:C20)</f>
        <v>57.5</v>
      </c>
      <c r="D21" s="2" t="s">
        <v>15</v>
      </c>
      <c r="J21">
        <v>0.87</v>
      </c>
      <c r="K21">
        <f t="shared" si="4"/>
        <v>8.1954E-4</v>
      </c>
      <c r="L21">
        <f t="shared" si="6"/>
        <v>0.39564912724945062</v>
      </c>
      <c r="M21">
        <f t="shared" si="7"/>
        <v>0.96666666666666667</v>
      </c>
      <c r="N21">
        <f t="shared" si="5"/>
        <v>0.31021757433151265</v>
      </c>
      <c r="O21">
        <f t="shared" si="8"/>
        <v>4.712355E-2</v>
      </c>
      <c r="P21">
        <f t="shared" si="9"/>
        <v>5.6123550000000001E-2</v>
      </c>
    </row>
    <row r="22" spans="1:16" x14ac:dyDescent="0.3">
      <c r="A22" t="s">
        <v>236</v>
      </c>
      <c r="B22">
        <f>B21/B18</f>
        <v>1.22</v>
      </c>
      <c r="J22">
        <v>0.88</v>
      </c>
      <c r="K22">
        <f t="shared" si="4"/>
        <v>8.2896000000000001E-4</v>
      </c>
      <c r="L22">
        <f t="shared" si="6"/>
        <v>0.4001968183672604</v>
      </c>
      <c r="M22">
        <f t="shared" si="7"/>
        <v>0.97777777777777775</v>
      </c>
      <c r="N22">
        <f t="shared" si="5"/>
        <v>0.30669237462320004</v>
      </c>
      <c r="O22">
        <f t="shared" si="8"/>
        <v>4.7665199999999998E-2</v>
      </c>
      <c r="P22">
        <f t="shared" si="9"/>
        <v>5.6665199999999999E-2</v>
      </c>
    </row>
    <row r="23" spans="1:16" x14ac:dyDescent="0.3">
      <c r="J23">
        <v>0.89</v>
      </c>
      <c r="K23">
        <f t="shared" si="4"/>
        <v>8.3838000000000001E-4</v>
      </c>
      <c r="L23">
        <f t="shared" si="6"/>
        <v>0.40474450948507018</v>
      </c>
      <c r="M23">
        <f t="shared" si="7"/>
        <v>0.98888888888888893</v>
      </c>
      <c r="N23">
        <f t="shared" si="5"/>
        <v>0.30324639288586069</v>
      </c>
      <c r="O23">
        <f t="shared" si="8"/>
        <v>4.8206850000000002E-2</v>
      </c>
      <c r="P23">
        <f t="shared" si="9"/>
        <v>5.7206850000000004E-2</v>
      </c>
    </row>
    <row r="24" spans="1:16" x14ac:dyDescent="0.3">
      <c r="A24" s="2"/>
      <c r="J24">
        <v>0.9</v>
      </c>
      <c r="K24">
        <f t="shared" si="4"/>
        <v>8.4780000000000001E-4</v>
      </c>
      <c r="L24">
        <f t="shared" si="6"/>
        <v>0.40929220060287996</v>
      </c>
      <c r="M24">
        <f t="shared" si="7"/>
        <v>1</v>
      </c>
      <c r="N24">
        <f>$C$15/M24</f>
        <v>0.29987698852046224</v>
      </c>
      <c r="O24">
        <f t="shared" si="8"/>
        <v>4.87485E-2</v>
      </c>
      <c r="P24">
        <f t="shared" si="9"/>
        <v>5.7748500000000001E-2</v>
      </c>
    </row>
    <row r="25" spans="1:16" x14ac:dyDescent="0.3">
      <c r="J25">
        <v>0.91</v>
      </c>
      <c r="K25">
        <f t="shared" si="4"/>
        <v>8.5722000000000001E-4</v>
      </c>
      <c r="L25">
        <f t="shared" si="6"/>
        <v>0.41383989172068975</v>
      </c>
      <c r="M25">
        <f t="shared" si="7"/>
        <v>1.0111111111111111</v>
      </c>
      <c r="N25">
        <f t="shared" ref="N25:N29" si="10">$C$15/M25</f>
        <v>0.29658163699825935</v>
      </c>
      <c r="O25">
        <f t="shared" si="8"/>
        <v>4.9290149999999998E-2</v>
      </c>
      <c r="P25">
        <f t="shared" si="9"/>
        <v>5.8290149999999999E-2</v>
      </c>
    </row>
    <row r="26" spans="1:16" x14ac:dyDescent="0.3">
      <c r="J26">
        <v>0.92</v>
      </c>
      <c r="K26">
        <f t="shared" si="4"/>
        <v>8.6664000000000001E-4</v>
      </c>
      <c r="L26">
        <f t="shared" si="6"/>
        <v>0.41838758283849953</v>
      </c>
      <c r="M26">
        <f t="shared" si="7"/>
        <v>1.0222222222222221</v>
      </c>
      <c r="N26">
        <f t="shared" si="10"/>
        <v>0.29335792355262613</v>
      </c>
      <c r="O26">
        <f t="shared" si="8"/>
        <v>4.9831800000000002E-2</v>
      </c>
      <c r="P26">
        <f t="shared" si="9"/>
        <v>5.8831800000000004E-2</v>
      </c>
    </row>
    <row r="27" spans="1:16" x14ac:dyDescent="0.3">
      <c r="A27" s="2"/>
      <c r="J27">
        <v>0.93</v>
      </c>
      <c r="K27">
        <f t="shared" si="4"/>
        <v>8.7606000000000001E-4</v>
      </c>
      <c r="L27">
        <f t="shared" si="6"/>
        <v>0.42293527395630931</v>
      </c>
      <c r="M27">
        <f t="shared" si="7"/>
        <v>1.0333333333333334</v>
      </c>
      <c r="N27">
        <f t="shared" si="10"/>
        <v>0.29020353727786663</v>
      </c>
      <c r="O27">
        <f t="shared" si="8"/>
        <v>5.037345E-2</v>
      </c>
      <c r="P27">
        <f t="shared" si="9"/>
        <v>5.9373450000000001E-2</v>
      </c>
    </row>
    <row r="28" spans="1:16" x14ac:dyDescent="0.3">
      <c r="A28" t="s">
        <v>214</v>
      </c>
      <c r="B28" s="2" t="s">
        <v>134</v>
      </c>
      <c r="C28" s="2" t="s">
        <v>166</v>
      </c>
      <c r="D28" s="2" t="s">
        <v>216</v>
      </c>
      <c r="E28" s="2" t="s">
        <v>242</v>
      </c>
      <c r="J28">
        <v>0.94</v>
      </c>
      <c r="K28">
        <f t="shared" si="4"/>
        <v>8.8548000000000001E-4</v>
      </c>
      <c r="L28">
        <f t="shared" si="6"/>
        <v>0.42748296507411909</v>
      </c>
      <c r="M28">
        <f t="shared" si="7"/>
        <v>1.0444444444444445</v>
      </c>
      <c r="N28">
        <f t="shared" si="10"/>
        <v>0.28711626560469788</v>
      </c>
      <c r="O28">
        <f t="shared" si="8"/>
        <v>5.0915099999999998E-2</v>
      </c>
      <c r="P28">
        <f t="shared" si="9"/>
        <v>5.9915099999999999E-2</v>
      </c>
    </row>
    <row r="29" spans="1:16" x14ac:dyDescent="0.3">
      <c r="A29" s="2" t="s">
        <v>215</v>
      </c>
      <c r="B29" s="20">
        <v>3552</v>
      </c>
      <c r="C29" s="20">
        <v>69</v>
      </c>
      <c r="D29" s="20">
        <f>9*1000/1000000</f>
        <v>8.9999999999999993E-3</v>
      </c>
      <c r="J29">
        <v>0.95</v>
      </c>
      <c r="K29">
        <f t="shared" si="4"/>
        <v>8.9490000000000001E-4</v>
      </c>
      <c r="L29">
        <f t="shared" si="6"/>
        <v>0.43203065619192887</v>
      </c>
      <c r="M29">
        <f t="shared" si="7"/>
        <v>1.0555555555555556</v>
      </c>
      <c r="N29">
        <f t="shared" si="10"/>
        <v>0.28409398912464845</v>
      </c>
      <c r="O29">
        <f t="shared" si="8"/>
        <v>5.1456750000000002E-2</v>
      </c>
      <c r="P29">
        <f t="shared" si="9"/>
        <v>6.0456750000000004E-2</v>
      </c>
    </row>
    <row r="30" spans="1:16" x14ac:dyDescent="0.3">
      <c r="A30" s="2" t="s">
        <v>69</v>
      </c>
      <c r="B30" s="20">
        <v>2313</v>
      </c>
      <c r="C30" s="20">
        <v>14</v>
      </c>
      <c r="D30" s="20">
        <f>11*1000/1000000</f>
        <v>1.0999999999999999E-2</v>
      </c>
    </row>
    <row r="31" spans="1:16" x14ac:dyDescent="0.3">
      <c r="A31" s="2" t="s">
        <v>241</v>
      </c>
      <c r="B31" s="20">
        <v>495</v>
      </c>
      <c r="C31" s="20">
        <v>4</v>
      </c>
      <c r="D31" s="20">
        <v>2.6473008613171967E-2</v>
      </c>
      <c r="E31">
        <v>0.73</v>
      </c>
      <c r="J31" s="25" t="s">
        <v>225</v>
      </c>
      <c r="K31" s="25"/>
      <c r="L31" s="25"/>
      <c r="M31" s="25"/>
      <c r="N31" s="25"/>
      <c r="O31" s="25"/>
      <c r="P31" s="25"/>
    </row>
    <row r="32" spans="1:16" x14ac:dyDescent="0.3">
      <c r="A32" s="2" t="s">
        <v>244</v>
      </c>
      <c r="B32" s="2">
        <f>2*B31</f>
        <v>990</v>
      </c>
      <c r="C32" s="21">
        <v>4</v>
      </c>
      <c r="J32" s="2" t="s">
        <v>4</v>
      </c>
      <c r="K32" s="2" t="s">
        <v>220</v>
      </c>
      <c r="L32" s="2" t="s">
        <v>237</v>
      </c>
      <c r="M32" s="2"/>
      <c r="N32" s="2" t="s">
        <v>243</v>
      </c>
      <c r="O32" s="2" t="s">
        <v>255</v>
      </c>
      <c r="P32" s="2" t="s">
        <v>223</v>
      </c>
    </row>
    <row r="33" spans="1:16" x14ac:dyDescent="0.3">
      <c r="J33">
        <v>0.85</v>
      </c>
      <c r="K33">
        <f t="shared" ref="K33:K43" si="11">$B$37*J33</f>
        <v>2.6604999999999999E-4</v>
      </c>
      <c r="L33">
        <f>K33*$B$12</f>
        <v>0.18301283907808</v>
      </c>
      <c r="N33">
        <f>$E$31-L33</f>
        <v>0.54698716092192001</v>
      </c>
      <c r="O33">
        <f>K33*$B$21</f>
        <v>2.4343574999999999E-2</v>
      </c>
      <c r="P33">
        <f>($D$31*M19)+O33</f>
        <v>4.9345860912440191E-2</v>
      </c>
    </row>
    <row r="34" spans="1:16" x14ac:dyDescent="0.3">
      <c r="A34" s="2" t="s">
        <v>217</v>
      </c>
      <c r="J34">
        <v>0.86</v>
      </c>
      <c r="K34">
        <f t="shared" si="11"/>
        <v>2.6917999999999999E-4</v>
      </c>
      <c r="L34">
        <f t="shared" ref="L34:L43" si="12">K34*$B$12</f>
        <v>0.18516593130252798</v>
      </c>
      <c r="N34">
        <f t="shared" ref="N34:N43" si="13">$E$31-L34</f>
        <v>0.54483406869747197</v>
      </c>
      <c r="O34">
        <f t="shared" ref="O34:O43" si="14">K34*$B$21</f>
        <v>2.4629970000000001E-2</v>
      </c>
      <c r="P34">
        <f t="shared" ref="P34:P43" si="15">($D$31*M20)+O34</f>
        <v>4.9926400452586547E-2</v>
      </c>
    </row>
    <row r="35" spans="1:16" x14ac:dyDescent="0.3">
      <c r="A35" s="14" t="s">
        <v>215</v>
      </c>
      <c r="B35" s="21">
        <f>942/1000000</f>
        <v>9.4200000000000002E-4</v>
      </c>
      <c r="C35" t="s">
        <v>70</v>
      </c>
      <c r="J35">
        <v>0.87</v>
      </c>
      <c r="K35">
        <f t="shared" si="11"/>
        <v>2.7231E-4</v>
      </c>
      <c r="L35">
        <f t="shared" si="12"/>
        <v>0.18731902352697599</v>
      </c>
      <c r="N35">
        <f t="shared" si="13"/>
        <v>0.54268097647302405</v>
      </c>
      <c r="O35">
        <f t="shared" si="14"/>
        <v>2.4916364999999999E-2</v>
      </c>
      <c r="P35">
        <f t="shared" si="15"/>
        <v>5.0506939992732897E-2</v>
      </c>
    </row>
    <row r="36" spans="1:16" x14ac:dyDescent="0.3">
      <c r="A36" s="14" t="s">
        <v>69</v>
      </c>
      <c r="B36" s="21">
        <f>400/1000000</f>
        <v>4.0000000000000002E-4</v>
      </c>
      <c r="C36" t="s">
        <v>70</v>
      </c>
      <c r="J36">
        <v>0.88</v>
      </c>
      <c r="K36">
        <f t="shared" si="11"/>
        <v>2.7544000000000001E-4</v>
      </c>
      <c r="L36">
        <f t="shared" si="12"/>
        <v>0.189472115751424</v>
      </c>
      <c r="N36">
        <f t="shared" si="13"/>
        <v>0.54052788424857601</v>
      </c>
      <c r="O36">
        <f t="shared" si="14"/>
        <v>2.5202760000000001E-2</v>
      </c>
      <c r="P36">
        <f t="shared" si="15"/>
        <v>5.108747953287926E-2</v>
      </c>
    </row>
    <row r="37" spans="1:16" x14ac:dyDescent="0.3">
      <c r="A37" s="14" t="s">
        <v>125</v>
      </c>
      <c r="B37" s="21">
        <f>313/1000000</f>
        <v>3.1300000000000002E-4</v>
      </c>
      <c r="C37" t="s">
        <v>70</v>
      </c>
      <c r="J37">
        <v>0.89</v>
      </c>
      <c r="K37">
        <f t="shared" si="11"/>
        <v>2.7857000000000001E-4</v>
      </c>
      <c r="L37">
        <f t="shared" si="12"/>
        <v>0.19162520797587199</v>
      </c>
      <c r="N37">
        <f t="shared" si="13"/>
        <v>0.53837479202412797</v>
      </c>
      <c r="O37">
        <f t="shared" si="14"/>
        <v>2.5489154999999999E-2</v>
      </c>
      <c r="P37">
        <f t="shared" si="15"/>
        <v>5.1668019073025609E-2</v>
      </c>
    </row>
    <row r="38" spans="1:16" x14ac:dyDescent="0.3">
      <c r="J38">
        <v>0.9</v>
      </c>
      <c r="K38">
        <f t="shared" si="11"/>
        <v>2.8170000000000002E-4</v>
      </c>
      <c r="L38">
        <f t="shared" si="12"/>
        <v>0.19377830020032</v>
      </c>
      <c r="N38">
        <f t="shared" si="13"/>
        <v>0.53622169979968004</v>
      </c>
      <c r="O38">
        <f t="shared" si="14"/>
        <v>2.5775550000000001E-2</v>
      </c>
      <c r="P38">
        <f t="shared" si="15"/>
        <v>5.2248558613171972E-2</v>
      </c>
    </row>
    <row r="39" spans="1:16" x14ac:dyDescent="0.3">
      <c r="J39">
        <v>0.91</v>
      </c>
      <c r="K39">
        <f t="shared" si="11"/>
        <v>2.8483000000000002E-4</v>
      </c>
      <c r="L39">
        <f t="shared" si="12"/>
        <v>0.19593139242476801</v>
      </c>
      <c r="N39">
        <f t="shared" si="13"/>
        <v>0.534068607575232</v>
      </c>
      <c r="O39">
        <f t="shared" si="14"/>
        <v>2.6061945000000003E-2</v>
      </c>
      <c r="P39">
        <f t="shared" si="15"/>
        <v>5.2829098153318321E-2</v>
      </c>
    </row>
    <row r="40" spans="1:16" x14ac:dyDescent="0.3">
      <c r="J40">
        <v>0.92</v>
      </c>
      <c r="K40">
        <f t="shared" si="11"/>
        <v>2.8796000000000003E-4</v>
      </c>
      <c r="L40">
        <f t="shared" si="12"/>
        <v>0.19808448464921602</v>
      </c>
      <c r="N40">
        <f t="shared" si="13"/>
        <v>0.53191551535078396</v>
      </c>
      <c r="O40">
        <f t="shared" si="14"/>
        <v>2.6348340000000001E-2</v>
      </c>
      <c r="P40">
        <f t="shared" si="15"/>
        <v>5.3409637693464677E-2</v>
      </c>
    </row>
    <row r="41" spans="1:16" x14ac:dyDescent="0.3">
      <c r="J41">
        <v>0.93</v>
      </c>
      <c r="K41">
        <f t="shared" si="11"/>
        <v>2.9109000000000003E-4</v>
      </c>
      <c r="L41">
        <f t="shared" si="12"/>
        <v>0.200237576873664</v>
      </c>
      <c r="N41">
        <f t="shared" si="13"/>
        <v>0.52976242312633604</v>
      </c>
      <c r="O41">
        <f t="shared" si="14"/>
        <v>2.6634735000000003E-2</v>
      </c>
      <c r="P41">
        <f t="shared" si="15"/>
        <v>5.3990177233611034E-2</v>
      </c>
    </row>
    <row r="42" spans="1:16" x14ac:dyDescent="0.3">
      <c r="J42">
        <v>0.94</v>
      </c>
      <c r="K42">
        <f t="shared" si="11"/>
        <v>2.9421999999999999E-4</v>
      </c>
      <c r="L42">
        <f t="shared" si="12"/>
        <v>0.20239066909811199</v>
      </c>
      <c r="N42">
        <f t="shared" si="13"/>
        <v>0.527609330901888</v>
      </c>
      <c r="O42">
        <f t="shared" si="14"/>
        <v>2.6921129999999998E-2</v>
      </c>
      <c r="P42">
        <f t="shared" si="15"/>
        <v>5.4570716773757383E-2</v>
      </c>
    </row>
    <row r="43" spans="1:16" x14ac:dyDescent="0.3">
      <c r="J43">
        <v>0.95</v>
      </c>
      <c r="K43">
        <f t="shared" si="11"/>
        <v>2.9734999999999999E-4</v>
      </c>
      <c r="L43">
        <f t="shared" si="12"/>
        <v>0.20454376132256</v>
      </c>
      <c r="N43">
        <f t="shared" si="13"/>
        <v>0.52545623867743996</v>
      </c>
      <c r="O43">
        <f t="shared" si="14"/>
        <v>2.7207525E-2</v>
      </c>
      <c r="P43">
        <f t="shared" si="15"/>
        <v>5.5151256313903746E-2</v>
      </c>
    </row>
  </sheetData>
  <mergeCells count="3">
    <mergeCell ref="J3:P3"/>
    <mergeCell ref="J17:P17"/>
    <mergeCell ref="J31:P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9103-379C-4E88-98A5-B1002B4232D6}">
  <dimension ref="A1:E9"/>
  <sheetViews>
    <sheetView workbookViewId="0">
      <selection sqref="A1:E9"/>
    </sheetView>
  </sheetViews>
  <sheetFormatPr defaultRowHeight="14.4" x14ac:dyDescent="0.3"/>
  <sheetData>
    <row r="1" spans="1:5" x14ac:dyDescent="0.3">
      <c r="A1" s="2" t="s">
        <v>204</v>
      </c>
      <c r="B1" s="2" t="s">
        <v>209</v>
      </c>
      <c r="C1" s="2" t="s">
        <v>206</v>
      </c>
      <c r="D1" s="2" t="s">
        <v>207</v>
      </c>
      <c r="E1" s="2" t="s">
        <v>208</v>
      </c>
    </row>
    <row r="2" spans="1:5" x14ac:dyDescent="0.3">
      <c r="A2" t="s">
        <v>205</v>
      </c>
      <c r="B2">
        <v>2020</v>
      </c>
      <c r="C2">
        <v>2E-3</v>
      </c>
      <c r="D2">
        <v>400</v>
      </c>
      <c r="E2">
        <f t="shared" ref="E2:E9" si="0">C2*$D$2</f>
        <v>0.8</v>
      </c>
    </row>
    <row r="3" spans="1:5" x14ac:dyDescent="0.3">
      <c r="B3">
        <v>2025</v>
      </c>
      <c r="C3">
        <v>6.0000000000000001E-3</v>
      </c>
      <c r="E3">
        <f t="shared" si="0"/>
        <v>2.4</v>
      </c>
    </row>
    <row r="4" spans="1:5" x14ac:dyDescent="0.3">
      <c r="B4">
        <v>2030</v>
      </c>
      <c r="C4">
        <v>0.02</v>
      </c>
      <c r="E4">
        <f t="shared" si="0"/>
        <v>8</v>
      </c>
    </row>
    <row r="5" spans="1:5" x14ac:dyDescent="0.3">
      <c r="B5">
        <v>2035</v>
      </c>
      <c r="C5">
        <v>0.06</v>
      </c>
      <c r="E5">
        <f t="shared" si="0"/>
        <v>24</v>
      </c>
    </row>
    <row r="6" spans="1:5" x14ac:dyDescent="0.3">
      <c r="B6">
        <v>2040</v>
      </c>
      <c r="C6">
        <v>0.2</v>
      </c>
      <c r="E6">
        <f t="shared" si="0"/>
        <v>80</v>
      </c>
    </row>
    <row r="7" spans="1:5" x14ac:dyDescent="0.3">
      <c r="B7">
        <v>2045</v>
      </c>
      <c r="C7">
        <v>0.5</v>
      </c>
      <c r="E7">
        <f t="shared" si="0"/>
        <v>200</v>
      </c>
    </row>
    <row r="8" spans="1:5" x14ac:dyDescent="0.3">
      <c r="B8">
        <v>2050</v>
      </c>
      <c r="C8">
        <v>1</v>
      </c>
      <c r="E8">
        <f t="shared" si="0"/>
        <v>400</v>
      </c>
    </row>
    <row r="9" spans="1:5" x14ac:dyDescent="0.3">
      <c r="B9">
        <v>2100</v>
      </c>
      <c r="C9">
        <v>2</v>
      </c>
      <c r="E9">
        <f t="shared" si="0"/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2:P30"/>
  <sheetViews>
    <sheetView workbookViewId="0">
      <selection activeCell="G3" sqref="G3:H3"/>
    </sheetView>
  </sheetViews>
  <sheetFormatPr defaultRowHeight="14.4" x14ac:dyDescent="0.3"/>
  <cols>
    <col min="1" max="1" width="22.88671875" customWidth="1"/>
    <col min="2" max="3" width="12.6640625" customWidth="1"/>
    <col min="4" max="4" width="15.109375" customWidth="1"/>
    <col min="5" max="5" width="13.109375" customWidth="1"/>
    <col min="6" max="6" width="12.6640625" bestFit="1" customWidth="1"/>
    <col min="7" max="7" width="10.6640625" customWidth="1"/>
    <col min="8" max="8" width="13" customWidth="1"/>
    <col min="9" max="9" width="16.109375" customWidth="1"/>
    <col min="11" max="11" width="13.33203125" customWidth="1"/>
    <col min="12" max="12" width="11.6640625" bestFit="1" customWidth="1"/>
    <col min="13" max="13" width="13.44140625" customWidth="1"/>
    <col min="14" max="14" width="14.109375" customWidth="1"/>
  </cols>
  <sheetData>
    <row r="2" spans="1:16" x14ac:dyDescent="0.3">
      <c r="A2" s="4" t="s">
        <v>12</v>
      </c>
      <c r="G2" s="5">
        <v>41.869</v>
      </c>
      <c r="H2" t="s">
        <v>74</v>
      </c>
      <c r="I2" t="s">
        <v>29</v>
      </c>
      <c r="K2">
        <f>1/110</f>
        <v>9.0909090909090905E-3</v>
      </c>
      <c r="L2" t="s">
        <v>94</v>
      </c>
    </row>
    <row r="3" spans="1:16" x14ac:dyDescent="0.3">
      <c r="A3" s="2"/>
      <c r="B3" s="2"/>
      <c r="C3" s="2"/>
      <c r="D3" s="2"/>
      <c r="E3" s="2"/>
      <c r="F3" s="2"/>
      <c r="G3" s="9">
        <v>0.27779999999999999</v>
      </c>
      <c r="H3" s="2" t="s">
        <v>76</v>
      </c>
      <c r="I3" s="2"/>
      <c r="J3" s="2"/>
      <c r="K3" s="2"/>
      <c r="L3" s="2"/>
      <c r="M3" s="2"/>
      <c r="N3" s="2"/>
      <c r="O3" s="2"/>
    </row>
    <row r="4" spans="1:16" x14ac:dyDescent="0.3">
      <c r="E4" t="s">
        <v>1</v>
      </c>
      <c r="G4">
        <v>120</v>
      </c>
      <c r="H4" t="s">
        <v>2</v>
      </c>
      <c r="I4">
        <f>G4*G2</f>
        <v>5024.28</v>
      </c>
      <c r="J4" t="s">
        <v>75</v>
      </c>
      <c r="K4">
        <f>G3*I4</f>
        <v>1395.7449839999999</v>
      </c>
      <c r="L4" t="s">
        <v>77</v>
      </c>
      <c r="M4">
        <f>G4*G3</f>
        <v>33.335999999999999</v>
      </c>
      <c r="N4" t="s">
        <v>3</v>
      </c>
    </row>
    <row r="5" spans="1:16" x14ac:dyDescent="0.3">
      <c r="E5" t="s">
        <v>86</v>
      </c>
      <c r="G5">
        <v>9.31</v>
      </c>
      <c r="H5" t="s">
        <v>87</v>
      </c>
      <c r="I5">
        <f>G5/M4</f>
        <v>0.27927765778737701</v>
      </c>
      <c r="J5" t="s">
        <v>88</v>
      </c>
    </row>
    <row r="7" spans="1:16" x14ac:dyDescent="0.3">
      <c r="A7" s="2" t="s">
        <v>36</v>
      </c>
      <c r="B7" t="s">
        <v>113</v>
      </c>
      <c r="C7" s="12" t="s">
        <v>112</v>
      </c>
      <c r="K7" s="1" t="s">
        <v>89</v>
      </c>
      <c r="L7" s="11"/>
      <c r="O7" s="1"/>
    </row>
    <row r="8" spans="1:16" x14ac:dyDescent="0.3">
      <c r="K8" t="s">
        <v>90</v>
      </c>
      <c r="L8" s="11">
        <v>1538396</v>
      </c>
      <c r="M8" t="s">
        <v>78</v>
      </c>
      <c r="N8" s="11">
        <f>G2*L8</f>
        <v>64411102.123999998</v>
      </c>
      <c r="O8" t="s">
        <v>79</v>
      </c>
    </row>
    <row r="9" spans="1:16" x14ac:dyDescent="0.3">
      <c r="A9" s="2" t="s">
        <v>85</v>
      </c>
      <c r="B9">
        <f>186*1000000</f>
        <v>186000000</v>
      </c>
      <c r="C9" t="s">
        <v>98</v>
      </c>
      <c r="K9" t="s">
        <v>80</v>
      </c>
      <c r="L9" s="11">
        <v>1141251</v>
      </c>
      <c r="M9" t="s">
        <v>84</v>
      </c>
      <c r="P9" s="10"/>
    </row>
    <row r="10" spans="1:16" x14ac:dyDescent="0.3">
      <c r="B10">
        <f>B9*K2</f>
        <v>1690909.0909090908</v>
      </c>
      <c r="C10" t="s">
        <v>95</v>
      </c>
      <c r="D10">
        <f>B10/L11</f>
        <v>0.41378551295067767</v>
      </c>
      <c r="E10" t="s">
        <v>101</v>
      </c>
      <c r="F10">
        <f>B10/N11</f>
        <v>3624.7610934479362</v>
      </c>
      <c r="G10" t="s">
        <v>102</v>
      </c>
      <c r="J10" s="26" t="s">
        <v>91</v>
      </c>
      <c r="K10" s="26"/>
      <c r="L10" s="11">
        <f>L9/G5</f>
        <v>122583.35123523093</v>
      </c>
      <c r="M10" t="s">
        <v>83</v>
      </c>
    </row>
    <row r="11" spans="1:16" x14ac:dyDescent="0.3">
      <c r="J11" s="26" t="s">
        <v>92</v>
      </c>
      <c r="K11" s="26"/>
      <c r="L11" s="11">
        <f>M4*L10</f>
        <v>4086438.5967776584</v>
      </c>
      <c r="M11" t="s">
        <v>84</v>
      </c>
      <c r="N11" s="11">
        <f>L11/8760</f>
        <v>466.48842428968703</v>
      </c>
      <c r="O11" t="s">
        <v>99</v>
      </c>
    </row>
    <row r="12" spans="1:16" x14ac:dyDescent="0.3">
      <c r="A12" s="2" t="s">
        <v>107</v>
      </c>
      <c r="H12" t="s">
        <v>126</v>
      </c>
      <c r="K12" t="s">
        <v>118</v>
      </c>
      <c r="L12" s="11">
        <v>1</v>
      </c>
      <c r="N12" s="1"/>
    </row>
    <row r="13" spans="1:16" x14ac:dyDescent="0.3">
      <c r="A13" t="s">
        <v>6</v>
      </c>
      <c r="B13">
        <v>441890</v>
      </c>
      <c r="C13" t="s">
        <v>83</v>
      </c>
      <c r="D13" s="11">
        <f>114*B13</f>
        <v>50375460</v>
      </c>
      <c r="E13" t="s">
        <v>93</v>
      </c>
      <c r="F13" s="11">
        <f>D13*$K$2</f>
        <v>457958.72727272724</v>
      </c>
      <c r="G13" t="s">
        <v>95</v>
      </c>
      <c r="H13" s="11">
        <f>B13*53*G3</f>
        <v>6506123.2259999998</v>
      </c>
      <c r="L13" s="11"/>
    </row>
    <row r="14" spans="1:16" x14ac:dyDescent="0.3">
      <c r="A14" t="s">
        <v>81</v>
      </c>
      <c r="B14">
        <v>3428000</v>
      </c>
      <c r="C14" t="s">
        <v>83</v>
      </c>
      <c r="D14" s="11">
        <f>300*B14</f>
        <v>1028400000</v>
      </c>
      <c r="E14" t="s">
        <v>93</v>
      </c>
      <c r="F14" s="11">
        <f t="shared" ref="F14:F15" si="0">D14*$K$2</f>
        <v>9349090.9090909082</v>
      </c>
      <c r="G14" t="s">
        <v>95</v>
      </c>
    </row>
    <row r="15" spans="1:16" x14ac:dyDescent="0.3">
      <c r="A15" t="s">
        <v>82</v>
      </c>
      <c r="B15">
        <v>1714000</v>
      </c>
      <c r="C15" t="s">
        <v>83</v>
      </c>
      <c r="D15" s="11">
        <f>B15*200</f>
        <v>342800000</v>
      </c>
      <c r="E15" t="s">
        <v>93</v>
      </c>
      <c r="F15" s="11">
        <f t="shared" si="0"/>
        <v>3116363.6363636362</v>
      </c>
      <c r="G15" t="s">
        <v>95</v>
      </c>
    </row>
    <row r="16" spans="1:16" x14ac:dyDescent="0.3">
      <c r="A16" t="s">
        <v>31</v>
      </c>
      <c r="B16" s="1"/>
      <c r="D16" s="11">
        <f>SUM(D13:D15)</f>
        <v>1421575460</v>
      </c>
      <c r="F16" s="11">
        <f>SUM(F13:F15)</f>
        <v>12923413.272727272</v>
      </c>
      <c r="G16" t="s">
        <v>95</v>
      </c>
    </row>
    <row r="17" spans="1:10" x14ac:dyDescent="0.3">
      <c r="A17" t="s">
        <v>97</v>
      </c>
      <c r="B17">
        <f>F16/L11</f>
        <v>3.1625125317967502</v>
      </c>
      <c r="C17" t="s">
        <v>96</v>
      </c>
      <c r="D17" s="3"/>
    </row>
    <row r="19" spans="1:10" x14ac:dyDescent="0.3">
      <c r="A19" s="2" t="s">
        <v>108</v>
      </c>
    </row>
    <row r="20" spans="1:10" x14ac:dyDescent="0.3">
      <c r="A20" t="s">
        <v>109</v>
      </c>
      <c r="B20">
        <f>7000000*1.5</f>
        <v>10500000</v>
      </c>
      <c r="C20" t="s">
        <v>110</v>
      </c>
    </row>
    <row r="21" spans="1:10" x14ac:dyDescent="0.3">
      <c r="A21" t="s">
        <v>111</v>
      </c>
      <c r="B21">
        <f>0.03*B9/20</f>
        <v>279000</v>
      </c>
      <c r="C21" t="s">
        <v>110</v>
      </c>
      <c r="D21" s="3"/>
    </row>
    <row r="22" spans="1:10" x14ac:dyDescent="0.3">
      <c r="A22" t="s">
        <v>114</v>
      </c>
      <c r="B22">
        <f>0.0077*0.55*B9/20</f>
        <v>39385.5</v>
      </c>
      <c r="C22" t="s">
        <v>110</v>
      </c>
    </row>
    <row r="23" spans="1:10" x14ac:dyDescent="0.3">
      <c r="A23" t="s">
        <v>115</v>
      </c>
      <c r="B23">
        <f>0.014*0.55*B9/20</f>
        <v>71610.000000000015</v>
      </c>
      <c r="C23" t="s">
        <v>110</v>
      </c>
      <c r="G23" t="s">
        <v>120</v>
      </c>
      <c r="I23" t="s">
        <v>119</v>
      </c>
    </row>
    <row r="24" spans="1:10" x14ac:dyDescent="0.3">
      <c r="A24" t="s">
        <v>17</v>
      </c>
      <c r="B24">
        <f>SUM(B20:B23)</f>
        <v>10889995.5</v>
      </c>
      <c r="C24" t="s">
        <v>110</v>
      </c>
      <c r="D24">
        <f>B24*K2</f>
        <v>98999.959090909091</v>
      </c>
      <c r="E24" t="s">
        <v>116</v>
      </c>
      <c r="G24">
        <v>1690909.0909090908</v>
      </c>
      <c r="I24">
        <f>4086438.59677766*20</f>
        <v>81728771.935553193</v>
      </c>
      <c r="J24" t="s">
        <v>84</v>
      </c>
    </row>
    <row r="25" spans="1:10" x14ac:dyDescent="0.3">
      <c r="A25" t="s">
        <v>117</v>
      </c>
      <c r="D25">
        <f>D24/N11</f>
        <v>212.22382793668336</v>
      </c>
      <c r="E25" t="s">
        <v>102</v>
      </c>
      <c r="G25">
        <f>D24*20</f>
        <v>1979999.1818181819</v>
      </c>
    </row>
    <row r="26" spans="1:10" x14ac:dyDescent="0.3">
      <c r="G26">
        <f>F16*20</f>
        <v>258468265.45454544</v>
      </c>
    </row>
    <row r="27" spans="1:10" x14ac:dyDescent="0.3">
      <c r="I27">
        <f>SUM(G24:G26)/(L10*20)</f>
        <v>106.92282886941211</v>
      </c>
    </row>
    <row r="28" spans="1:10" x14ac:dyDescent="0.3">
      <c r="A28" s="2"/>
      <c r="G28">
        <f>SUM(G24:G26)/I24</f>
        <v>3.2074282718206168</v>
      </c>
      <c r="H28" t="s">
        <v>100</v>
      </c>
    </row>
    <row r="29" spans="1:10" x14ac:dyDescent="0.3">
      <c r="A29" t="s">
        <v>103</v>
      </c>
      <c r="B29">
        <v>133</v>
      </c>
      <c r="C29" t="s">
        <v>106</v>
      </c>
      <c r="D29" s="8">
        <f>B29/1000000</f>
        <v>1.3300000000000001E-4</v>
      </c>
      <c r="E29" t="s">
        <v>70</v>
      </c>
    </row>
    <row r="30" spans="1:10" x14ac:dyDescent="0.3">
      <c r="A30" t="s">
        <v>104</v>
      </c>
      <c r="B30" s="12" t="s">
        <v>105</v>
      </c>
    </row>
  </sheetData>
  <mergeCells count="2">
    <mergeCell ref="J10:K10"/>
    <mergeCell ref="J11:K11"/>
  </mergeCells>
  <hyperlinks>
    <hyperlink ref="B30" r:id="rId1" xr:uid="{177C782A-8AA1-4D91-B9EC-1036244F9B44}"/>
    <hyperlink ref="C7" r:id="rId2" xr:uid="{DB1ADAF0-30AF-4C87-848C-F1A882EFDD6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EB48-4038-4170-8B3C-AD75DD5549D7}">
  <dimension ref="A1:E2"/>
  <sheetViews>
    <sheetView workbookViewId="0">
      <selection activeCell="G35" sqref="G35"/>
    </sheetView>
  </sheetViews>
  <sheetFormatPr defaultRowHeight="14.4" x14ac:dyDescent="0.3"/>
  <sheetData>
    <row r="1" spans="1:5" x14ac:dyDescent="0.3">
      <c r="A1" t="s">
        <v>86</v>
      </c>
      <c r="C1">
        <v>9.31</v>
      </c>
      <c r="D1" t="s">
        <v>3</v>
      </c>
      <c r="E1" t="s">
        <v>121</v>
      </c>
    </row>
    <row r="2" spans="1:5" x14ac:dyDescent="0.3">
      <c r="A2" t="s">
        <v>122</v>
      </c>
      <c r="C2">
        <v>1.5</v>
      </c>
      <c r="D2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workbookViewId="0">
      <selection activeCell="O6" sqref="O6"/>
    </sheetView>
  </sheetViews>
  <sheetFormatPr defaultRowHeight="14.4" x14ac:dyDescent="0.3"/>
  <cols>
    <col min="1" max="1" width="13.33203125" customWidth="1"/>
    <col min="3" max="3" width="17" customWidth="1"/>
    <col min="4" max="5" width="17.44140625" customWidth="1"/>
    <col min="6" max="6" width="13.44140625" customWidth="1"/>
    <col min="7" max="7" width="17.33203125" customWidth="1"/>
    <col min="8" max="8" width="11.44140625" bestFit="1" customWidth="1"/>
    <col min="10" max="11" width="13.33203125" customWidth="1"/>
    <col min="12" max="12" width="16.6640625" customWidth="1"/>
    <col min="14" max="14" width="15.33203125" customWidth="1"/>
    <col min="15" max="16" width="16.33203125" customWidth="1"/>
    <col min="17" max="17" width="15.109375" customWidth="1"/>
    <col min="18" max="18" width="11" customWidth="1"/>
  </cols>
  <sheetData>
    <row r="1" spans="1:17" x14ac:dyDescent="0.3">
      <c r="D1" t="s">
        <v>27</v>
      </c>
      <c r="G1">
        <v>39444.433400000002</v>
      </c>
      <c r="H1" t="s">
        <v>18</v>
      </c>
    </row>
    <row r="2" spans="1:17" x14ac:dyDescent="0.3">
      <c r="A2" s="4" t="s">
        <v>12</v>
      </c>
      <c r="D2" t="s">
        <v>30</v>
      </c>
      <c r="G2" t="s">
        <v>28</v>
      </c>
      <c r="I2" s="5">
        <f>70.8/(1.8*1000000000)</f>
        <v>3.9333333333333335E-8</v>
      </c>
      <c r="J2" t="s">
        <v>37</v>
      </c>
      <c r="L2" t="s">
        <v>29</v>
      </c>
      <c r="N2">
        <v>8.8999999999999999E-3</v>
      </c>
      <c r="O2" t="s">
        <v>20</v>
      </c>
    </row>
    <row r="3" spans="1:17" x14ac:dyDescent="0.3">
      <c r="A3" s="2" t="s">
        <v>0</v>
      </c>
      <c r="B3" t="s">
        <v>13</v>
      </c>
      <c r="G3" s="2" t="s">
        <v>31</v>
      </c>
      <c r="H3" s="7"/>
      <c r="I3" s="2" t="s">
        <v>56</v>
      </c>
      <c r="Q3" s="2" t="s">
        <v>34</v>
      </c>
    </row>
    <row r="4" spans="1:17" ht="15" customHeight="1" x14ac:dyDescent="0.3">
      <c r="A4" s="2" t="s">
        <v>5</v>
      </c>
      <c r="B4" s="2" t="s">
        <v>33</v>
      </c>
      <c r="C4" s="2" t="s">
        <v>43</v>
      </c>
      <c r="D4" s="2" t="s">
        <v>42</v>
      </c>
      <c r="E4" s="2" t="s">
        <v>66</v>
      </c>
      <c r="F4" s="2" t="s">
        <v>65</v>
      </c>
      <c r="G4" s="2" t="s">
        <v>32</v>
      </c>
      <c r="H4" s="2" t="s">
        <v>9</v>
      </c>
      <c r="I4" s="2" t="s">
        <v>21</v>
      </c>
      <c r="J4" s="2"/>
      <c r="K4" s="2"/>
      <c r="L4" s="2" t="s">
        <v>22</v>
      </c>
      <c r="M4" s="2" t="s">
        <v>44</v>
      </c>
      <c r="N4" s="2" t="s">
        <v>4</v>
      </c>
      <c r="O4" s="2" t="s">
        <v>54</v>
      </c>
      <c r="P4" s="2" t="s">
        <v>53</v>
      </c>
      <c r="Q4" s="2" t="s">
        <v>35</v>
      </c>
    </row>
    <row r="5" spans="1:17" x14ac:dyDescent="0.3">
      <c r="A5" t="s">
        <v>6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11</v>
      </c>
      <c r="I5">
        <v>1538396</v>
      </c>
      <c r="J5" t="s">
        <v>21</v>
      </c>
      <c r="L5" s="3">
        <f>C9*0.7</f>
        <v>5.5676052871483162</v>
      </c>
      <c r="M5">
        <f>L6/I6</f>
        <v>30.363615543241984</v>
      </c>
      <c r="N5" s="1" t="s">
        <v>45</v>
      </c>
      <c r="O5" t="s">
        <v>55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7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23</v>
      </c>
      <c r="K6" t="s">
        <v>41</v>
      </c>
      <c r="L6" s="6">
        <f>0.33*L5</f>
        <v>1.8373097447589444</v>
      </c>
      <c r="N6" t="s">
        <v>46</v>
      </c>
      <c r="O6" s="19">
        <f>87/(1000000*0.27777)</f>
        <v>3.1320876984555567E-4</v>
      </c>
      <c r="P6">
        <f>P5*N2</f>
        <v>0.90099124805827935</v>
      </c>
    </row>
    <row r="7" spans="1:17" x14ac:dyDescent="0.3">
      <c r="A7" t="s">
        <v>8</v>
      </c>
      <c r="B7">
        <f>1714</f>
        <v>1714</v>
      </c>
      <c r="E7" t="s">
        <v>67</v>
      </c>
      <c r="F7">
        <v>200</v>
      </c>
      <c r="G7">
        <f>F7*B7*$N$2/1000000</f>
        <v>3.0509199999999999E-3</v>
      </c>
      <c r="I7">
        <f>G1*I6</f>
        <v>2386.7922368831719</v>
      </c>
      <c r="J7" t="s">
        <v>57</v>
      </c>
      <c r="K7" t="s">
        <v>47</v>
      </c>
      <c r="N7">
        <f>L6/D9</f>
        <v>0.54208059575265499</v>
      </c>
    </row>
    <row r="8" spans="1:17" x14ac:dyDescent="0.3">
      <c r="A8" t="s">
        <v>10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68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3">
      <c r="D11" t="s">
        <v>38</v>
      </c>
      <c r="F11" t="s">
        <v>39</v>
      </c>
      <c r="G11">
        <f>60*N2/(1000000*I2*M5)</f>
        <v>0.44712301033802088</v>
      </c>
    </row>
    <row r="12" spans="1:17" x14ac:dyDescent="0.3">
      <c r="G12" t="s">
        <v>35</v>
      </c>
    </row>
    <row r="14" spans="1:17" x14ac:dyDescent="0.3">
      <c r="A14" t="s">
        <v>40</v>
      </c>
      <c r="B14">
        <v>55.5</v>
      </c>
      <c r="C14" t="s">
        <v>2</v>
      </c>
      <c r="D14" s="2" t="s">
        <v>48</v>
      </c>
      <c r="E14" t="s">
        <v>35</v>
      </c>
      <c r="F14" t="s">
        <v>52</v>
      </c>
      <c r="G14" t="s">
        <v>51</v>
      </c>
    </row>
    <row r="15" spans="1:17" x14ac:dyDescent="0.3">
      <c r="B15">
        <f>55.5*0.277777778</f>
        <v>15.416666678999999</v>
      </c>
      <c r="C15" t="s">
        <v>3</v>
      </c>
      <c r="D15" t="s">
        <v>49</v>
      </c>
      <c r="E15">
        <f>G5/D5</f>
        <v>0.19942997527043146</v>
      </c>
      <c r="F15">
        <v>0.44834159400000001</v>
      </c>
    </row>
    <row r="16" spans="1:17" x14ac:dyDescent="0.3">
      <c r="D16" t="s">
        <v>50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9EFC-D052-4551-86BD-609CA1895FF2}">
  <dimension ref="A1:I6"/>
  <sheetViews>
    <sheetView workbookViewId="0">
      <selection activeCell="E24" sqref="E24:F24"/>
    </sheetView>
  </sheetViews>
  <sheetFormatPr defaultRowHeight="14.4" x14ac:dyDescent="0.3"/>
  <cols>
    <col min="4" max="4" width="9.6640625" customWidth="1"/>
  </cols>
  <sheetData>
    <row r="1" spans="1:9" x14ac:dyDescent="0.3">
      <c r="A1" t="s">
        <v>58</v>
      </c>
      <c r="C1">
        <v>2050</v>
      </c>
      <c r="D1" t="s">
        <v>59</v>
      </c>
    </row>
    <row r="2" spans="1:9" x14ac:dyDescent="0.3">
      <c r="C2" t="s">
        <v>60</v>
      </c>
      <c r="E2" t="s">
        <v>61</v>
      </c>
      <c r="F2">
        <f>9/(39.4*0.3)</f>
        <v>0.76142131979695438</v>
      </c>
      <c r="G2" t="s">
        <v>35</v>
      </c>
    </row>
    <row r="3" spans="1:9" x14ac:dyDescent="0.3">
      <c r="D3">
        <v>2050</v>
      </c>
      <c r="E3" t="s">
        <v>62</v>
      </c>
      <c r="F3">
        <f>1.5/(39.444*0.3)</f>
        <v>0.12676199168441335</v>
      </c>
      <c r="G3" t="s">
        <v>35</v>
      </c>
      <c r="I3" t="s">
        <v>71</v>
      </c>
    </row>
    <row r="5" spans="1:9" x14ac:dyDescent="0.3">
      <c r="A5" t="s">
        <v>63</v>
      </c>
      <c r="C5" t="s">
        <v>64</v>
      </c>
      <c r="E5" t="s">
        <v>72</v>
      </c>
    </row>
    <row r="6" spans="1:9" x14ac:dyDescent="0.3">
      <c r="E6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90F7-EE40-41D8-8D6F-926E6C8520D6}">
  <dimension ref="A1:J19"/>
  <sheetViews>
    <sheetView workbookViewId="0">
      <selection activeCell="J41" sqref="J41"/>
    </sheetView>
  </sheetViews>
  <sheetFormatPr defaultRowHeight="14.4" x14ac:dyDescent="0.3"/>
  <cols>
    <col min="1" max="1" width="11.109375" customWidth="1"/>
    <col min="15" max="15" width="12" bestFit="1" customWidth="1"/>
  </cols>
  <sheetData>
    <row r="1" spans="1:10" x14ac:dyDescent="0.3">
      <c r="A1" t="s">
        <v>124</v>
      </c>
      <c r="I1" s="9">
        <v>0.27779999999999999</v>
      </c>
      <c r="J1" s="2" t="s">
        <v>76</v>
      </c>
    </row>
    <row r="2" spans="1:10" x14ac:dyDescent="0.3">
      <c r="A2" t="s">
        <v>125</v>
      </c>
    </row>
    <row r="3" spans="1:10" x14ac:dyDescent="0.3">
      <c r="A3" t="s">
        <v>4</v>
      </c>
      <c r="B3">
        <v>0.7</v>
      </c>
      <c r="C3" t="s">
        <v>40</v>
      </c>
    </row>
    <row r="4" spans="1:10" x14ac:dyDescent="0.3">
      <c r="A4" t="s">
        <v>127</v>
      </c>
      <c r="B4">
        <v>87</v>
      </c>
      <c r="C4" t="s">
        <v>128</v>
      </c>
      <c r="D4" s="3">
        <f>B4/I1</f>
        <v>313.17494600431968</v>
      </c>
      <c r="E4" t="s">
        <v>129</v>
      </c>
    </row>
    <row r="8" spans="1:10" x14ac:dyDescent="0.3">
      <c r="A8" t="s">
        <v>130</v>
      </c>
    </row>
    <row r="9" spans="1:10" x14ac:dyDescent="0.3">
      <c r="A9" t="s">
        <v>4</v>
      </c>
      <c r="B9">
        <v>0.6</v>
      </c>
    </row>
    <row r="18" spans="1:5" x14ac:dyDescent="0.3">
      <c r="A18" t="s">
        <v>103</v>
      </c>
      <c r="B18" s="3">
        <v>133</v>
      </c>
      <c r="C18" t="s">
        <v>106</v>
      </c>
      <c r="D18" s="8">
        <f>B18/1000000</f>
        <v>1.3300000000000001E-4</v>
      </c>
      <c r="E18" t="s">
        <v>70</v>
      </c>
    </row>
    <row r="19" spans="1:5" x14ac:dyDescent="0.3">
      <c r="A19" t="s">
        <v>104</v>
      </c>
      <c r="B19" s="12" t="s">
        <v>105</v>
      </c>
    </row>
  </sheetData>
  <hyperlinks>
    <hyperlink ref="B19" r:id="rId1" xr:uid="{C66773E2-8228-41BA-9227-1EE786CABB8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FEF8-915B-4056-B382-3EF1CD6D8429}">
  <dimension ref="A1:K37"/>
  <sheetViews>
    <sheetView workbookViewId="0">
      <selection activeCell="F29" sqref="F29"/>
    </sheetView>
  </sheetViews>
  <sheetFormatPr defaultRowHeight="14.4" x14ac:dyDescent="0.3"/>
  <cols>
    <col min="1" max="1" width="16.6640625" customWidth="1"/>
    <col min="2" max="2" width="11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</cols>
  <sheetData>
    <row r="1" spans="1:10" x14ac:dyDescent="0.3">
      <c r="C1" s="5">
        <v>41.869</v>
      </c>
      <c r="D1" t="s">
        <v>74</v>
      </c>
      <c r="E1" t="s">
        <v>29</v>
      </c>
      <c r="G1">
        <f>1/110</f>
        <v>9.0909090909090905E-3</v>
      </c>
      <c r="H1" t="s">
        <v>94</v>
      </c>
      <c r="I1">
        <v>1.1000000000000001</v>
      </c>
      <c r="J1" t="s">
        <v>146</v>
      </c>
    </row>
    <row r="2" spans="1:10" x14ac:dyDescent="0.3">
      <c r="A2" s="2"/>
      <c r="B2" s="2"/>
      <c r="C2" s="9">
        <v>0.27779999999999999</v>
      </c>
      <c r="D2" s="2" t="s">
        <v>76</v>
      </c>
      <c r="E2" s="2"/>
      <c r="F2" s="2"/>
      <c r="G2" s="2"/>
      <c r="H2" s="2" t="s">
        <v>16</v>
      </c>
      <c r="I2" s="2">
        <v>3.9</v>
      </c>
      <c r="J2" s="2" t="s">
        <v>3</v>
      </c>
    </row>
    <row r="3" spans="1:10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75</v>
      </c>
      <c r="G3">
        <f>C2*E3</f>
        <v>1395.7449839999999</v>
      </c>
      <c r="H3" t="s">
        <v>77</v>
      </c>
      <c r="I3">
        <f>(C3*C2)-I2</f>
        <v>29.436</v>
      </c>
      <c r="J3" t="s">
        <v>3</v>
      </c>
    </row>
    <row r="4" spans="1:10" x14ac:dyDescent="0.3">
      <c r="A4" t="s">
        <v>86</v>
      </c>
      <c r="C4">
        <v>9.31</v>
      </c>
      <c r="D4" t="s">
        <v>87</v>
      </c>
      <c r="E4">
        <f>C4/I3</f>
        <v>0.31627938578611225</v>
      </c>
      <c r="F4" t="s">
        <v>88</v>
      </c>
    </row>
    <row r="8" spans="1:10" x14ac:dyDescent="0.3">
      <c r="A8" t="s">
        <v>131</v>
      </c>
      <c r="B8">
        <v>2.5</v>
      </c>
      <c r="C8" t="s">
        <v>132</v>
      </c>
      <c r="D8">
        <f>B8*(365*24*60*60)</f>
        <v>78840000</v>
      </c>
      <c r="E8" t="s">
        <v>79</v>
      </c>
      <c r="F8">
        <f>(D8*I3/(1000000))</f>
        <v>2320.7342400000002</v>
      </c>
      <c r="G8" t="s">
        <v>133</v>
      </c>
      <c r="I8">
        <f>F8/8760</f>
        <v>0.26492400000000005</v>
      </c>
      <c r="J8" t="s">
        <v>149</v>
      </c>
    </row>
    <row r="9" spans="1:10" x14ac:dyDescent="0.3">
      <c r="A9" t="s">
        <v>226</v>
      </c>
      <c r="B9">
        <v>24</v>
      </c>
      <c r="C9" t="s">
        <v>132</v>
      </c>
      <c r="D9">
        <f>B9*B17*365*24*3600/1000000000</f>
        <v>22.705919999999999</v>
      </c>
    </row>
    <row r="11" spans="1:10" x14ac:dyDescent="0.3">
      <c r="A11" s="2" t="s">
        <v>134</v>
      </c>
      <c r="B11">
        <f>133815/1000</f>
        <v>133.815</v>
      </c>
      <c r="C11" t="s">
        <v>135</v>
      </c>
      <c r="D11">
        <f>B11/I8</f>
        <v>505.10712506228191</v>
      </c>
      <c r="E11" t="s">
        <v>136</v>
      </c>
      <c r="F11" s="15">
        <f>D11*I1</f>
        <v>555.61783756851014</v>
      </c>
      <c r="G11" t="s">
        <v>150</v>
      </c>
    </row>
    <row r="12" spans="1:10" x14ac:dyDescent="0.3">
      <c r="A12" s="2" t="s">
        <v>246</v>
      </c>
      <c r="B12">
        <f>450*I1</f>
        <v>495.00000000000006</v>
      </c>
      <c r="C12" t="s">
        <v>150</v>
      </c>
    </row>
    <row r="13" spans="1:10" x14ac:dyDescent="0.3">
      <c r="A13" s="2" t="s">
        <v>247</v>
      </c>
      <c r="B13">
        <f>B12/F11</f>
        <v>0.89090012330456247</v>
      </c>
    </row>
    <row r="14" spans="1:10" x14ac:dyDescent="0.3">
      <c r="A14" s="2" t="s">
        <v>248</v>
      </c>
      <c r="B14">
        <f>I8/B13</f>
        <v>0.29736666666666667</v>
      </c>
      <c r="D14">
        <f>B11/B14</f>
        <v>450</v>
      </c>
    </row>
    <row r="15" spans="1:10" x14ac:dyDescent="0.3">
      <c r="A15" s="24" t="s">
        <v>249</v>
      </c>
      <c r="B15" s="22">
        <f>F8/B13</f>
        <v>2604.9319999999998</v>
      </c>
      <c r="C15" s="22"/>
      <c r="D15" s="22"/>
      <c r="E15" s="23"/>
      <c r="F15" s="22"/>
      <c r="G15" s="22"/>
      <c r="H15" s="22"/>
      <c r="I15" s="22"/>
    </row>
    <row r="17" spans="1:11" x14ac:dyDescent="0.3">
      <c r="A17" s="2" t="s">
        <v>36</v>
      </c>
      <c r="B17">
        <v>30</v>
      </c>
      <c r="C17" t="s">
        <v>155</v>
      </c>
    </row>
    <row r="19" spans="1:11" x14ac:dyDescent="0.3">
      <c r="A19" s="2" t="s">
        <v>137</v>
      </c>
      <c r="D19" s="2" t="s">
        <v>142</v>
      </c>
      <c r="F19" s="2" t="s">
        <v>151</v>
      </c>
      <c r="I19" t="s">
        <v>152</v>
      </c>
      <c r="J19" t="s">
        <v>153</v>
      </c>
      <c r="K19" t="s">
        <v>160</v>
      </c>
    </row>
    <row r="20" spans="1:11" x14ac:dyDescent="0.3">
      <c r="A20" t="s">
        <v>138</v>
      </c>
      <c r="B20">
        <f>61753*1000</f>
        <v>61753000</v>
      </c>
      <c r="C20" t="s">
        <v>141</v>
      </c>
      <c r="D20">
        <v>20</v>
      </c>
      <c r="E20" t="s">
        <v>143</v>
      </c>
      <c r="F20">
        <f>B20/(D20*1000)</f>
        <v>3087.65</v>
      </c>
      <c r="G20" t="s">
        <v>22</v>
      </c>
      <c r="I20">
        <f>B15/F21</f>
        <v>73.44733082706766</v>
      </c>
      <c r="J20">
        <f>B15/(F21+F20)</f>
        <v>0.83408091276342533</v>
      </c>
      <c r="K20" s="15">
        <f>F21/F20</f>
        <v>1.1486621432696928E-2</v>
      </c>
    </row>
    <row r="21" spans="1:11" x14ac:dyDescent="0.3">
      <c r="A21" t="s">
        <v>139</v>
      </c>
      <c r="B21">
        <v>1064000</v>
      </c>
      <c r="C21" t="s">
        <v>141</v>
      </c>
      <c r="D21">
        <v>30</v>
      </c>
      <c r="E21" t="s">
        <v>143</v>
      </c>
      <c r="F21" s="2">
        <f>B21/(D21*1000)</f>
        <v>35.466666666666669</v>
      </c>
      <c r="G21" t="s">
        <v>22</v>
      </c>
    </row>
    <row r="22" spans="1:11" x14ac:dyDescent="0.3">
      <c r="F22" s="2"/>
    </row>
    <row r="23" spans="1:11" x14ac:dyDescent="0.3">
      <c r="A23" t="s">
        <v>140</v>
      </c>
      <c r="B23">
        <v>1089000</v>
      </c>
      <c r="C23" t="s">
        <v>141</v>
      </c>
      <c r="D23">
        <f>B23/1000000</f>
        <v>1.089</v>
      </c>
      <c r="E23" t="s">
        <v>147</v>
      </c>
    </row>
    <row r="25" spans="1:11" x14ac:dyDescent="0.3">
      <c r="A25" t="s">
        <v>144</v>
      </c>
      <c r="B25">
        <v>12</v>
      </c>
      <c r="C25" t="s">
        <v>132</v>
      </c>
    </row>
    <row r="26" spans="1:11" x14ac:dyDescent="0.3">
      <c r="B26">
        <f>B25*(365*24*60*60)</f>
        <v>378432000</v>
      </c>
      <c r="C26" t="s">
        <v>79</v>
      </c>
    </row>
    <row r="27" spans="1:11" x14ac:dyDescent="0.3">
      <c r="B27">
        <f>B26*0.3</f>
        <v>113529600</v>
      </c>
      <c r="C27" t="s">
        <v>110</v>
      </c>
      <c r="D27">
        <f>B27*G1/(1000000)</f>
        <v>1.0320872727272727</v>
      </c>
      <c r="E27" t="s">
        <v>145</v>
      </c>
      <c r="F27">
        <f>D27/I1</f>
        <v>0.93826115702479329</v>
      </c>
      <c r="G27" t="s">
        <v>147</v>
      </c>
    </row>
    <row r="29" spans="1:11" x14ac:dyDescent="0.3">
      <c r="A29" s="2" t="s">
        <v>178</v>
      </c>
      <c r="B29">
        <f>(B20/1000000)+F27</f>
        <v>62.69126115702479</v>
      </c>
      <c r="C29" t="s">
        <v>147</v>
      </c>
      <c r="D29">
        <f>B29*I1</f>
        <v>68.960387272727274</v>
      </c>
      <c r="E29" t="s">
        <v>145</v>
      </c>
      <c r="F29" s="15">
        <f>D29/B15</f>
        <v>2.6473008613171967E-2</v>
      </c>
      <c r="G29" t="s">
        <v>35</v>
      </c>
    </row>
    <row r="30" spans="1:11" x14ac:dyDescent="0.3">
      <c r="A30" s="13" t="s">
        <v>162</v>
      </c>
    </row>
    <row r="32" spans="1:11" x14ac:dyDescent="0.3">
      <c r="A32" s="2" t="s">
        <v>148</v>
      </c>
      <c r="B32">
        <f>D23</f>
        <v>1.089</v>
      </c>
      <c r="C32" t="s">
        <v>147</v>
      </c>
      <c r="D32">
        <f>B32*I1</f>
        <v>1.1979</v>
      </c>
      <c r="E32" t="s">
        <v>145</v>
      </c>
      <c r="F32" s="15">
        <f>D32/B14</f>
        <v>4.028360049321825</v>
      </c>
      <c r="G32" t="s">
        <v>150</v>
      </c>
    </row>
    <row r="33" spans="1:4" x14ac:dyDescent="0.3">
      <c r="A33" s="14" t="s">
        <v>179</v>
      </c>
    </row>
    <row r="35" spans="1:4" x14ac:dyDescent="0.3">
      <c r="A35" s="2" t="s">
        <v>154</v>
      </c>
      <c r="B35">
        <f>F8*B17*1000</f>
        <v>69622027.200000018</v>
      </c>
      <c r="C35" t="s">
        <v>156</v>
      </c>
      <c r="D35">
        <f>D9/(B35/1000)</f>
        <v>3.2613126783530364E-4</v>
      </c>
    </row>
    <row r="36" spans="1:4" x14ac:dyDescent="0.3">
      <c r="A36" s="2" t="s">
        <v>157</v>
      </c>
      <c r="B36">
        <f>(B11*1000000)+(70005000*B17)</f>
        <v>2233965000</v>
      </c>
      <c r="C36" t="s">
        <v>158</v>
      </c>
    </row>
    <row r="37" spans="1:4" x14ac:dyDescent="0.3">
      <c r="A37" s="24" t="s">
        <v>159</v>
      </c>
      <c r="B37" s="22">
        <f>B36/B35</f>
        <v>32.08704327988886</v>
      </c>
      <c r="C37" s="22" t="s">
        <v>143</v>
      </c>
      <c r="D37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CCS_Costs_Early</vt:lpstr>
      <vt:lpstr>CCS_Costs_Mature</vt:lpstr>
      <vt:lpstr>CCS reservoir trends</vt:lpstr>
      <vt:lpstr>JHFC</vt:lpstr>
      <vt:lpstr>Acar and Dincer</vt:lpstr>
      <vt:lpstr>H2 Steam Reforming</vt:lpstr>
      <vt:lpstr>Photocatalytic H2</vt:lpstr>
      <vt:lpstr>Kato_H2</vt:lpstr>
      <vt:lpstr>Keipi_SMR</vt:lpstr>
      <vt:lpstr>GARBAGE_KEIPI_CCSSMR</vt:lpstr>
      <vt:lpstr>Keipi_electrolysis</vt:lpstr>
      <vt:lpstr>Simons_PEMFC</vt:lpstr>
      <vt:lpstr>EIA_LCOE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Ansh Chaube</cp:lastModifiedBy>
  <dcterms:created xsi:type="dcterms:W3CDTF">2018-12-04T05:57:54Z</dcterms:created>
  <dcterms:modified xsi:type="dcterms:W3CDTF">2020-04-26T20:06:42Z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