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F4293554-974A-49AE-8884-B5E9C8542FFD}" xr6:coauthVersionLast="44" xr6:coauthVersionMax="44" xr10:uidLastSave="{00000000-0000-0000-0000-000000000000}"/>
  <bookViews>
    <workbookView xWindow="28680" yWindow="-120" windowWidth="29040" windowHeight="15840" activeTab="1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Acar and Dincer" sheetId="6" r:id="rId5"/>
    <sheet name="H2 Steam Reforming" sheetId="3" r:id="rId6"/>
    <sheet name="Photocatalytic H2" sheetId="4" r:id="rId7"/>
    <sheet name="Kato_H2" sheetId="7" r:id="rId8"/>
    <sheet name="Keipi_SMR" sheetId="5" r:id="rId9"/>
    <sheet name="GARBAGE_KEIPI_CCSSMR" sheetId="9" r:id="rId10"/>
    <sheet name="Keipi_electrolysis" sheetId="8" r:id="rId11"/>
    <sheet name="EIA_LCOE_WND_SOLAR" sheetId="11" r:id="rId12"/>
    <sheet name="PEMFC" sheetId="19" r:id="rId13"/>
    <sheet name="SOFC" sheetId="17" r:id="rId14"/>
    <sheet name="Photoconversion" sheetId="16" r:id="rId15"/>
    <sheet name="Li-ion" sheetId="12" r:id="rId16"/>
    <sheet name="SOEC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1" l="1"/>
  <c r="H15" i="11" s="1"/>
  <c r="I15" i="11" s="1"/>
  <c r="D14" i="11"/>
  <c r="H14" i="11" s="1"/>
  <c r="I14" i="11" s="1"/>
  <c r="D13" i="11"/>
  <c r="H13" i="11" s="1"/>
  <c r="D25" i="11"/>
  <c r="D24" i="11"/>
  <c r="H12" i="11"/>
  <c r="H6" i="11"/>
  <c r="H7" i="11"/>
  <c r="H5" i="11"/>
  <c r="E5" i="11"/>
  <c r="G6" i="11"/>
  <c r="G7" i="11"/>
  <c r="D7" i="17"/>
  <c r="E10" i="19"/>
  <c r="E9" i="19"/>
  <c r="I13" i="11" l="1"/>
  <c r="E13" i="11" s="1"/>
  <c r="I12" i="11"/>
  <c r="E12" i="11" s="1"/>
  <c r="E15" i="11"/>
  <c r="E14" i="11"/>
  <c r="D8" i="12"/>
  <c r="B8" i="12"/>
  <c r="D7" i="12"/>
  <c r="D6" i="12"/>
  <c r="B9" i="12"/>
  <c r="B6" i="12"/>
  <c r="B15" i="12" l="1"/>
  <c r="B18" i="12" l="1"/>
  <c r="B14" i="12"/>
  <c r="B10" i="12"/>
  <c r="B4" i="12"/>
  <c r="B5" i="12" s="1"/>
  <c r="D5" i="12" s="1"/>
  <c r="B17" i="16" l="1"/>
  <c r="D11" i="16"/>
  <c r="B12" i="16" s="1"/>
  <c r="B6" i="16"/>
  <c r="D5" i="16"/>
  <c r="B13" i="16"/>
  <c r="B5" i="16"/>
  <c r="B4" i="16"/>
  <c r="D12" i="16" l="1"/>
  <c r="B14" i="16"/>
  <c r="F11" i="16"/>
  <c r="P34" i="14"/>
  <c r="P35" i="14"/>
  <c r="P36" i="14"/>
  <c r="P37" i="14"/>
  <c r="P38" i="14"/>
  <c r="P39" i="14"/>
  <c r="P40" i="14"/>
  <c r="P41" i="14"/>
  <c r="P42" i="14"/>
  <c r="P43" i="14"/>
  <c r="P44" i="14"/>
  <c r="P33" i="14"/>
  <c r="F36" i="5"/>
  <c r="F33" i="5"/>
  <c r="J24" i="5"/>
  <c r="F15" i="5"/>
  <c r="D15" i="5"/>
  <c r="B10" i="5"/>
  <c r="B9" i="5"/>
  <c r="B8" i="5"/>
  <c r="B7" i="5"/>
  <c r="B19" i="16" l="1"/>
  <c r="B20" i="16"/>
  <c r="B15" i="16"/>
  <c r="B16" i="16" s="1"/>
  <c r="B18" i="16"/>
  <c r="B21" i="14"/>
  <c r="P20" i="14"/>
  <c r="O33" i="14"/>
  <c r="N33" i="14"/>
  <c r="L33" i="14"/>
  <c r="K33" i="14"/>
  <c r="N34" i="14"/>
  <c r="B37" i="14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O20" i="14"/>
  <c r="O21" i="14"/>
  <c r="P21" i="14" s="1"/>
  <c r="O22" i="14"/>
  <c r="P22" i="14" s="1"/>
  <c r="O23" i="14"/>
  <c r="P23" i="14" s="1"/>
  <c r="O24" i="14"/>
  <c r="O25" i="14"/>
  <c r="O26" i="14"/>
  <c r="P26" i="14" s="1"/>
  <c r="O27" i="14"/>
  <c r="P27" i="14" s="1"/>
  <c r="O28" i="14"/>
  <c r="P28" i="14" s="1"/>
  <c r="O29" i="14"/>
  <c r="P29" i="14" s="1"/>
  <c r="O19" i="14"/>
  <c r="P19" i="14" s="1"/>
  <c r="P24" i="14"/>
  <c r="P25" i="14"/>
  <c r="D30" i="14"/>
  <c r="D29" i="14"/>
  <c r="C21" i="14"/>
  <c r="M9" i="14"/>
  <c r="L5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L6" i="15"/>
  <c r="N6" i="15" s="1"/>
  <c r="O6" i="15" s="1"/>
  <c r="L8" i="15"/>
  <c r="L10" i="15"/>
  <c r="N10" i="15" s="1"/>
  <c r="L13" i="15"/>
  <c r="N13" i="15" s="1"/>
  <c r="K23" i="15"/>
  <c r="K25" i="15"/>
  <c r="K27" i="15"/>
  <c r="M14" i="15"/>
  <c r="P14" i="15" s="1"/>
  <c r="K29" i="15"/>
  <c r="K21" i="15"/>
  <c r="L5" i="15"/>
  <c r="N5" i="15" s="1"/>
  <c r="O5" i="15" s="1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P9" i="14"/>
  <c r="M15" i="14"/>
  <c r="P15" i="14" s="1"/>
  <c r="M6" i="14"/>
  <c r="P6" i="14" s="1"/>
  <c r="M5" i="14"/>
  <c r="P5" i="14" s="1"/>
  <c r="M14" i="14"/>
  <c r="P14" i="14" s="1"/>
  <c r="M12" i="14"/>
  <c r="P12" i="14" s="1"/>
  <c r="M10" i="14"/>
  <c r="P10" i="14" s="1"/>
  <c r="M8" i="14"/>
  <c r="P8" i="14" s="1"/>
  <c r="M7" i="14"/>
  <c r="P7" i="14" s="1"/>
  <c r="M13" i="14"/>
  <c r="P13" i="14" s="1"/>
  <c r="M11" i="14"/>
  <c r="P11" i="14" s="1"/>
  <c r="L9" i="8"/>
  <c r="B19" i="8"/>
  <c r="B20" i="8"/>
  <c r="J14" i="8"/>
  <c r="M28" i="15" l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M25" i="15" s="1"/>
  <c r="O23" i="15"/>
  <c r="P23" i="15" s="1"/>
  <c r="L23" i="15"/>
  <c r="M23" i="15" s="1"/>
  <c r="L26" i="15"/>
  <c r="M26" i="15" s="1"/>
  <c r="O26" i="15"/>
  <c r="P26" i="15" s="1"/>
  <c r="O27" i="15"/>
  <c r="P27" i="15" s="1"/>
  <c r="L27" i="15"/>
  <c r="M27" i="15" s="1"/>
  <c r="O21" i="15"/>
  <c r="P21" i="15" s="1"/>
  <c r="L21" i="15"/>
  <c r="M21" i="15" s="1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N14" i="15"/>
  <c r="O14" i="15" s="1"/>
  <c r="B21" i="8"/>
  <c r="G20" i="8"/>
  <c r="D13" i="5"/>
  <c r="K24" i="5"/>
  <c r="F24" i="5"/>
  <c r="D12" i="5"/>
  <c r="I3" i="5"/>
  <c r="B16" i="5"/>
  <c r="N20" i="15" l="1"/>
  <c r="N24" i="15"/>
  <c r="N29" i="15"/>
  <c r="N28" i="15"/>
  <c r="N27" i="15"/>
  <c r="N25" i="15"/>
  <c r="N23" i="15"/>
  <c r="N21" i="15"/>
  <c r="N26" i="15"/>
  <c r="N19" i="15"/>
  <c r="N22" i="15"/>
  <c r="C11" i="14" l="1"/>
  <c r="B11" i="14"/>
  <c r="B36" i="14"/>
  <c r="K44" i="14" l="1"/>
  <c r="O44" i="14" s="1"/>
  <c r="B13" i="14"/>
  <c r="K8" i="14"/>
  <c r="K9" i="14"/>
  <c r="K10" i="14"/>
  <c r="K11" i="14"/>
  <c r="K13" i="14"/>
  <c r="K14" i="14"/>
  <c r="K15" i="14"/>
  <c r="C4" i="14"/>
  <c r="K12" i="14"/>
  <c r="K40" i="14"/>
  <c r="O40" i="14" s="1"/>
  <c r="B35" i="14"/>
  <c r="K29" i="14" s="1"/>
  <c r="K1" i="14"/>
  <c r="F12" i="9"/>
  <c r="F10" i="9"/>
  <c r="F11" i="9"/>
  <c r="F9" i="9"/>
  <c r="F28" i="9"/>
  <c r="D10" i="9"/>
  <c r="D11" i="9"/>
  <c r="D9" i="9"/>
  <c r="E9" i="13"/>
  <c r="E8" i="13"/>
  <c r="E7" i="13"/>
  <c r="E6" i="13"/>
  <c r="E5" i="13"/>
  <c r="E4" i="13"/>
  <c r="E3" i="13"/>
  <c r="E2" i="13"/>
  <c r="K39" i="14" l="1"/>
  <c r="O39" i="14" s="1"/>
  <c r="K43" i="14"/>
  <c r="O43" i="14" s="1"/>
  <c r="K23" i="14"/>
  <c r="K22" i="14"/>
  <c r="K38" i="14"/>
  <c r="O38" i="14" s="1"/>
  <c r="K28" i="14"/>
  <c r="L28" i="14" s="1"/>
  <c r="K21" i="14"/>
  <c r="K37" i="14"/>
  <c r="O37" i="14" s="1"/>
  <c r="K42" i="14"/>
  <c r="O42" i="14" s="1"/>
  <c r="K20" i="14"/>
  <c r="K36" i="14"/>
  <c r="O36" i="14" s="1"/>
  <c r="K25" i="14"/>
  <c r="K24" i="14"/>
  <c r="K35" i="14"/>
  <c r="O35" i="14" s="1"/>
  <c r="K41" i="14"/>
  <c r="O41" i="14" s="1"/>
  <c r="K19" i="14"/>
  <c r="K34" i="14"/>
  <c r="K27" i="14"/>
  <c r="K26" i="14"/>
  <c r="B22" i="14"/>
  <c r="K7" i="14"/>
  <c r="B7" i="14"/>
  <c r="K6" i="14"/>
  <c r="C7" i="14"/>
  <c r="C8" i="14" s="1"/>
  <c r="C12" i="14" s="1"/>
  <c r="L22" i="14" s="1"/>
  <c r="K5" i="14"/>
  <c r="C13" i="14"/>
  <c r="O34" i="14" l="1"/>
  <c r="L34" i="14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27" i="14"/>
  <c r="B7" i="11"/>
  <c r="B5" i="11"/>
  <c r="G5" i="11" s="1"/>
  <c r="B6" i="11"/>
  <c r="E7" i="11"/>
  <c r="E6" i="11"/>
  <c r="C7" i="11"/>
  <c r="C6" i="11"/>
  <c r="C5" i="11"/>
  <c r="E25" i="8"/>
  <c r="E24" i="8"/>
  <c r="J3" i="8"/>
  <c r="J2" i="8"/>
  <c r="M21" i="14" l="1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N9" i="14" s="1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N7" i="14" s="1"/>
  <c r="N5" i="14"/>
  <c r="L6" i="14"/>
  <c r="N6" i="14" s="1"/>
  <c r="N20" i="14"/>
  <c r="N23" i="14"/>
  <c r="N24" i="14"/>
  <c r="M22" i="14"/>
  <c r="N22" i="14" s="1"/>
  <c r="N11" i="14" l="1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28" i="9"/>
  <c r="B35" i="9"/>
  <c r="B22" i="9"/>
  <c r="B18" i="9"/>
  <c r="H19" i="9" l="1"/>
  <c r="H18" i="9"/>
  <c r="D42" i="9"/>
  <c r="B41" i="9"/>
  <c r="B25" i="9"/>
  <c r="B26" i="9" s="1"/>
  <c r="D26" i="9" s="1"/>
  <c r="F26" i="9" s="1"/>
  <c r="D28" i="9" s="1"/>
  <c r="D21" i="9"/>
  <c r="B31" i="9" s="1"/>
  <c r="D31" i="9" s="1"/>
  <c r="J18" i="9"/>
  <c r="B39" i="9"/>
  <c r="B43" i="9" s="1"/>
  <c r="F20" i="9" s="1"/>
  <c r="J19" i="9" s="1"/>
  <c r="I3" i="9"/>
  <c r="E4" i="9" s="1"/>
  <c r="E3" i="9"/>
  <c r="G3" i="9" s="1"/>
  <c r="G1" i="9"/>
  <c r="E41" i="9" l="1"/>
  <c r="J23" i="9"/>
  <c r="H23" i="9"/>
  <c r="I23" i="9"/>
  <c r="I9" i="9"/>
  <c r="D14" i="9" s="1"/>
  <c r="F14" i="9" s="1"/>
  <c r="B34" i="9"/>
  <c r="B36" i="9" s="1"/>
  <c r="G4" i="8"/>
  <c r="E4" i="8"/>
  <c r="B12" i="8"/>
  <c r="L10" i="8"/>
  <c r="D16" i="8" s="1"/>
  <c r="D27" i="5"/>
  <c r="B36" i="5" s="1"/>
  <c r="F10" i="8"/>
  <c r="F11" i="8"/>
  <c r="D10" i="8"/>
  <c r="B10" i="8"/>
  <c r="B2" i="8"/>
  <c r="B30" i="5"/>
  <c r="B31" i="5" s="1"/>
  <c r="D31" i="5" s="1"/>
  <c r="F31" i="5" s="1"/>
  <c r="J9" i="8"/>
  <c r="B9" i="8"/>
  <c r="B24" i="5"/>
  <c r="F25" i="5"/>
  <c r="B15" i="5"/>
  <c r="E4" i="5"/>
  <c r="E3" i="5"/>
  <c r="G3" i="5" s="1"/>
  <c r="G1" i="5"/>
  <c r="D4" i="7"/>
  <c r="D18" i="7"/>
  <c r="H13" i="1"/>
  <c r="D6" i="8" l="1"/>
  <c r="F6" i="8" s="1"/>
  <c r="B40" i="5"/>
  <c r="B33" i="5"/>
  <c r="F31" i="9"/>
  <c r="D36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B39" i="5" l="1"/>
  <c r="D33" i="5"/>
  <c r="B41" i="5" l="1"/>
  <c r="D39" i="5"/>
  <c r="B17" i="5"/>
  <c r="B19" i="5" l="1"/>
  <c r="B18" i="5"/>
  <c r="F3" i="4"/>
  <c r="F2" i="4"/>
  <c r="O6" i="3"/>
  <c r="D18" i="5" l="1"/>
  <c r="I24" i="5"/>
  <c r="D8" i="3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<sst xmlns="http://schemas.openxmlformats.org/spreadsheetml/2006/main" count="674" uniqueCount="315">
  <si>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</si>
  <si>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</si>
  <si>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</si>
  <si>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</si>
  <si>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</si>
  <si>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</si>
  <si>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</si>
  <si>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</si>
  <si>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</si>
  <si>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</si>
  <si>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</si>
  <si>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</si>
  <si>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</si>
  <si>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</si>
  <si>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</si>
  <si>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</si>
  <si>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</si>
  <si>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</si>
  <si>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</si>
  <si>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</si>
  <si>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</si>
  <si>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</si>
  <si>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</si>
  <si>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</si>
  <si>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</si>
  <si>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</si>
  <si>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MJ/tCO2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</si>
  <si>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</si>
  <si>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</si>
  <si>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</si>
  <si>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</si>
  <si>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</si>
  <si>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</si>
  <si>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</si>
  <si>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</si>
  <si>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</si>
  <si>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</si>
  <si>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</si>
  <si>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</si>
  <si>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</si>
  <si>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</si>
  <si>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</si>
  <si>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</si>
  <si>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</si>
  <si>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</si>
  <si>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</si>
  <si>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</si>
  <si>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</si>
  <si>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</si>
  <si>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</si>
  <si>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</si>
  <si>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</si>
  <si>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</si>
  <si>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</si>
  <si>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</si>
  <si>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</si>
  <si>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</si>
  <si>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</si>
  <si>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</si>
  <si>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</si>
  <si>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</si>
  <si>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</si>
  <si>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</si>
  <si>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</si>
  <si>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</si>
  <si>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</si>
  <si>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</si>
  <si>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</si>
  <si>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</si>
  <si>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LNG</t>
  </si>
  <si>
    <t>Mt/GWh</t>
  </si>
  <si>
    <t>based on competitive cost of h2/elc projections</t>
  </si>
  <si>
    <t>No emissions due to high energy density, uses less steel/concrete than nuclear</t>
  </si>
  <si>
    <t>no data on emissions intensity anyway :(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</si>
  <si>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</si>
  <si>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</si>
  <si>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</si>
  <si>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</si>
  <si>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</si>
  <si>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</si>
  <si>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</si>
  <si>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</si>
  <si>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</si>
  <si>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</si>
  <si>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</si>
  <si>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</si>
  <si>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</si>
  <si>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</si>
  <si>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</si>
  <si>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</si>
  <si>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</si>
  <si>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</si>
  <si>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</si>
  <si>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</si>
  <si>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</si>
  <si>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</si>
  <si>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</si>
  <si>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</si>
  <si>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</si>
  <si>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</si>
  <si>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</si>
  <si>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</si>
  <si>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</si>
  <si>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</si>
  <si>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</si>
  <si>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</si>
  <si>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</si>
  <si>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</si>
  <si>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</si>
  <si>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</si>
  <si>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</si>
  <si>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</si>
  <si>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</si>
  <si>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</si>
  <si>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</si>
  <si>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</si>
  <si>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</si>
  <si>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</si>
  <si>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</si>
  <si>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</si>
  <si>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</si>
  <si>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</si>
  <si>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</si>
  <si>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</si>
  <si>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</si>
  <si>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</si>
  <si>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</si>
  <si>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</si>
  <si>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</si>
  <si>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</si>
  <si>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</si>
  <si>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</si>
  <si>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</si>
  <si>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</si>
  <si>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</si>
  <si>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</si>
  <si>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</si>
  <si>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</si>
  <si>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</si>
  <si>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</si>
  <si>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</si>
  <si>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</si>
  <si>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</si>
  <si>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</si>
  <si>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</si>
  <si>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</si>
  <si>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</si>
  <si>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</si>
  <si>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</si>
  <si>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</si>
  <si>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</si>
  <si>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</si>
  <si>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</si>
  <si>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</si>
  <si>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</si>
  <si>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</si>
  <si>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</si>
  <si>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</si>
  <si>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</si>
  <si>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</si>
  <si>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</si>
  <si>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</si>
  <si>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</si>
  <si>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</si>
  <si>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</si>
  <si>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</si>
  <si>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</si>
  <si>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</si>
  <si>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</si>
  <si>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</si>
  <si>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</si>
  <si>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</si>
  <si>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</si>
  <si>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</si>
  <si>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</si>
  <si>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</si>
  <si>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</si>
  <si>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</si>
  <si>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</si>
  <si>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</si>
  <si>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</si>
  <si>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</si>
  <si>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</si>
  <si>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</si>
  <si>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</si>
  <si>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</si>
  <si>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</si>
  <si>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</si>
  <si>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</si>
  <si>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</si>
  <si>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</si>
  <si>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</si>
  <si>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</si>
  <si>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</si>
  <si>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</si>
  <si>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</si>
  <si>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</si>
  <si>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</si>
  <si>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</si>
  <si>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</si>
  <si>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</si>
  <si>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</si>
  <si>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</si>
  <si>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</si>
  <si>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</si>
  <si>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</si>
  <si>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</si>
  <si>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</si>
  <si>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</si>
  <si>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</si>
  <si>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</si>
  <si>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</si>
  <si>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</si>
  <si>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</si>
  <si>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</si>
  <si>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</si>
  <si>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</si>
  <si>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</si>
  <si>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</si>
  <si>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</si>
  <si>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</si>
  <si>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</si>
  <si>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CO2 Captured</t>
  </si>
  <si>
    <t>kg(lifetime)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</si>
  <si>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</si>
  <si>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</si>
  <si>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</si>
  <si>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</si>
  <si>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</si>
  <si>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</si>
  <si>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</si>
  <si>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</si>
  <si>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</si>
  <si>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</si>
  <si>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</si>
  <si>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</si>
  <si>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</si>
  <si>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</si>
  <si>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</si>
  <si>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</si>
  <si>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Given Capex</t>
  </si>
  <si>
    <t>Capex Adj Factor</t>
  </si>
  <si>
    <t>Adj Cap</t>
  </si>
  <si>
    <t>Adj Output</t>
  </si>
  <si>
    <t>OP factor</t>
  </si>
  <si>
    <t>New Unit price</t>
  </si>
  <si>
    <t>NG</t>
  </si>
  <si>
    <t>Coal</t>
  </si>
  <si>
    <t>Storage</t>
  </si>
  <si>
    <t>Cap Cost(MUSD/GWh)</t>
  </si>
  <si>
    <t>H2 Cost</t>
  </si>
  <si>
    <t>Total Generation</t>
  </si>
  <si>
    <t>Annual Generation</t>
  </si>
  <si>
    <t>Cap</t>
  </si>
  <si>
    <t>Japan area</t>
  </si>
  <si>
    <t>sq km</t>
  </si>
  <si>
    <t>Forest</t>
  </si>
  <si>
    <t>Solar cost</t>
  </si>
  <si>
    <t>acres/MW</t>
  </si>
  <si>
    <t>sq km/acre</t>
  </si>
  <si>
    <t>sq km/GW</t>
  </si>
  <si>
    <t>Solar land</t>
  </si>
  <si>
    <t>Output</t>
  </si>
  <si>
    <t>kgH2/day</t>
  </si>
  <si>
    <t>kgH2/year</t>
  </si>
  <si>
    <t>kg/lifetime</t>
  </si>
  <si>
    <t>Area cost</t>
  </si>
  <si>
    <t>sqkm</t>
  </si>
  <si>
    <t>% of forest</t>
  </si>
  <si>
    <t>Capacity</t>
  </si>
  <si>
    <t>Unit area cost</t>
  </si>
  <si>
    <t>Area for photoH2</t>
  </si>
  <si>
    <t>H2 cost</t>
  </si>
  <si>
    <t>Correction factor</t>
  </si>
  <si>
    <t>GWh/year</t>
  </si>
  <si>
    <t>GWh/lifetime</t>
  </si>
  <si>
    <t>Cap lim</t>
  </si>
  <si>
    <t>Target:</t>
  </si>
  <si>
    <t>$3/kgH2</t>
  </si>
  <si>
    <t>$/kg-H2</t>
  </si>
  <si>
    <t>MUSD/GW/year</t>
  </si>
  <si>
    <t>Area for li-ion</t>
  </si>
  <si>
    <t>li-ion cost</t>
  </si>
  <si>
    <t>sqft/MW</t>
  </si>
  <si>
    <t>sq km /sq ft</t>
  </si>
  <si>
    <t>sqkm/GW</t>
  </si>
  <si>
    <t>Depth-of-discharge</t>
  </si>
  <si>
    <t>EFF</t>
  </si>
  <si>
    <t>Availability factor</t>
  </si>
  <si>
    <t>no. of cycles /(lifetime in years * no. of days)</t>
  </si>
  <si>
    <t>https://www.nrel.gov/docs/fy19osti/71714.pdf</t>
  </si>
  <si>
    <t>https://www.energy.gov/sites/prod/files/2019/07/f65/Storage%20Cost%20and%20Performance%20Characterization%20Report_Final.pdf</t>
  </si>
  <si>
    <t>E/P ratio</t>
  </si>
  <si>
    <t>NCAP_AFC(ACT)</t>
  </si>
  <si>
    <t>https://pubs.rsc.org/en/content/articlelanding/2013/ee/c3ee40831k#!divAbstract</t>
  </si>
  <si>
    <t>acre/MW</t>
  </si>
  <si>
    <t>https://arstechnica.com/information-technology/2017/01/a-look-at-the-new-battery-storage-facility-in-california-built-with-tesla-powerpacks/</t>
  </si>
  <si>
    <t>https://class.ece.uw.edu/500/2014aut-e/11-13-14%20Pres%20(PSE%20Storage).pdf</t>
  </si>
  <si>
    <t>iea H2 roadmap</t>
  </si>
  <si>
    <t>eia</t>
  </si>
  <si>
    <t>iea</t>
  </si>
  <si>
    <t>kg/kw</t>
  </si>
  <si>
    <t>g/kwh</t>
  </si>
  <si>
    <t>https://www.eia.gov/outlooks/aeo/pdf/electricity_generation.pdf</t>
  </si>
  <si>
    <t>https://doi.org/10.1016/j.apenergy.2015.02.049</t>
  </si>
  <si>
    <t>http://dx.doi.org/10.1016/j.energy.2017.03.041</t>
  </si>
  <si>
    <t>m</t>
  </si>
  <si>
    <t>c</t>
  </si>
  <si>
    <t>2025/2017</t>
  </si>
  <si>
    <t>2040/2025</t>
  </si>
  <si>
    <t>https://www.eia.gov/outlooks/aeo/section_issue_renewables.php</t>
  </si>
  <si>
    <t>EIA data</t>
  </si>
  <si>
    <t>WOF</t>
  </si>
  <si>
    <t>https://www.eia.gov/outlooks/aeo/assumptions/pdf/table_8.2.pdf</t>
  </si>
  <si>
    <t>http://dx.doi.org/10.1016/j.ijggc.2015.05.018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</si>
</sst>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28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8" fillId="4" borderId="0" xfId="0" applyFont="1" applyFill="1"/>
    <xf numFmtId="0" fontId="1" fillId="4" borderId="0" xfId="0" applyFont="1" applyFill="1"/>
    <xf numFmtId="0" fontId="1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016/j.ijggc.2015.05.018" TargetMode="External"/><Relationship Id="rId1" Type="http://schemas.openxmlformats.org/officeDocument/2006/relationships/hyperlink" Target="https://www.eia.gov/outlooks/aeo/assumptions/pdf/table_8.2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section_issue_renewables.php" TargetMode="External"/><Relationship Id="rId1" Type="http://schemas.openxmlformats.org/officeDocument/2006/relationships/hyperlink" Target="https://www.eia.gov/outlooks/aeo/pdf/electricity_generation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rldefense.proofpoint.com/v2/url?u=https-3A__doi.org_10.1016_j.apenergy.2015.02.049&amp;d=DwMFAg&amp;c=OCIEmEwdEq_aNlsP4fF3gFqSN-E3mlr2t9JcDdfOZag&amp;r=79oVBkpSJ8jc8Mw2l8LuV83qCNXLl72NkphdMlliukM&amp;m=EI5nD3SXgMsWxeKIR3ocEH5qEk_i9uxhW2JJZ1sCs9Y&amp;s=p8hTLdk0tuE2NJOuJmOtvxMa-zGPJQmn4xroO0eaEm0&amp;e=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1016/j.energy.2017.03.041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pubs.rsc.org/en/content/articlelanding/2013/ee/c3ee40831k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sites/prod/files/2019/07/f65/Storage%20Cost%20and%20Performance%20Characterization%20Report_Final.pdf" TargetMode="External"/><Relationship Id="rId2" Type="http://schemas.openxmlformats.org/officeDocument/2006/relationships/hyperlink" Target="https://www.energy.gov/sites/prod/files/2019/07/f65/Storage%20Cost%20and%20Performance%20Characterization%20Report_Final.pdf" TargetMode="External"/><Relationship Id="rId1" Type="http://schemas.openxmlformats.org/officeDocument/2006/relationships/hyperlink" Target="https://www.nrel.gov/docs/fy19osti/71714.pdf" TargetMode="External"/><Relationship Id="rId5" Type="http://schemas.openxmlformats.org/officeDocument/2006/relationships/hyperlink" Target="https://class.ece.uw.edu/500/2014aut-e/11-13-14%20Pres%20(PSE%20Storage).pdf" TargetMode="External"/><Relationship Id="rId4" Type="http://schemas.openxmlformats.org/officeDocument/2006/relationships/hyperlink" Target="https://arstechnica.com/information-technology/2017/01/a-look-at-the-new-battery-storage-facility-in-california-built-with-tesla-powerpack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44"/>
  <sheetViews>
    <sheetView topLeftCell="A7" workbookViewId="0">
      <selection activeCell="B30" sqref="B30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206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209</v>
      </c>
      <c r="D2" s="8"/>
      <c r="E2" s="8"/>
    </row>
    <row r="3" spans="1:16" x14ac:dyDescent="0.3">
      <c r="C3" t="s">
        <v>186</v>
      </c>
      <c r="J3" s="26" t="s">
        <v>214</v>
      </c>
      <c r="K3" s="26"/>
      <c r="L3" s="26"/>
      <c r="M3" s="26"/>
      <c r="N3" s="26"/>
      <c r="O3" s="26"/>
      <c r="P3" s="26"/>
    </row>
    <row r="4" spans="1:16" x14ac:dyDescent="0.3">
      <c r="A4" t="s">
        <v>224</v>
      </c>
      <c r="B4">
        <v>0.18</v>
      </c>
      <c r="C4">
        <f>0.55/(1+B4)</f>
        <v>0.46610169491525427</v>
      </c>
      <c r="J4" s="2" t="s">
        <v>4</v>
      </c>
      <c r="K4" s="2" t="s">
        <v>233</v>
      </c>
      <c r="L4" s="2" t="s">
        <v>231</v>
      </c>
      <c r="M4" s="2" t="s">
        <v>249</v>
      </c>
      <c r="N4" s="2" t="s">
        <v>234</v>
      </c>
      <c r="O4" s="2" t="s">
        <v>217</v>
      </c>
      <c r="P4" s="2" t="s">
        <v>218</v>
      </c>
    </row>
    <row r="5" spans="1:16" x14ac:dyDescent="0.3">
      <c r="B5" t="s">
        <v>69</v>
      </c>
      <c r="C5" t="s">
        <v>211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4.4472000000000005E-2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6.0472000000000005E-2</v>
      </c>
    </row>
    <row r="6" spans="1:16" x14ac:dyDescent="0.3">
      <c r="A6" s="2" t="s">
        <v>208</v>
      </c>
      <c r="B6">
        <v>0.18</v>
      </c>
      <c r="C6">
        <v>0.25</v>
      </c>
      <c r="E6" t="s">
        <v>225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4.4995200000000006E-2</v>
      </c>
      <c r="N6">
        <f t="shared" si="1"/>
        <v>0.95555555555555549</v>
      </c>
      <c r="O6">
        <f t="shared" si="2"/>
        <v>0.41720697658046524</v>
      </c>
      <c r="P6">
        <f t="shared" si="3"/>
        <v>6.0995200000000006E-2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229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4.5518400000000007E-2</v>
      </c>
      <c r="N7">
        <f t="shared" si="1"/>
        <v>0.96666666666666667</v>
      </c>
      <c r="O7">
        <f t="shared" si="2"/>
        <v>0.41241149409103456</v>
      </c>
      <c r="P7">
        <f t="shared" si="3"/>
        <v>6.1518400000000008E-2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230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4.6041600000000009E-2</v>
      </c>
      <c r="N8">
        <f t="shared" si="1"/>
        <v>0.97777777777777797</v>
      </c>
      <c r="O8">
        <f t="shared" si="2"/>
        <v>0.40772499983999999</v>
      </c>
      <c r="P8">
        <f t="shared" si="3"/>
        <v>6.2041600000000009E-2</v>
      </c>
    </row>
    <row r="9" spans="1:16" x14ac:dyDescent="0.3">
      <c r="B9">
        <v>5</v>
      </c>
      <c r="C9">
        <v>5</v>
      </c>
      <c r="E9" t="s">
        <v>18</v>
      </c>
      <c r="F9" t="s">
        <v>239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4.656480000000001E-2</v>
      </c>
      <c r="N9">
        <f t="shared" si="1"/>
        <v>0.98888888888888893</v>
      </c>
      <c r="O9">
        <f t="shared" si="2"/>
        <v>0.40314382006651689</v>
      </c>
      <c r="P9">
        <f t="shared" si="3"/>
        <v>6.2564800000000004E-2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4.7088000000000005E-2</v>
      </c>
      <c r="N10">
        <f t="shared" si="1"/>
        <v>1</v>
      </c>
      <c r="O10">
        <f t="shared" si="2"/>
        <v>0.39866444428800007</v>
      </c>
      <c r="P10">
        <f t="shared" si="3"/>
        <v>6.3088000000000005E-2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4.7611200000000006E-2</v>
      </c>
      <c r="N11">
        <f t="shared" si="1"/>
        <v>1.0111111111111111</v>
      </c>
      <c r="O11">
        <f t="shared" si="2"/>
        <v>0.39428351632879127</v>
      </c>
      <c r="P11">
        <f t="shared" si="3"/>
        <v>6.3611200000000007E-2</v>
      </c>
    </row>
    <row r="12" spans="1:16" x14ac:dyDescent="0.3">
      <c r="A12" t="s">
        <v>227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4.8134400000000015E-2</v>
      </c>
      <c r="N12">
        <f t="shared" si="1"/>
        <v>1.0222222222222224</v>
      </c>
      <c r="O12">
        <f t="shared" si="2"/>
        <v>0.38999782593391308</v>
      </c>
      <c r="P12">
        <f t="shared" si="3"/>
        <v>6.4134400000000008E-2</v>
      </c>
    </row>
    <row r="13" spans="1:16" x14ac:dyDescent="0.3">
      <c r="A13" t="s">
        <v>228</v>
      </c>
      <c r="B13">
        <f>1/B36</f>
        <v>2500</v>
      </c>
      <c r="C13">
        <f>1/B35</f>
        <v>1061.5711252653928</v>
      </c>
      <c r="E13" t="s">
        <v>226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4.8657600000000009E-2</v>
      </c>
      <c r="N13">
        <f t="shared" si="1"/>
        <v>1.0333333333333334</v>
      </c>
      <c r="O13">
        <f t="shared" si="2"/>
        <v>0.38580430092387102</v>
      </c>
      <c r="P13">
        <f t="shared" si="3"/>
        <v>6.465760000000001E-2</v>
      </c>
    </row>
    <row r="14" spans="1:16" x14ac:dyDescent="0.3">
      <c r="A14" t="s">
        <v>232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4.9180800000000004E-2</v>
      </c>
      <c r="N14">
        <f t="shared" si="1"/>
        <v>1.0444444444444443</v>
      </c>
      <c r="O14">
        <f t="shared" si="2"/>
        <v>0.38169999985021291</v>
      </c>
      <c r="P14">
        <f t="shared" si="3"/>
        <v>6.5180800000000011E-2</v>
      </c>
    </row>
    <row r="15" spans="1:16" x14ac:dyDescent="0.3">
      <c r="A15" t="s">
        <v>217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4.9704000000000005E-2</v>
      </c>
      <c r="N15">
        <f t="shared" si="1"/>
        <v>1.0555555555555556</v>
      </c>
      <c r="O15">
        <f t="shared" si="2"/>
        <v>0.37768210511494743</v>
      </c>
      <c r="P15">
        <f t="shared" si="3"/>
        <v>6.5704000000000012E-2</v>
      </c>
    </row>
    <row r="17" spans="1:16" x14ac:dyDescent="0.3">
      <c r="B17" s="2" t="s">
        <v>246</v>
      </c>
      <c r="C17" t="s">
        <v>247</v>
      </c>
      <c r="J17" s="26" t="s">
        <v>219</v>
      </c>
      <c r="K17" s="26"/>
      <c r="L17" s="26"/>
      <c r="M17" s="26"/>
      <c r="N17" s="26"/>
      <c r="O17" s="26"/>
      <c r="P17" s="26"/>
    </row>
    <row r="18" spans="1:16" x14ac:dyDescent="0.3">
      <c r="A18" s="2" t="s">
        <v>207</v>
      </c>
      <c r="B18">
        <v>95</v>
      </c>
      <c r="C18">
        <v>62</v>
      </c>
      <c r="D18" t="s">
        <v>15</v>
      </c>
      <c r="E18" t="s">
        <v>215</v>
      </c>
      <c r="J18" s="2" t="s">
        <v>4</v>
      </c>
      <c r="K18" s="2" t="s">
        <v>216</v>
      </c>
      <c r="L18" s="2" t="s">
        <v>231</v>
      </c>
      <c r="M18" s="2" t="s">
        <v>234</v>
      </c>
      <c r="N18" s="2" t="s">
        <v>217</v>
      </c>
      <c r="O18" s="2" t="s">
        <v>249</v>
      </c>
      <c r="P18" s="2" t="s">
        <v>218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3" si="7">$C$15/M19</f>
        <v>0.31751681137460702</v>
      </c>
      <c r="O19">
        <f>K19*$C$21</f>
        <v>7.8308459999999996E-2</v>
      </c>
      <c r="P19">
        <f>$D$29+O19</f>
        <v>8.8308459999999991E-2</v>
      </c>
    </row>
    <row r="20" spans="1:16" x14ac:dyDescent="0.3">
      <c r="B20">
        <v>31</v>
      </c>
      <c r="C20">
        <v>31</v>
      </c>
      <c r="D20" t="s">
        <v>15</v>
      </c>
      <c r="E20" t="s">
        <v>248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7.9229735999999995E-2</v>
      </c>
      <c r="P20">
        <f>$D$29+O20</f>
        <v>8.922973599999999E-2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8.0151011999999994E-2</v>
      </c>
      <c r="P21">
        <f t="shared" ref="P21:P29" si="11">$D$29+O21</f>
        <v>9.0151011999999989E-2</v>
      </c>
    </row>
    <row r="22" spans="1:16" x14ac:dyDescent="0.3">
      <c r="B22">
        <f>B21/B18</f>
        <v>1.3768421052631581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8.1072287999999992E-2</v>
      </c>
      <c r="P22">
        <f t="shared" si="11"/>
        <v>9.1072287999999987E-2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8.1993564000000005E-2</v>
      </c>
      <c r="P23">
        <f t="shared" si="11"/>
        <v>9.1993564E-2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>$C$15/M24</f>
        <v>0.29987698852046224</v>
      </c>
      <c r="O24">
        <f t="shared" si="10"/>
        <v>8.2914840000000004E-2</v>
      </c>
      <c r="P24">
        <f t="shared" si="11"/>
        <v>9.2914839999999999E-2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ref="N25:N29" si="12">$C$15/M25</f>
        <v>0.29658163699825935</v>
      </c>
      <c r="O25">
        <f t="shared" si="10"/>
        <v>8.3836116000000002E-2</v>
      </c>
      <c r="P25">
        <f t="shared" si="11"/>
        <v>9.3836115999999997E-2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12"/>
        <v>0.29335792355262613</v>
      </c>
      <c r="O26">
        <f t="shared" si="10"/>
        <v>8.4757392000000001E-2</v>
      </c>
      <c r="P26">
        <f t="shared" si="11"/>
        <v>9.4757391999999996E-2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12"/>
        <v>0.29020353727786663</v>
      </c>
      <c r="O27">
        <f t="shared" si="10"/>
        <v>8.5678667999999999E-2</v>
      </c>
      <c r="P27">
        <f t="shared" si="11"/>
        <v>9.5678667999999994E-2</v>
      </c>
    </row>
    <row r="28" spans="1:16" x14ac:dyDescent="0.3">
      <c r="A28" t="s">
        <v>210</v>
      </c>
      <c r="B28" s="2" t="s">
        <v>134</v>
      </c>
      <c r="C28" s="2" t="s">
        <v>166</v>
      </c>
      <c r="D28" s="2" t="s">
        <v>212</v>
      </c>
      <c r="E28" s="2" t="s">
        <v>236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12"/>
        <v>0.28711626560469788</v>
      </c>
      <c r="O28">
        <f t="shared" si="10"/>
        <v>8.6599943999999998E-2</v>
      </c>
      <c r="P28">
        <f t="shared" si="11"/>
        <v>9.6599943999999993E-2</v>
      </c>
    </row>
    <row r="29" spans="1:16" x14ac:dyDescent="0.3">
      <c r="A29" s="2" t="s">
        <v>211</v>
      </c>
      <c r="B29" s="20">
        <v>5252</v>
      </c>
      <c r="C29" s="20">
        <v>84</v>
      </c>
      <c r="D29" s="20">
        <f>10*1000/1000000</f>
        <v>0.01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12"/>
        <v>0.28409398912464845</v>
      </c>
      <c r="O29">
        <f t="shared" si="10"/>
        <v>8.7521219999999997E-2</v>
      </c>
      <c r="P29">
        <f t="shared" si="11"/>
        <v>9.7521219999999992E-2</v>
      </c>
    </row>
    <row r="30" spans="1:16" x14ac:dyDescent="0.3">
      <c r="A30" s="2" t="s">
        <v>69</v>
      </c>
      <c r="B30" s="20">
        <v>2626</v>
      </c>
      <c r="C30" s="20">
        <v>33</v>
      </c>
      <c r="D30" s="20">
        <f>16*1000/1000000</f>
        <v>1.6E-2</v>
      </c>
    </row>
    <row r="31" spans="1:16" x14ac:dyDescent="0.3">
      <c r="A31" s="2" t="s">
        <v>235</v>
      </c>
      <c r="B31" s="20">
        <v>764</v>
      </c>
      <c r="C31">
        <v>6.214611477952583</v>
      </c>
      <c r="D31">
        <v>4.084030751199931E-2</v>
      </c>
      <c r="E31">
        <v>0.7</v>
      </c>
      <c r="J31" s="26" t="s">
        <v>220</v>
      </c>
      <c r="K31" s="26"/>
      <c r="L31" s="26"/>
      <c r="M31" s="26"/>
      <c r="N31" s="26"/>
      <c r="O31" s="26"/>
      <c r="P31" s="26"/>
    </row>
    <row r="32" spans="1:16" x14ac:dyDescent="0.3">
      <c r="A32" s="2" t="s">
        <v>238</v>
      </c>
      <c r="B32" s="2">
        <f>6*B31</f>
        <v>4584</v>
      </c>
      <c r="C32" s="21">
        <v>33</v>
      </c>
      <c r="J32" s="2" t="s">
        <v>4</v>
      </c>
      <c r="K32" s="2" t="s">
        <v>216</v>
      </c>
      <c r="L32" s="2" t="s">
        <v>231</v>
      </c>
      <c r="M32" s="2"/>
      <c r="N32" s="2" t="s">
        <v>237</v>
      </c>
      <c r="O32" s="2" t="s">
        <v>249</v>
      </c>
      <c r="P32" s="2" t="s">
        <v>218</v>
      </c>
    </row>
    <row r="33" spans="1:16" x14ac:dyDescent="0.3">
      <c r="J33">
        <v>0.7</v>
      </c>
      <c r="K33" s="3">
        <f t="shared" ref="K33:K44" si="13">$B$37*J33</f>
        <v>2.7999999999999998E-4</v>
      </c>
      <c r="L33" s="3">
        <f t="shared" ref="L33:L44" si="14">K33*$B$12</f>
        <v>0.19260888908799997</v>
      </c>
      <c r="N33" s="3">
        <f t="shared" ref="N33:N44" si="15">$E$31-L33</f>
        <v>0.50739111091199995</v>
      </c>
      <c r="O33" s="3">
        <f t="shared" ref="O33:O44" si="16">K33*$B$21</f>
        <v>3.6623999999999997E-2</v>
      </c>
      <c r="P33" s="3">
        <f>$D$31+O33</f>
        <v>7.7464307511999314E-2</v>
      </c>
    </row>
    <row r="34" spans="1:16" x14ac:dyDescent="0.3">
      <c r="A34" s="2" t="s">
        <v>213</v>
      </c>
      <c r="J34" s="3">
        <v>0.85</v>
      </c>
      <c r="K34" s="3">
        <f t="shared" si="13"/>
        <v>3.4000000000000002E-4</v>
      </c>
      <c r="L34" s="3">
        <f>K34*$B$12</f>
        <v>0.23388222246400001</v>
      </c>
      <c r="M34" s="3"/>
      <c r="N34" s="3">
        <f>$E$31-L34</f>
        <v>0.46611777753599992</v>
      </c>
      <c r="O34" s="3">
        <f>K34*$B$21</f>
        <v>4.4472000000000005E-2</v>
      </c>
      <c r="P34" s="3">
        <f t="shared" ref="P34:P44" si="17">$D$31+O34</f>
        <v>8.5312307511999308E-2</v>
      </c>
    </row>
    <row r="35" spans="1:16" x14ac:dyDescent="0.3">
      <c r="A35" s="14" t="s">
        <v>211</v>
      </c>
      <c r="B35" s="21">
        <f>942/1000000</f>
        <v>9.4200000000000002E-4</v>
      </c>
      <c r="C35" t="s">
        <v>70</v>
      </c>
      <c r="J35" s="3">
        <v>0.86</v>
      </c>
      <c r="K35" s="3">
        <f t="shared" si="13"/>
        <v>3.4400000000000001E-4</v>
      </c>
      <c r="L35" s="3">
        <f t="shared" si="14"/>
        <v>0.23663377802239999</v>
      </c>
      <c r="M35" s="3"/>
      <c r="N35" s="3">
        <f t="shared" si="15"/>
        <v>0.46336622197759997</v>
      </c>
      <c r="O35" s="3">
        <f t="shared" si="16"/>
        <v>4.4995200000000006E-2</v>
      </c>
      <c r="P35" s="3">
        <f t="shared" si="17"/>
        <v>8.5835507511999309E-2</v>
      </c>
    </row>
    <row r="36" spans="1:16" x14ac:dyDescent="0.3">
      <c r="A36" s="14" t="s">
        <v>69</v>
      </c>
      <c r="B36" s="21">
        <f>400/1000000</f>
        <v>4.0000000000000002E-4</v>
      </c>
      <c r="C36" t="s">
        <v>70</v>
      </c>
      <c r="J36" s="3">
        <v>0.87</v>
      </c>
      <c r="K36" s="3">
        <f t="shared" si="13"/>
        <v>3.48E-4</v>
      </c>
      <c r="L36" s="3">
        <f t="shared" si="14"/>
        <v>0.2393853335808</v>
      </c>
      <c r="M36" s="3"/>
      <c r="N36" s="3">
        <f t="shared" si="15"/>
        <v>0.46061466641919996</v>
      </c>
      <c r="O36" s="3">
        <f t="shared" si="16"/>
        <v>4.5518400000000007E-2</v>
      </c>
      <c r="P36" s="3">
        <f t="shared" si="17"/>
        <v>8.6358707511999311E-2</v>
      </c>
    </row>
    <row r="37" spans="1:16" x14ac:dyDescent="0.3">
      <c r="A37" s="14" t="s">
        <v>125</v>
      </c>
      <c r="B37" s="21">
        <f>400/1000000</f>
        <v>4.0000000000000002E-4</v>
      </c>
      <c r="C37" t="s">
        <v>70</v>
      </c>
      <c r="J37" s="3">
        <v>0.88</v>
      </c>
      <c r="K37" s="3">
        <f t="shared" si="13"/>
        <v>3.5200000000000005E-4</v>
      </c>
      <c r="L37" s="3">
        <f t="shared" si="14"/>
        <v>0.24213688913920003</v>
      </c>
      <c r="M37" s="3"/>
      <c r="N37" s="3">
        <f t="shared" si="15"/>
        <v>0.45786311086079989</v>
      </c>
      <c r="O37" s="3">
        <f t="shared" si="16"/>
        <v>4.6041600000000009E-2</v>
      </c>
      <c r="P37" s="3">
        <f t="shared" si="17"/>
        <v>8.6881907511999312E-2</v>
      </c>
    </row>
    <row r="38" spans="1:16" x14ac:dyDescent="0.3">
      <c r="J38" s="3">
        <v>0.89</v>
      </c>
      <c r="K38" s="3">
        <f t="shared" si="13"/>
        <v>3.5600000000000003E-4</v>
      </c>
      <c r="L38" s="3">
        <f t="shared" si="14"/>
        <v>0.24488844469760002</v>
      </c>
      <c r="M38" s="3"/>
      <c r="N38" s="3">
        <f t="shared" si="15"/>
        <v>0.45511155530239994</v>
      </c>
      <c r="O38" s="3">
        <f t="shared" si="16"/>
        <v>4.656480000000001E-2</v>
      </c>
      <c r="P38" s="3">
        <f t="shared" si="17"/>
        <v>8.7405107511999314E-2</v>
      </c>
    </row>
    <row r="39" spans="1:16" x14ac:dyDescent="0.3">
      <c r="J39" s="3">
        <v>0.9</v>
      </c>
      <c r="K39" s="3">
        <f t="shared" si="13"/>
        <v>3.6000000000000002E-4</v>
      </c>
      <c r="L39" s="3">
        <f t="shared" si="14"/>
        <v>0.247640000256</v>
      </c>
      <c r="M39" s="3"/>
      <c r="N39" s="3">
        <f t="shared" si="15"/>
        <v>0.45235999974399999</v>
      </c>
      <c r="O39" s="3">
        <f t="shared" si="16"/>
        <v>4.7088000000000005E-2</v>
      </c>
      <c r="P39" s="3">
        <f t="shared" si="17"/>
        <v>8.7928307511999315E-2</v>
      </c>
    </row>
    <row r="40" spans="1:16" x14ac:dyDescent="0.3">
      <c r="A40" s="12" t="s">
        <v>313</v>
      </c>
      <c r="J40" s="3">
        <v>0.91</v>
      </c>
      <c r="K40" s="3">
        <f t="shared" si="13"/>
        <v>3.6400000000000001E-4</v>
      </c>
      <c r="L40" s="3">
        <f t="shared" si="14"/>
        <v>0.25039155581439998</v>
      </c>
      <c r="M40" s="3"/>
      <c r="N40" s="3">
        <f t="shared" si="15"/>
        <v>0.44960844418559998</v>
      </c>
      <c r="O40" s="3">
        <f t="shared" si="16"/>
        <v>4.7611200000000006E-2</v>
      </c>
      <c r="P40" s="3">
        <f t="shared" si="17"/>
        <v>8.8451507511999317E-2</v>
      </c>
    </row>
    <row r="41" spans="1:16" x14ac:dyDescent="0.3">
      <c r="A41" s="12" t="s">
        <v>314</v>
      </c>
      <c r="J41" s="3">
        <v>0.92</v>
      </c>
      <c r="K41" s="3">
        <f t="shared" si="13"/>
        <v>3.6800000000000005E-4</v>
      </c>
      <c r="L41" s="3">
        <f t="shared" si="14"/>
        <v>0.25314311137280004</v>
      </c>
      <c r="M41" s="3"/>
      <c r="N41" s="3">
        <f t="shared" si="15"/>
        <v>0.44685688862719991</v>
      </c>
      <c r="O41" s="3">
        <f t="shared" si="16"/>
        <v>4.8134400000000015E-2</v>
      </c>
      <c r="P41" s="3">
        <f t="shared" si="17"/>
        <v>8.8974707511999318E-2</v>
      </c>
    </row>
    <row r="42" spans="1:16" x14ac:dyDescent="0.3">
      <c r="J42" s="3">
        <v>0.93</v>
      </c>
      <c r="K42" s="3">
        <f t="shared" si="13"/>
        <v>3.7200000000000004E-4</v>
      </c>
      <c r="L42" s="3">
        <f t="shared" si="14"/>
        <v>0.2558946669312</v>
      </c>
      <c r="M42" s="3"/>
      <c r="N42" s="3">
        <f t="shared" si="15"/>
        <v>0.44410533306879996</v>
      </c>
      <c r="O42" s="3">
        <f t="shared" si="16"/>
        <v>4.8657600000000009E-2</v>
      </c>
      <c r="P42" s="3">
        <f t="shared" si="17"/>
        <v>8.9497907511999319E-2</v>
      </c>
    </row>
    <row r="43" spans="1:16" x14ac:dyDescent="0.3">
      <c r="J43" s="3">
        <v>0.94</v>
      </c>
      <c r="K43" s="3">
        <f t="shared" si="13"/>
        <v>3.7599999999999998E-4</v>
      </c>
      <c r="L43" s="3">
        <f t="shared" si="14"/>
        <v>0.25864622248959995</v>
      </c>
      <c r="M43" s="3"/>
      <c r="N43" s="3">
        <f t="shared" si="15"/>
        <v>0.4413537775104</v>
      </c>
      <c r="O43" s="3">
        <f t="shared" si="16"/>
        <v>4.9180800000000004E-2</v>
      </c>
      <c r="P43" s="3">
        <f t="shared" si="17"/>
        <v>9.0021107511999321E-2</v>
      </c>
    </row>
    <row r="44" spans="1:16" x14ac:dyDescent="0.3">
      <c r="J44" s="3">
        <v>0.95</v>
      </c>
      <c r="K44" s="3">
        <f t="shared" si="13"/>
        <v>3.8000000000000002E-4</v>
      </c>
      <c r="L44" s="3">
        <f t="shared" si="14"/>
        <v>0.26139777804800002</v>
      </c>
      <c r="M44" s="3"/>
      <c r="N44" s="3">
        <f t="shared" si="15"/>
        <v>0.43860222195199994</v>
      </c>
      <c r="O44" s="3">
        <f t="shared" si="16"/>
        <v>4.9704000000000005E-2</v>
      </c>
      <c r="P44" s="3">
        <f t="shared" si="17"/>
        <v>9.0544307511999322E-2</v>
      </c>
    </row>
  </sheetData>
  <mergeCells count="3">
    <mergeCell ref="J3:P3"/>
    <mergeCell ref="J17:P17"/>
    <mergeCell ref="J31:P31"/>
  </mergeCells>
  <hyperlinks>
    <hyperlink ref="A40" r:id="rId1" xr:uid="{10A2F329-F7D4-428D-8810-C82B420F96A6}"/>
    <hyperlink ref="A41" r:id="rId2" xr:uid="{39C6E003-BA83-483B-8994-724B3428E1E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3"/>
  <sheetViews>
    <sheetView workbookViewId="0">
      <selection activeCell="F12" sqref="F12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0" x14ac:dyDescent="0.3">
      <c r="C1" s="5">
        <v>41.869</v>
      </c>
      <c r="D1" t="s">
        <v>74</v>
      </c>
      <c r="E1" t="s">
        <v>29</v>
      </c>
      <c r="G1">
        <f>1/110</f>
        <v>9.0909090909090905E-3</v>
      </c>
      <c r="H1" t="s">
        <v>94</v>
      </c>
      <c r="I1">
        <v>1.1000000000000001</v>
      </c>
      <c r="J1" t="s">
        <v>146</v>
      </c>
    </row>
    <row r="2" spans="1:10" x14ac:dyDescent="0.3">
      <c r="A2" s="2"/>
      <c r="B2" s="2"/>
      <c r="C2" s="9">
        <v>0.27779999999999999</v>
      </c>
      <c r="D2" s="2" t="s">
        <v>76</v>
      </c>
      <c r="E2" s="2"/>
      <c r="F2" s="2"/>
      <c r="G2" s="2"/>
      <c r="H2" s="2"/>
      <c r="I2" s="2"/>
      <c r="J2" s="2"/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75</v>
      </c>
      <c r="G3">
        <f>C2*E3</f>
        <v>1395.7449839999999</v>
      </c>
      <c r="H3" t="s">
        <v>77</v>
      </c>
      <c r="I3">
        <f>C3*C2</f>
        <v>33.335999999999999</v>
      </c>
      <c r="J3" t="s">
        <v>3</v>
      </c>
    </row>
    <row r="4" spans="1:10" x14ac:dyDescent="0.3">
      <c r="A4" t="s">
        <v>86</v>
      </c>
      <c r="C4">
        <v>9.31</v>
      </c>
      <c r="D4" t="s">
        <v>87</v>
      </c>
      <c r="E4">
        <f>C4/I3</f>
        <v>0.27927765778737701</v>
      </c>
      <c r="F4" t="s">
        <v>88</v>
      </c>
    </row>
    <row r="5" spans="1:10" x14ac:dyDescent="0.3">
      <c r="A5" t="s">
        <v>176</v>
      </c>
      <c r="B5">
        <v>0.9</v>
      </c>
    </row>
    <row r="7" spans="1:10" x14ac:dyDescent="0.3">
      <c r="A7" t="s">
        <v>169</v>
      </c>
      <c r="C7">
        <v>0.65</v>
      </c>
      <c r="E7" s="13" t="s">
        <v>170</v>
      </c>
    </row>
    <row r="9" spans="1:10" x14ac:dyDescent="0.3">
      <c r="A9" t="s">
        <v>131</v>
      </c>
      <c r="B9">
        <v>2.5</v>
      </c>
      <c r="C9" t="s">
        <v>132</v>
      </c>
      <c r="D9">
        <f>B9*(365*24*60*60)</f>
        <v>78840000</v>
      </c>
      <c r="E9" t="s">
        <v>79</v>
      </c>
      <c r="F9">
        <f>($D$9*I3*C7/(1000000))</f>
        <v>1708.3366559999999</v>
      </c>
      <c r="G9" t="s">
        <v>133</v>
      </c>
      <c r="I9">
        <f>F9/8760</f>
        <v>0.19501559999999998</v>
      </c>
      <c r="J9" t="s">
        <v>149</v>
      </c>
    </row>
    <row r="10" spans="1:10" x14ac:dyDescent="0.3">
      <c r="A10" t="s">
        <v>221</v>
      </c>
      <c r="B10">
        <v>11</v>
      </c>
      <c r="C10" t="s">
        <v>132</v>
      </c>
      <c r="D10">
        <f t="shared" ref="D10:D11" si="0">B10*(365*24*60*60)</f>
        <v>346896000</v>
      </c>
      <c r="E10" t="s">
        <v>79</v>
      </c>
      <c r="F10">
        <f>D10*20</f>
        <v>6937920000</v>
      </c>
      <c r="G10" t="s">
        <v>223</v>
      </c>
    </row>
    <row r="11" spans="1:10" x14ac:dyDescent="0.3">
      <c r="A11" t="s">
        <v>222</v>
      </c>
      <c r="B11">
        <v>14</v>
      </c>
      <c r="C11" t="s">
        <v>132</v>
      </c>
      <c r="D11">
        <f t="shared" si="0"/>
        <v>441504000</v>
      </c>
      <c r="E11" t="s">
        <v>79</v>
      </c>
      <c r="F11">
        <f>D11*B15</f>
        <v>8830080000</v>
      </c>
      <c r="G11" t="s">
        <v>223</v>
      </c>
    </row>
    <row r="12" spans="1:10" x14ac:dyDescent="0.3">
      <c r="A12" t="s">
        <v>176</v>
      </c>
      <c r="F12">
        <f>F11/(F11+F10)</f>
        <v>0.56000000000000005</v>
      </c>
    </row>
    <row r="14" spans="1:10" x14ac:dyDescent="0.3">
      <c r="A14" s="2" t="s">
        <v>134</v>
      </c>
      <c r="B14">
        <v>162</v>
      </c>
      <c r="C14" t="s">
        <v>135</v>
      </c>
      <c r="D14">
        <f>B14/I9</f>
        <v>830.70277454726704</v>
      </c>
      <c r="E14" t="s">
        <v>136</v>
      </c>
      <c r="F14" s="15">
        <f>D14*I1</f>
        <v>913.77305200199385</v>
      </c>
      <c r="G14" t="s">
        <v>150</v>
      </c>
    </row>
    <row r="15" spans="1:10" x14ac:dyDescent="0.3">
      <c r="A15" s="2" t="s">
        <v>36</v>
      </c>
      <c r="B15">
        <v>20</v>
      </c>
      <c r="C15" t="s">
        <v>155</v>
      </c>
    </row>
    <row r="17" spans="1:11" x14ac:dyDescent="0.3">
      <c r="A17" s="2" t="s">
        <v>137</v>
      </c>
      <c r="D17" s="2" t="s">
        <v>142</v>
      </c>
      <c r="H17" s="2" t="s">
        <v>151</v>
      </c>
      <c r="J17" s="2" t="s">
        <v>175</v>
      </c>
    </row>
    <row r="18" spans="1:11" x14ac:dyDescent="0.3">
      <c r="A18" t="s">
        <v>138</v>
      </c>
      <c r="B18">
        <f>64546*1000</f>
        <v>64546000</v>
      </c>
      <c r="C18" t="s">
        <v>141</v>
      </c>
      <c r="D18">
        <v>20</v>
      </c>
      <c r="E18" t="s">
        <v>143</v>
      </c>
      <c r="H18">
        <f>B18/(D18*1000)</f>
        <v>3227.3</v>
      </c>
      <c r="I18" t="s">
        <v>22</v>
      </c>
      <c r="J18">
        <f>B18/(D18*1000)</f>
        <v>3227.3</v>
      </c>
      <c r="K18" t="s">
        <v>22</v>
      </c>
    </row>
    <row r="19" spans="1:11" x14ac:dyDescent="0.3">
      <c r="A19" t="s">
        <v>139</v>
      </c>
      <c r="B19">
        <v>1064000</v>
      </c>
      <c r="C19" t="s">
        <v>141</v>
      </c>
      <c r="D19">
        <v>30</v>
      </c>
      <c r="E19" t="s">
        <v>143</v>
      </c>
      <c r="H19" s="2">
        <f>B19/(D19*1000)</f>
        <v>35.466666666666669</v>
      </c>
      <c r="I19" t="s">
        <v>22</v>
      </c>
      <c r="J19" s="2">
        <f>H19+F20</f>
        <v>429.84637734909302</v>
      </c>
      <c r="K19" t="s">
        <v>22</v>
      </c>
    </row>
    <row r="20" spans="1:11" x14ac:dyDescent="0.3">
      <c r="A20" t="s">
        <v>174</v>
      </c>
      <c r="F20">
        <f>B43</f>
        <v>394.37971068242638</v>
      </c>
      <c r="G20" t="s">
        <v>22</v>
      </c>
    </row>
    <row r="21" spans="1:11" x14ac:dyDescent="0.3">
      <c r="A21" t="s">
        <v>140</v>
      </c>
      <c r="B21">
        <v>1089000</v>
      </c>
      <c r="C21" t="s">
        <v>141</v>
      </c>
      <c r="D21">
        <f>B21/1000000</f>
        <v>1.089</v>
      </c>
      <c r="E21" t="s">
        <v>147</v>
      </c>
    </row>
    <row r="22" spans="1:11" x14ac:dyDescent="0.3">
      <c r="A22" t="s">
        <v>180</v>
      </c>
      <c r="B22">
        <f>(97662-64546-2778-1064-1089)*1000</f>
        <v>28185000</v>
      </c>
      <c r="C22" t="s">
        <v>141</v>
      </c>
      <c r="H22" t="s">
        <v>163</v>
      </c>
      <c r="I22" t="s">
        <v>153</v>
      </c>
      <c r="J22" t="s">
        <v>160</v>
      </c>
    </row>
    <row r="23" spans="1:11" x14ac:dyDescent="0.3">
      <c r="H23">
        <f>F9/J19</f>
        <v>3.9742958089713083</v>
      </c>
      <c r="I23">
        <f>F9/(J19+J18)</f>
        <v>0.46712285474290999</v>
      </c>
      <c r="J23" s="15">
        <f>J19/J18</f>
        <v>0.13319070967963714</v>
      </c>
    </row>
    <row r="24" spans="1:11" x14ac:dyDescent="0.3">
      <c r="A24" t="s">
        <v>144</v>
      </c>
      <c r="B24">
        <v>12</v>
      </c>
      <c r="C24" t="s">
        <v>132</v>
      </c>
    </row>
    <row r="25" spans="1:11" x14ac:dyDescent="0.3">
      <c r="B25">
        <f>B24*(365*24*60*60)</f>
        <v>378432000</v>
      </c>
      <c r="C25" t="s">
        <v>79</v>
      </c>
    </row>
    <row r="26" spans="1:11" x14ac:dyDescent="0.3">
      <c r="B26">
        <f>B25*0.3</f>
        <v>113529600</v>
      </c>
      <c r="C26" t="s">
        <v>110</v>
      </c>
      <c r="D26">
        <f>B26*G1/(1000000)</f>
        <v>1.0320872727272727</v>
      </c>
      <c r="E26" t="s">
        <v>145</v>
      </c>
      <c r="F26">
        <f>D26/I1</f>
        <v>0.93826115702479329</v>
      </c>
      <c r="G26" t="s">
        <v>147</v>
      </c>
    </row>
    <row r="28" spans="1:11" x14ac:dyDescent="0.3">
      <c r="A28" s="2" t="s">
        <v>178</v>
      </c>
      <c r="B28">
        <f>(B18/1000000)+F26</f>
        <v>65.484261157024804</v>
      </c>
      <c r="C28" t="s">
        <v>147</v>
      </c>
      <c r="D28">
        <f>B28*I1</f>
        <v>72.032687272727287</v>
      </c>
      <c r="E28" t="s">
        <v>145</v>
      </c>
      <c r="F28" s="15">
        <f>(D28/F9)+B41</f>
        <v>5.8665393466056544E-2</v>
      </c>
      <c r="G28" t="s">
        <v>35</v>
      </c>
    </row>
    <row r="29" spans="1:11" x14ac:dyDescent="0.3">
      <c r="A29" s="13" t="s">
        <v>181</v>
      </c>
    </row>
    <row r="31" spans="1:11" x14ac:dyDescent="0.3">
      <c r="A31" s="2" t="s">
        <v>148</v>
      </c>
      <c r="B31">
        <f>D21</f>
        <v>1.089</v>
      </c>
      <c r="C31" t="s">
        <v>147</v>
      </c>
      <c r="D31">
        <f>B31*I1</f>
        <v>1.1979</v>
      </c>
      <c r="E31" t="s">
        <v>145</v>
      </c>
      <c r="F31" s="15">
        <f>D31/I9</f>
        <v>6.1425855162356244</v>
      </c>
      <c r="G31" t="s">
        <v>150</v>
      </c>
    </row>
    <row r="32" spans="1:11" x14ac:dyDescent="0.3">
      <c r="A32" s="14"/>
    </row>
    <row r="34" spans="1:6" x14ac:dyDescent="0.3">
      <c r="A34" s="2" t="s">
        <v>154</v>
      </c>
      <c r="B34">
        <f>F9*B15*1000</f>
        <v>34166733.119999997</v>
      </c>
      <c r="C34" t="s">
        <v>156</v>
      </c>
    </row>
    <row r="35" spans="1:6" x14ac:dyDescent="0.3">
      <c r="A35" s="2" t="s">
        <v>157</v>
      </c>
      <c r="B35">
        <f>(B14*1000000)+(97662000*B15)</f>
        <v>2115240000</v>
      </c>
      <c r="C35" t="s">
        <v>158</v>
      </c>
    </row>
    <row r="36" spans="1:6" x14ac:dyDescent="0.3">
      <c r="A36" s="2" t="s">
        <v>159</v>
      </c>
      <c r="B36">
        <f>B35/B34</f>
        <v>61.909343002471992</v>
      </c>
      <c r="C36" t="s">
        <v>143</v>
      </c>
    </row>
    <row r="38" spans="1:6" x14ac:dyDescent="0.3">
      <c r="A38" s="2" t="s">
        <v>103</v>
      </c>
      <c r="B38">
        <v>3.1300000000000002E-4</v>
      </c>
      <c r="C38" t="s">
        <v>70</v>
      </c>
    </row>
    <row r="39" spans="1:6" x14ac:dyDescent="0.3">
      <c r="A39" s="2" t="s">
        <v>177</v>
      </c>
      <c r="B39">
        <f>B38*F9*B5</f>
        <v>0.48123843599520005</v>
      </c>
      <c r="C39" t="s">
        <v>23</v>
      </c>
    </row>
    <row r="40" spans="1:6" x14ac:dyDescent="0.3">
      <c r="A40" s="14" t="s">
        <v>171</v>
      </c>
      <c r="B40">
        <v>15</v>
      </c>
      <c r="C40" t="s">
        <v>172</v>
      </c>
    </row>
    <row r="41" spans="1:6" x14ac:dyDescent="0.3">
      <c r="B41" s="15">
        <f>B40*I1/1000</f>
        <v>1.6500000000000001E-2</v>
      </c>
      <c r="C41" t="s">
        <v>35</v>
      </c>
      <c r="E41">
        <f>B41*F9*1000000/I1</f>
        <v>25625049.84</v>
      </c>
      <c r="F41" t="s">
        <v>135</v>
      </c>
    </row>
    <row r="42" spans="1:6" x14ac:dyDescent="0.3">
      <c r="A42" t="s">
        <v>173</v>
      </c>
      <c r="B42">
        <v>2950</v>
      </c>
      <c r="C42" t="s">
        <v>26</v>
      </c>
      <c r="D42">
        <f>B42*C2</f>
        <v>819.51</v>
      </c>
      <c r="E42" t="s">
        <v>18</v>
      </c>
    </row>
    <row r="43" spans="1:6" x14ac:dyDescent="0.3">
      <c r="B43" s="3">
        <f>D42*B39</f>
        <v>394.37971068242638</v>
      </c>
      <c r="C43" s="3" t="s">
        <v>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workbookViewId="0">
      <selection activeCell="M30" sqref="M3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75</v>
      </c>
      <c r="H1">
        <v>1395.7449839999999</v>
      </c>
      <c r="I1" t="s">
        <v>77</v>
      </c>
      <c r="J1">
        <v>33.335999999999999</v>
      </c>
      <c r="K1" t="s">
        <v>3</v>
      </c>
      <c r="M1" s="9">
        <v>0.27779999999999999</v>
      </c>
      <c r="N1" s="2" t="s">
        <v>76</v>
      </c>
    </row>
    <row r="2" spans="1:14" x14ac:dyDescent="0.3">
      <c r="B2">
        <f>1/110</f>
        <v>9.0909090909090905E-3</v>
      </c>
      <c r="C2" t="s">
        <v>94</v>
      </c>
      <c r="D2">
        <v>1.1000000000000001</v>
      </c>
      <c r="E2" t="s">
        <v>146</v>
      </c>
      <c r="I2" t="s">
        <v>16</v>
      </c>
      <c r="J2">
        <f>3.9</f>
        <v>3.9</v>
      </c>
      <c r="K2" t="s">
        <v>3</v>
      </c>
    </row>
    <row r="3" spans="1:14" x14ac:dyDescent="0.3">
      <c r="I3" t="s">
        <v>195</v>
      </c>
      <c r="J3">
        <f>J1-J2</f>
        <v>29.436</v>
      </c>
      <c r="K3" t="s">
        <v>3</v>
      </c>
    </row>
    <row r="4" spans="1:14" x14ac:dyDescent="0.3">
      <c r="A4" t="s">
        <v>36</v>
      </c>
      <c r="B4">
        <v>20</v>
      </c>
      <c r="C4" t="s">
        <v>155</v>
      </c>
      <c r="D4" t="s">
        <v>134</v>
      </c>
      <c r="E4">
        <f>1000*D2</f>
        <v>1100</v>
      </c>
      <c r="F4" t="s">
        <v>102</v>
      </c>
      <c r="G4">
        <f>600*D2</f>
        <v>660</v>
      </c>
    </row>
    <row r="6" spans="1:14" x14ac:dyDescent="0.3">
      <c r="A6" s="2" t="s">
        <v>165</v>
      </c>
      <c r="B6">
        <v>2974000</v>
      </c>
      <c r="C6" t="s">
        <v>158</v>
      </c>
      <c r="D6">
        <f>B6/(1000000*L10)</f>
        <v>1239.0675412633659</v>
      </c>
      <c r="E6" t="s">
        <v>136</v>
      </c>
      <c r="F6">
        <f>D6*D2</f>
        <v>1362.9742953897025</v>
      </c>
      <c r="G6" t="s">
        <v>150</v>
      </c>
    </row>
    <row r="8" spans="1:14" x14ac:dyDescent="0.3">
      <c r="A8" t="s">
        <v>144</v>
      </c>
      <c r="B8">
        <v>0.22</v>
      </c>
      <c r="C8" t="s">
        <v>132</v>
      </c>
      <c r="I8" t="s">
        <v>161</v>
      </c>
      <c r="J8">
        <v>0.02</v>
      </c>
      <c r="K8" t="s">
        <v>132</v>
      </c>
    </row>
    <row r="9" spans="1:14" x14ac:dyDescent="0.3">
      <c r="B9">
        <f>B8*(365*24*60*60)</f>
        <v>6937920</v>
      </c>
      <c r="C9" t="s">
        <v>79</v>
      </c>
      <c r="J9">
        <f>J8*(365*24*60*60)</f>
        <v>630720</v>
      </c>
      <c r="K9" t="s">
        <v>79</v>
      </c>
      <c r="L9">
        <f>J9*J1/1000000</f>
        <v>21.025681919999997</v>
      </c>
      <c r="M9" t="s">
        <v>133</v>
      </c>
    </row>
    <row r="10" spans="1:14" x14ac:dyDescent="0.3">
      <c r="B10">
        <f>0.3*B9</f>
        <v>2081376</v>
      </c>
      <c r="C10" t="s">
        <v>110</v>
      </c>
      <c r="D10">
        <f>B10*B2/1000000</f>
        <v>1.89216E-2</v>
      </c>
      <c r="E10" t="s">
        <v>145</v>
      </c>
      <c r="F10">
        <f>D10/D2</f>
        <v>1.7201454545454544E-2</v>
      </c>
      <c r="G10" t="s">
        <v>147</v>
      </c>
      <c r="L10">
        <f>L9/8760</f>
        <v>2.4001919999999998E-3</v>
      </c>
      <c r="M10" t="s">
        <v>167</v>
      </c>
    </row>
    <row r="11" spans="1:14" x14ac:dyDescent="0.3">
      <c r="F11">
        <f>F10*1000000</f>
        <v>17201.454545454544</v>
      </c>
      <c r="G11" t="s">
        <v>141</v>
      </c>
    </row>
    <row r="12" spans="1:14" x14ac:dyDescent="0.3">
      <c r="A12" s="2" t="s">
        <v>168</v>
      </c>
      <c r="B12">
        <f>D10/L9</f>
        <v>8.9992800575953936E-4</v>
      </c>
      <c r="C12" t="s">
        <v>35</v>
      </c>
    </row>
    <row r="14" spans="1:14" x14ac:dyDescent="0.3">
      <c r="A14" t="s">
        <v>139</v>
      </c>
      <c r="B14">
        <v>52</v>
      </c>
      <c r="C14" t="s">
        <v>87</v>
      </c>
      <c r="I14" t="s">
        <v>163</v>
      </c>
      <c r="J14">
        <f>J1/B14</f>
        <v>0.6410769230769231</v>
      </c>
    </row>
    <row r="16" spans="1:14" x14ac:dyDescent="0.3">
      <c r="A16" s="2" t="s">
        <v>166</v>
      </c>
      <c r="B16">
        <v>15000</v>
      </c>
      <c r="C16" t="s">
        <v>141</v>
      </c>
      <c r="D16">
        <f>B16*D2/(1000000*L10)</f>
        <v>6.8744500439964815</v>
      </c>
      <c r="E16" t="s">
        <v>150</v>
      </c>
    </row>
    <row r="17" spans="1:7" x14ac:dyDescent="0.3">
      <c r="A17" t="s">
        <v>164</v>
      </c>
    </row>
    <row r="19" spans="1:7" x14ac:dyDescent="0.3">
      <c r="A19" s="2" t="s">
        <v>154</v>
      </c>
      <c r="B19">
        <f>L9*B4</f>
        <v>420.51363839999993</v>
      </c>
      <c r="C19" t="s">
        <v>22</v>
      </c>
      <c r="E19" t="s">
        <v>244</v>
      </c>
      <c r="G19">
        <v>0.16200000000000001</v>
      </c>
    </row>
    <row r="20" spans="1:7" x14ac:dyDescent="0.3">
      <c r="A20" s="2" t="s">
        <v>157</v>
      </c>
      <c r="B20">
        <f>B6+(B16*B4)+(F11*B4)</f>
        <v>3618029.0909090908</v>
      </c>
      <c r="C20" t="s">
        <v>158</v>
      </c>
      <c r="E20" t="s">
        <v>245</v>
      </c>
      <c r="G20">
        <f>B20/(B19*1000*G19)</f>
        <v>53.110079834324445</v>
      </c>
    </row>
    <row r="21" spans="1:7" x14ac:dyDescent="0.3">
      <c r="A21" s="2" t="s">
        <v>159</v>
      </c>
      <c r="B21">
        <f>B20/(B19*1000)</f>
        <v>8.603832933160561</v>
      </c>
      <c r="C21" t="s">
        <v>143</v>
      </c>
    </row>
    <row r="24" spans="1:7" x14ac:dyDescent="0.3">
      <c r="A24" s="2" t="s">
        <v>103</v>
      </c>
      <c r="B24">
        <v>2017</v>
      </c>
      <c r="C24">
        <v>1160</v>
      </c>
      <c r="D24" t="s">
        <v>194</v>
      </c>
      <c r="E24">
        <f>C24/J3</f>
        <v>39.407528196765867</v>
      </c>
      <c r="F24" t="s">
        <v>183</v>
      </c>
    </row>
    <row r="25" spans="1:7" x14ac:dyDescent="0.3">
      <c r="B25">
        <v>2050</v>
      </c>
      <c r="C25">
        <v>480</v>
      </c>
      <c r="D25" t="s">
        <v>194</v>
      </c>
      <c r="E25">
        <f>C25/J3</f>
        <v>16.306563391765184</v>
      </c>
      <c r="F25" t="s">
        <v>183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1:R25"/>
  <sheetViews>
    <sheetView workbookViewId="0">
      <selection activeCell="D16" sqref="D16"/>
    </sheetView>
  </sheetViews>
  <sheetFormatPr defaultRowHeight="14.4" x14ac:dyDescent="0.3"/>
  <cols>
    <col min="1" max="1" width="11.109375" customWidth="1"/>
  </cols>
  <sheetData>
    <row r="1" spans="1:18" x14ac:dyDescent="0.3">
      <c r="A1" s="12" t="s">
        <v>303</v>
      </c>
      <c r="J1" s="12" t="s">
        <v>310</v>
      </c>
    </row>
    <row r="2" spans="1:18" x14ac:dyDescent="0.3">
      <c r="G2" t="s">
        <v>193</v>
      </c>
    </row>
    <row r="3" spans="1:18" x14ac:dyDescent="0.3">
      <c r="B3" s="2">
        <v>2017</v>
      </c>
      <c r="C3" s="18">
        <v>2025</v>
      </c>
      <c r="D3" s="18"/>
      <c r="E3" s="26">
        <v>2040</v>
      </c>
      <c r="F3" s="26"/>
      <c r="G3" t="s">
        <v>308</v>
      </c>
      <c r="H3" t="s">
        <v>309</v>
      </c>
      <c r="Q3" s="17"/>
      <c r="R3" s="17"/>
    </row>
    <row r="4" spans="1:18" x14ac:dyDescent="0.3">
      <c r="B4" s="2" t="s">
        <v>197</v>
      </c>
      <c r="C4" s="2" t="s">
        <v>185</v>
      </c>
      <c r="D4" s="2" t="s">
        <v>186</v>
      </c>
      <c r="E4" s="2" t="s">
        <v>185</v>
      </c>
      <c r="F4" s="2" t="s">
        <v>186</v>
      </c>
      <c r="Q4" s="17"/>
      <c r="R4" s="17"/>
    </row>
    <row r="5" spans="1:18" x14ac:dyDescent="0.3">
      <c r="A5" s="2" t="s">
        <v>184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C5/B5</f>
        <v>0.92806402845709213</v>
      </c>
      <c r="H5">
        <f>E5/C5</f>
        <v>0.83100167879127029</v>
      </c>
      <c r="Q5" s="17"/>
      <c r="R5" s="17"/>
    </row>
    <row r="6" spans="1:18" x14ac:dyDescent="0.3">
      <c r="A6" s="2" t="s">
        <v>187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 t="shared" ref="G6:G7" si="0">C6/B6</f>
        <v>1.7724082046087617</v>
      </c>
      <c r="H6">
        <f t="shared" ref="H6:H7" si="1">E6/C6</f>
        <v>0.9003754693366709</v>
      </c>
      <c r="Q6" s="17"/>
      <c r="R6" s="17"/>
    </row>
    <row r="7" spans="1:18" x14ac:dyDescent="0.3">
      <c r="A7" s="2" t="s">
        <v>188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 t="shared" si="0"/>
        <v>1.1514457816604557</v>
      </c>
      <c r="H7">
        <f t="shared" si="1"/>
        <v>0.69963190184049073</v>
      </c>
      <c r="R7" s="17"/>
    </row>
    <row r="11" spans="1:18" x14ac:dyDescent="0.3">
      <c r="A11" s="2" t="s">
        <v>189</v>
      </c>
      <c r="B11" s="2">
        <v>2017</v>
      </c>
      <c r="C11" s="2">
        <v>2025</v>
      </c>
      <c r="D11" s="2">
        <v>2050</v>
      </c>
      <c r="E11" s="2">
        <v>2100</v>
      </c>
      <c r="H11" t="s">
        <v>306</v>
      </c>
      <c r="I11" t="s">
        <v>307</v>
      </c>
    </row>
    <row r="12" spans="1:18" x14ac:dyDescent="0.3">
      <c r="A12" s="2" t="s">
        <v>184</v>
      </c>
      <c r="B12">
        <v>1307</v>
      </c>
      <c r="D12" s="15">
        <v>615</v>
      </c>
      <c r="E12" s="15">
        <f>(H12*$E$11)+I12</f>
        <v>-433.48484848484804</v>
      </c>
      <c r="H12">
        <f>(D12-B12)/($D$11-$B$11)</f>
        <v>-20.969696969696969</v>
      </c>
      <c r="I12">
        <f>D12-(H12*$D$11)</f>
        <v>43602.878787878784</v>
      </c>
    </row>
    <row r="13" spans="1:18" x14ac:dyDescent="0.3">
      <c r="A13" s="2" t="s">
        <v>190</v>
      </c>
      <c r="B13">
        <v>3454</v>
      </c>
      <c r="D13" s="15">
        <f>B13*D24</f>
        <v>2406.8349206349203</v>
      </c>
      <c r="E13" s="15">
        <f t="shared" ref="E13:E15" si="2">(H13*$E$11)+I13</f>
        <v>820.2211640211608</v>
      </c>
      <c r="H13">
        <f t="shared" ref="H13:H15" si="3">(D13-B13)/($D$11-$B$11)</f>
        <v>-31.732275132275142</v>
      </c>
      <c r="I13">
        <f t="shared" ref="I13:I15" si="4">D13-(H13*$D$11)</f>
        <v>67457.998941798956</v>
      </c>
    </row>
    <row r="14" spans="1:18" x14ac:dyDescent="0.3">
      <c r="A14" s="2" t="s">
        <v>191</v>
      </c>
      <c r="B14">
        <v>7772.73</v>
      </c>
      <c r="D14" s="15">
        <f>B14*D25</f>
        <v>3381.1232776349611</v>
      </c>
      <c r="E14" s="15">
        <f t="shared" si="2"/>
        <v>-3272.8263017060235</v>
      </c>
      <c r="H14">
        <f t="shared" si="3"/>
        <v>-133.07899158681937</v>
      </c>
      <c r="I14">
        <f t="shared" si="4"/>
        <v>276193.05603061465</v>
      </c>
    </row>
    <row r="15" spans="1:18" x14ac:dyDescent="0.3">
      <c r="A15" s="2" t="s">
        <v>192</v>
      </c>
      <c r="B15">
        <v>12897</v>
      </c>
      <c r="D15" s="15">
        <f>B15*D25</f>
        <v>5610.171318398825</v>
      </c>
      <c r="E15" s="15">
        <f t="shared" si="2"/>
        <v>-5430.4781991787022</v>
      </c>
      <c r="H15">
        <f t="shared" si="3"/>
        <v>-220.81299035155075</v>
      </c>
      <c r="I15">
        <f t="shared" si="4"/>
        <v>458276.80153907789</v>
      </c>
    </row>
    <row r="16" spans="1:18" x14ac:dyDescent="0.3">
      <c r="I16" t="s">
        <v>199</v>
      </c>
    </row>
    <row r="18" spans="1:4" x14ac:dyDescent="0.3">
      <c r="A18" t="s">
        <v>196</v>
      </c>
      <c r="B18">
        <v>1307</v>
      </c>
      <c r="C18">
        <v>15.19</v>
      </c>
      <c r="D18">
        <v>0</v>
      </c>
    </row>
    <row r="20" spans="1:4" x14ac:dyDescent="0.3">
      <c r="A20" t="s">
        <v>190</v>
      </c>
      <c r="B20">
        <v>1319</v>
      </c>
      <c r="C20">
        <v>26.22</v>
      </c>
      <c r="D20">
        <v>0</v>
      </c>
    </row>
    <row r="21" spans="1:4" x14ac:dyDescent="0.3">
      <c r="A21" t="s">
        <v>198</v>
      </c>
      <c r="B21">
        <v>5446</v>
      </c>
      <c r="C21">
        <v>109.54</v>
      </c>
      <c r="D21">
        <v>0</v>
      </c>
    </row>
    <row r="23" spans="1:4" x14ac:dyDescent="0.3">
      <c r="A23" t="s">
        <v>311</v>
      </c>
      <c r="B23">
        <v>2019</v>
      </c>
      <c r="C23">
        <v>2050</v>
      </c>
    </row>
    <row r="24" spans="1:4" x14ac:dyDescent="0.3">
      <c r="A24" t="s">
        <v>190</v>
      </c>
      <c r="B24">
        <v>1260</v>
      </c>
      <c r="C24">
        <v>878</v>
      </c>
      <c r="D24">
        <f>C24/B24</f>
        <v>0.69682539682539679</v>
      </c>
    </row>
    <row r="25" spans="1:4" x14ac:dyDescent="0.3">
      <c r="A25" t="s">
        <v>312</v>
      </c>
      <c r="B25">
        <v>5446</v>
      </c>
      <c r="C25">
        <v>2369</v>
      </c>
      <c r="D25">
        <f>C25/B25</f>
        <v>0.43499816378993755</v>
      </c>
    </row>
  </sheetData>
  <mergeCells count="1">
    <mergeCell ref="E3:F3"/>
  </mergeCells>
  <hyperlinks>
    <hyperlink ref="A1" r:id="rId1" xr:uid="{8C74A987-4DF5-46D1-861D-70DB8BAF63FC}"/>
    <hyperlink ref="J1" r:id="rId2" xr:uid="{F9CF62DC-EB7C-4593-8A08-24C1C71D4CC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8F1C-1E3B-4C4E-8A6D-24A9BDA23FF2}">
  <dimension ref="A1:F10"/>
  <sheetViews>
    <sheetView workbookViewId="0">
      <selection activeCell="E1" sqref="E1"/>
    </sheetView>
  </sheetViews>
  <sheetFormatPr defaultRowHeight="14.4" x14ac:dyDescent="0.3"/>
  <sheetData>
    <row r="1" spans="1:6" x14ac:dyDescent="0.3">
      <c r="A1" t="s">
        <v>205</v>
      </c>
      <c r="B1" t="s">
        <v>134</v>
      </c>
      <c r="E1" s="12" t="s">
        <v>304</v>
      </c>
    </row>
    <row r="2" spans="1:6" x14ac:dyDescent="0.3">
      <c r="A2">
        <v>2022</v>
      </c>
      <c r="B2">
        <v>7000</v>
      </c>
      <c r="C2" t="s">
        <v>299</v>
      </c>
    </row>
    <row r="3" spans="1:6" x14ac:dyDescent="0.3">
      <c r="A3">
        <v>2030</v>
      </c>
      <c r="B3">
        <v>4000</v>
      </c>
      <c r="C3" t="s">
        <v>300</v>
      </c>
    </row>
    <row r="4" spans="1:6" x14ac:dyDescent="0.3">
      <c r="A4">
        <v>2035</v>
      </c>
      <c r="B4">
        <v>3000</v>
      </c>
    </row>
    <row r="6" spans="1:6" x14ac:dyDescent="0.3">
      <c r="A6" t="s">
        <v>36</v>
      </c>
      <c r="B6">
        <v>2017</v>
      </c>
      <c r="C6">
        <v>7</v>
      </c>
    </row>
    <row r="9" spans="1:6" x14ac:dyDescent="0.3">
      <c r="A9" t="s">
        <v>182</v>
      </c>
      <c r="B9">
        <v>2017</v>
      </c>
      <c r="C9">
        <v>25</v>
      </c>
      <c r="D9" t="s">
        <v>301</v>
      </c>
      <c r="E9">
        <f>C9*1000/(8760*C6)</f>
        <v>0.40769732550554466</v>
      </c>
      <c r="F9" t="s">
        <v>302</v>
      </c>
    </row>
    <row r="10" spans="1:6" x14ac:dyDescent="0.3">
      <c r="B10">
        <v>2030</v>
      </c>
      <c r="C10">
        <v>15</v>
      </c>
      <c r="D10" t="s">
        <v>301</v>
      </c>
      <c r="E10">
        <f>C10*1000/(8760*C6)</f>
        <v>0.2446183953033268</v>
      </c>
      <c r="F10" t="s">
        <v>302</v>
      </c>
    </row>
  </sheetData>
  <hyperlinks>
    <hyperlink ref="E1" r:id="rId1" display="https://urldefense.proofpoint.com/v2/url?u=https-3A__doi.org_10.1016_j.apenergy.2015.02.049&amp;d=DwMFAg&amp;c=OCIEmEwdEq_aNlsP4fF3gFqSN-E3mlr2t9JcDdfOZag&amp;r=79oVBkpSJ8jc8Mw2l8LuV83qCNXLl72NkphdMlliukM&amp;m=EI5nD3SXgMsWxeKIR3ocEH5qEk_i9uxhW2JJZ1sCs9Y&amp;s=p8hTLdk0tuE2NJOuJmOtvxMa-zGPJQmn4xroO0eaEm0&amp;e=" xr:uid="{94830736-8713-4C5D-B4BC-C45275753A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9B4C-54AC-49FD-862E-E12FD7004C39}">
  <dimension ref="A1:F7"/>
  <sheetViews>
    <sheetView workbookViewId="0">
      <selection activeCell="D8" sqref="D8"/>
    </sheetView>
  </sheetViews>
  <sheetFormatPr defaultRowHeight="14.4" x14ac:dyDescent="0.3"/>
  <sheetData>
    <row r="1" spans="1:6" x14ac:dyDescent="0.3">
      <c r="A1" t="s">
        <v>205</v>
      </c>
      <c r="B1" t="s">
        <v>134</v>
      </c>
      <c r="F1" s="12" t="s">
        <v>305</v>
      </c>
    </row>
    <row r="2" spans="1:6" x14ac:dyDescent="0.3">
      <c r="A2">
        <v>2030</v>
      </c>
      <c r="B2">
        <v>4000</v>
      </c>
      <c r="C2" t="s">
        <v>298</v>
      </c>
    </row>
    <row r="3" spans="1:6" x14ac:dyDescent="0.3">
      <c r="A3">
        <v>2035</v>
      </c>
      <c r="B3">
        <v>3000</v>
      </c>
    </row>
    <row r="5" spans="1:6" x14ac:dyDescent="0.3">
      <c r="A5" t="s">
        <v>36</v>
      </c>
      <c r="B5">
        <v>10</v>
      </c>
      <c r="C5" t="s">
        <v>155</v>
      </c>
    </row>
    <row r="7" spans="1:6" x14ac:dyDescent="0.3">
      <c r="A7" t="s">
        <v>182</v>
      </c>
      <c r="B7">
        <v>500</v>
      </c>
      <c r="C7" t="s">
        <v>301</v>
      </c>
      <c r="D7">
        <f>B7*1000/(8760*B5)</f>
        <v>5.7077625570776256</v>
      </c>
      <c r="E7" t="s">
        <v>129</v>
      </c>
    </row>
  </sheetData>
  <hyperlinks>
    <hyperlink ref="F1" r:id="rId1" xr:uid="{EFEEFDC1-B781-4372-AFDD-65063FD855A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1F9-D657-42BD-96F8-D40A873BAE34}">
  <dimension ref="A1:J23"/>
  <sheetViews>
    <sheetView workbookViewId="0">
      <selection activeCell="I22" sqref="I22"/>
    </sheetView>
  </sheetViews>
  <sheetFormatPr defaultRowHeight="14.4" x14ac:dyDescent="0.3"/>
  <cols>
    <col min="1" max="1" width="15.33203125" customWidth="1"/>
    <col min="2" max="2" width="13.88671875" customWidth="1"/>
    <col min="4" max="4" width="10" bestFit="1" customWidth="1"/>
  </cols>
  <sheetData>
    <row r="1" spans="1:10" x14ac:dyDescent="0.3">
      <c r="A1" t="s">
        <v>254</v>
      </c>
      <c r="B1">
        <v>377970</v>
      </c>
      <c r="C1" t="s">
        <v>255</v>
      </c>
    </row>
    <row r="2" spans="1:10" x14ac:dyDescent="0.3">
      <c r="A2" t="s">
        <v>256</v>
      </c>
      <c r="B2">
        <v>251000</v>
      </c>
      <c r="C2" t="s">
        <v>255</v>
      </c>
    </row>
    <row r="3" spans="1:10" x14ac:dyDescent="0.3">
      <c r="A3" t="s">
        <v>257</v>
      </c>
      <c r="B3">
        <v>7.5</v>
      </c>
      <c r="C3" t="s">
        <v>258</v>
      </c>
      <c r="I3">
        <v>4.0468600000000002E-3</v>
      </c>
      <c r="J3" t="s">
        <v>259</v>
      </c>
    </row>
    <row r="4" spans="1:10" x14ac:dyDescent="0.3">
      <c r="B4">
        <f>B3*I3*1000</f>
        <v>30.351450000000003</v>
      </c>
      <c r="C4" t="s">
        <v>260</v>
      </c>
    </row>
    <row r="5" spans="1:10" x14ac:dyDescent="0.3">
      <c r="A5" t="s">
        <v>261</v>
      </c>
      <c r="B5">
        <f>300*B4</f>
        <v>9105.4350000000013</v>
      </c>
      <c r="C5" t="s">
        <v>255</v>
      </c>
      <c r="D5">
        <f>B5*100/B2</f>
        <v>3.6276633466135464</v>
      </c>
      <c r="E5" t="s">
        <v>268</v>
      </c>
    </row>
    <row r="6" spans="1:10" x14ac:dyDescent="0.3">
      <c r="A6" t="s">
        <v>271</v>
      </c>
      <c r="B6">
        <f>D6*B2/100</f>
        <v>12550</v>
      </c>
      <c r="D6">
        <v>5</v>
      </c>
      <c r="E6" t="s">
        <v>268</v>
      </c>
    </row>
    <row r="8" spans="1:10" x14ac:dyDescent="0.3">
      <c r="A8" t="s">
        <v>273</v>
      </c>
      <c r="B8">
        <v>0.3</v>
      </c>
    </row>
    <row r="9" spans="1:10" x14ac:dyDescent="0.3">
      <c r="A9" t="s">
        <v>186</v>
      </c>
      <c r="B9">
        <v>0.9</v>
      </c>
    </row>
    <row r="10" spans="1:10" x14ac:dyDescent="0.3">
      <c r="A10" t="s">
        <v>36</v>
      </c>
      <c r="B10">
        <v>20</v>
      </c>
      <c r="C10" t="s">
        <v>155</v>
      </c>
    </row>
    <row r="11" spans="1:10" x14ac:dyDescent="0.3">
      <c r="A11" t="s">
        <v>262</v>
      </c>
      <c r="B11">
        <v>1000</v>
      </c>
      <c r="C11" t="s">
        <v>263</v>
      </c>
      <c r="D11">
        <f>365.25*B11*B9*B8</f>
        <v>98617.5</v>
      </c>
      <c r="E11" t="s">
        <v>264</v>
      </c>
      <c r="F11">
        <f>D11*B10</f>
        <v>1972350</v>
      </c>
      <c r="G11" t="s">
        <v>265</v>
      </c>
    </row>
    <row r="12" spans="1:10" x14ac:dyDescent="0.3">
      <c r="B12">
        <f>30*D11/1000000</f>
        <v>2.9585249999999998</v>
      </c>
      <c r="C12" t="s">
        <v>274</v>
      </c>
      <c r="D12">
        <f>B12*B10</f>
        <v>59.170499999999997</v>
      </c>
      <c r="E12" t="s">
        <v>275</v>
      </c>
    </row>
    <row r="13" spans="1:10" x14ac:dyDescent="0.3">
      <c r="A13" t="s">
        <v>266</v>
      </c>
      <c r="B13">
        <f>222881/1000000</f>
        <v>0.222881</v>
      </c>
      <c r="C13" t="s">
        <v>267</v>
      </c>
    </row>
    <row r="14" spans="1:10" x14ac:dyDescent="0.3">
      <c r="A14" t="s">
        <v>269</v>
      </c>
      <c r="B14">
        <f>B12/8760</f>
        <v>3.3773116438356164E-4</v>
      </c>
      <c r="C14" t="s">
        <v>149</v>
      </c>
    </row>
    <row r="15" spans="1:10" x14ac:dyDescent="0.3">
      <c r="A15" t="s">
        <v>270</v>
      </c>
      <c r="B15">
        <f>B13/B14</f>
        <v>659.93613709534316</v>
      </c>
      <c r="C15" t="s">
        <v>260</v>
      </c>
    </row>
    <row r="16" spans="1:10" x14ac:dyDescent="0.3">
      <c r="A16" t="s">
        <v>276</v>
      </c>
      <c r="B16">
        <f>B6/B15</f>
        <v>19.01699163685419</v>
      </c>
      <c r="C16" t="s">
        <v>149</v>
      </c>
    </row>
    <row r="17" spans="1:7" x14ac:dyDescent="0.3">
      <c r="A17" t="s">
        <v>97</v>
      </c>
      <c r="B17">
        <f>4.291722*1.3445</f>
        <v>5.7702202290000004</v>
      </c>
      <c r="C17" t="s">
        <v>52</v>
      </c>
    </row>
    <row r="18" spans="1:7" x14ac:dyDescent="0.3">
      <c r="A18" t="s">
        <v>134</v>
      </c>
      <c r="B18">
        <f>B17/B14</f>
        <v>17085.246602966006</v>
      </c>
      <c r="C18" t="s">
        <v>150</v>
      </c>
    </row>
    <row r="19" spans="1:7" x14ac:dyDescent="0.3">
      <c r="A19" t="s">
        <v>272</v>
      </c>
      <c r="B19">
        <f>(B17*1000000)/F11</f>
        <v>2.925555925165412</v>
      </c>
      <c r="C19" t="s">
        <v>123</v>
      </c>
      <c r="E19" t="s">
        <v>277</v>
      </c>
      <c r="F19" t="s">
        <v>278</v>
      </c>
    </row>
    <row r="20" spans="1:7" x14ac:dyDescent="0.3">
      <c r="A20" t="s">
        <v>166</v>
      </c>
      <c r="B20">
        <f>F11*F20/(1000000*B10)</f>
        <v>9.8617499999999997E-2</v>
      </c>
      <c r="C20" t="s">
        <v>280</v>
      </c>
      <c r="E20" t="s">
        <v>277</v>
      </c>
      <c r="F20">
        <v>1</v>
      </c>
      <c r="G20" t="s">
        <v>279</v>
      </c>
    </row>
    <row r="22" spans="1:7" x14ac:dyDescent="0.3">
      <c r="A22" s="12" t="s">
        <v>294</v>
      </c>
    </row>
    <row r="23" spans="1:7" x14ac:dyDescent="0.3">
      <c r="B23" s="12"/>
    </row>
  </sheetData>
  <hyperlinks>
    <hyperlink ref="A22" r:id="rId1" location="!divAbstract" display="https://pubs.rsc.org/en/content/articlelanding/2013/ee/c3ee40831k - !divAbstract" xr:uid="{92883294-6EE4-4414-BC11-4CB1313D14CB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:J18"/>
  <sheetViews>
    <sheetView workbookViewId="0">
      <selection activeCell="G8" sqref="G8"/>
    </sheetView>
  </sheetViews>
  <sheetFormatPr defaultRowHeight="14.4" x14ac:dyDescent="0.3"/>
  <cols>
    <col min="1" max="1" width="17.6640625" customWidth="1"/>
    <col min="2" max="2" width="10.44140625" customWidth="1"/>
  </cols>
  <sheetData>
    <row r="1" spans="1:10" x14ac:dyDescent="0.3">
      <c r="A1" t="s">
        <v>254</v>
      </c>
      <c r="B1">
        <v>377970</v>
      </c>
      <c r="C1" t="s">
        <v>255</v>
      </c>
    </row>
    <row r="2" spans="1:10" x14ac:dyDescent="0.3">
      <c r="A2" t="s">
        <v>256</v>
      </c>
      <c r="B2">
        <v>251000</v>
      </c>
      <c r="C2" t="s">
        <v>255</v>
      </c>
    </row>
    <row r="3" spans="1:10" x14ac:dyDescent="0.3">
      <c r="A3" t="s">
        <v>257</v>
      </c>
      <c r="B3">
        <v>7.5</v>
      </c>
      <c r="C3" t="s">
        <v>258</v>
      </c>
      <c r="I3">
        <v>4.0468600000000002E-3</v>
      </c>
      <c r="J3" t="s">
        <v>259</v>
      </c>
    </row>
    <row r="4" spans="1:10" x14ac:dyDescent="0.3">
      <c r="B4">
        <f>B3*I3*1000</f>
        <v>30.351450000000003</v>
      </c>
      <c r="C4" t="s">
        <v>260</v>
      </c>
      <c r="I4" s="16">
        <v>9.2902999999999995E-8</v>
      </c>
      <c r="J4" t="s">
        <v>284</v>
      </c>
    </row>
    <row r="5" spans="1:10" x14ac:dyDescent="0.3">
      <c r="A5" t="s">
        <v>261</v>
      </c>
      <c r="B5">
        <f>300*B4</f>
        <v>9105.4350000000013</v>
      </c>
      <c r="C5" t="s">
        <v>255</v>
      </c>
      <c r="D5">
        <f>B5*100/B2</f>
        <v>3.6276633466135464</v>
      </c>
      <c r="E5" t="s">
        <v>268</v>
      </c>
    </row>
    <row r="6" spans="1:10" x14ac:dyDescent="0.3">
      <c r="A6" t="s">
        <v>282</v>
      </c>
      <c r="B6">
        <f>1.5/20</f>
        <v>7.4999999999999997E-2</v>
      </c>
      <c r="C6" t="s">
        <v>295</v>
      </c>
      <c r="D6" s="16">
        <f>B6*I3*1000</f>
        <v>0.30351450000000002</v>
      </c>
      <c r="E6" t="s">
        <v>285</v>
      </c>
      <c r="G6" s="12" t="s">
        <v>296</v>
      </c>
    </row>
    <row r="7" spans="1:10" x14ac:dyDescent="0.3">
      <c r="B7">
        <v>0.04</v>
      </c>
      <c r="C7" t="s">
        <v>295</v>
      </c>
      <c r="D7" s="16">
        <f>B7*I3*1000</f>
        <v>0.1618744</v>
      </c>
      <c r="E7" t="s">
        <v>285</v>
      </c>
      <c r="G7" s="12" t="s">
        <v>297</v>
      </c>
    </row>
    <row r="8" spans="1:10" x14ac:dyDescent="0.3">
      <c r="B8">
        <f>76800/60</f>
        <v>1280</v>
      </c>
      <c r="C8" t="s">
        <v>283</v>
      </c>
      <c r="D8" s="16">
        <f>B8*I4*1000</f>
        <v>0.11891583999999998</v>
      </c>
      <c r="E8" t="s">
        <v>285</v>
      </c>
      <c r="G8" s="12" t="s">
        <v>290</v>
      </c>
    </row>
    <row r="9" spans="1:10" x14ac:dyDescent="0.3">
      <c r="A9" t="s">
        <v>281</v>
      </c>
      <c r="B9">
        <f>D9*B2/100</f>
        <v>7530</v>
      </c>
      <c r="D9">
        <v>3</v>
      </c>
      <c r="E9" t="s">
        <v>268</v>
      </c>
    </row>
    <row r="10" spans="1:10" x14ac:dyDescent="0.3">
      <c r="A10" t="s">
        <v>276</v>
      </c>
      <c r="B10" s="16">
        <f>B9/D6</f>
        <v>24809.358366733712</v>
      </c>
      <c r="C10" t="s">
        <v>149</v>
      </c>
    </row>
    <row r="12" spans="1:10" x14ac:dyDescent="0.3">
      <c r="A12" t="s">
        <v>4</v>
      </c>
      <c r="B12">
        <v>0.86</v>
      </c>
    </row>
    <row r="13" spans="1:10" x14ac:dyDescent="0.3">
      <c r="A13" t="s">
        <v>286</v>
      </c>
      <c r="B13">
        <v>0.8</v>
      </c>
    </row>
    <row r="14" spans="1:10" x14ac:dyDescent="0.3">
      <c r="A14" t="s">
        <v>287</v>
      </c>
      <c r="B14">
        <f>B13*B12</f>
        <v>0.68800000000000006</v>
      </c>
    </row>
    <row r="15" spans="1:10" x14ac:dyDescent="0.3">
      <c r="A15" t="s">
        <v>288</v>
      </c>
      <c r="B15">
        <f>3500/(10*365.25)</f>
        <v>0.95824777549623541</v>
      </c>
      <c r="C15" t="s">
        <v>289</v>
      </c>
      <c r="H15" s="12" t="s">
        <v>291</v>
      </c>
    </row>
    <row r="17" spans="1:4" x14ac:dyDescent="0.3">
      <c r="A17" t="s">
        <v>292</v>
      </c>
      <c r="B17">
        <v>4</v>
      </c>
      <c r="D17" s="12" t="s">
        <v>291</v>
      </c>
    </row>
    <row r="18" spans="1:4" x14ac:dyDescent="0.3">
      <c r="A18" t="s">
        <v>293</v>
      </c>
      <c r="B18">
        <f>4/24</f>
        <v>0.16666666666666666</v>
      </c>
    </row>
  </sheetData>
  <hyperlinks>
    <hyperlink ref="G8" r:id="rId1" xr:uid="{FBA62C15-C46F-466D-88EE-057833A0FBBF}"/>
    <hyperlink ref="H15" r:id="rId2" display="https://www.energy.gov/sites/prod/files/2019/07/f65/Storage Cost and Performance Characterization Report_Final.pdf" xr:uid="{CC1E61B7-8D26-483D-BD96-17B755561199}"/>
    <hyperlink ref="D17" r:id="rId3" display="https://www.energy.gov/sites/prod/files/2019/07/f65/Storage Cost and Performance Characterization Report_Final.pdf" xr:uid="{21A611EC-C9B2-4050-A1CA-6AF325D4BE20}"/>
    <hyperlink ref="G6" r:id="rId4" xr:uid="{B05A067C-8AEF-4EB3-866F-BAD051CBCD75}"/>
    <hyperlink ref="G7" r:id="rId5" display="https://class.ece.uw.edu/500/2014aut-e/11-13-14 Pres (PSE Storage).pdf" xr:uid="{3D30F8E6-C466-4480-9055-FE94A828A6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9AF6-CB84-4D91-9DA5-CC90BF5892B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tabSelected="1" workbookViewId="0">
      <selection activeCell="B31" sqref="B31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206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209</v>
      </c>
      <c r="D2" s="8"/>
      <c r="E2" s="8"/>
    </row>
    <row r="3" spans="1:16" x14ac:dyDescent="0.3">
      <c r="C3" t="s">
        <v>186</v>
      </c>
      <c r="J3" s="26" t="s">
        <v>214</v>
      </c>
      <c r="K3" s="26"/>
      <c r="L3" s="26"/>
      <c r="M3" s="26"/>
      <c r="N3" s="26"/>
      <c r="O3" s="26"/>
      <c r="P3" s="26"/>
    </row>
    <row r="4" spans="1:16" x14ac:dyDescent="0.3">
      <c r="A4" t="s">
        <v>224</v>
      </c>
      <c r="B4">
        <v>0.18</v>
      </c>
      <c r="C4">
        <f>0.55/(1+B4)</f>
        <v>0.46610169491525427</v>
      </c>
      <c r="J4" s="2" t="s">
        <v>4</v>
      </c>
      <c r="K4" s="2" t="s">
        <v>233</v>
      </c>
      <c r="L4" s="2" t="s">
        <v>231</v>
      </c>
      <c r="M4" s="2" t="s">
        <v>249</v>
      </c>
      <c r="N4" s="2" t="s">
        <v>234</v>
      </c>
      <c r="O4" s="2" t="s">
        <v>217</v>
      </c>
      <c r="P4" s="2" t="s">
        <v>218</v>
      </c>
    </row>
    <row r="5" spans="1:16" x14ac:dyDescent="0.3">
      <c r="B5" t="s">
        <v>69</v>
      </c>
      <c r="C5" t="s">
        <v>211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208</v>
      </c>
      <c r="B6">
        <v>0.18</v>
      </c>
      <c r="C6">
        <v>0.25</v>
      </c>
      <c r="E6" t="s">
        <v>225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229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230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239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227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228</v>
      </c>
      <c r="B13">
        <f>1/B36</f>
        <v>2500</v>
      </c>
      <c r="C13">
        <f>1/B35</f>
        <v>1061.5711252653928</v>
      </c>
      <c r="E13" t="s">
        <v>226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232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217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246</v>
      </c>
      <c r="C17" t="s">
        <v>247</v>
      </c>
      <c r="J17" s="26" t="s">
        <v>219</v>
      </c>
      <c r="K17" s="26"/>
      <c r="L17" s="26"/>
      <c r="M17" s="26"/>
      <c r="N17" s="26"/>
      <c r="O17" s="26"/>
      <c r="P17" s="26"/>
    </row>
    <row r="18" spans="1:16" x14ac:dyDescent="0.3">
      <c r="A18" s="2" t="s">
        <v>207</v>
      </c>
      <c r="B18">
        <v>75</v>
      </c>
      <c r="C18">
        <v>41</v>
      </c>
      <c r="D18" t="s">
        <v>15</v>
      </c>
      <c r="E18" t="s">
        <v>215</v>
      </c>
      <c r="J18" s="2" t="s">
        <v>4</v>
      </c>
      <c r="K18" s="2" t="s">
        <v>216</v>
      </c>
      <c r="L18" s="2" t="s">
        <v>231</v>
      </c>
      <c r="M18" s="2" t="s">
        <v>234</v>
      </c>
      <c r="N18" s="2" t="s">
        <v>217</v>
      </c>
      <c r="O18" s="2" t="s">
        <v>249</v>
      </c>
      <c r="P18" s="2" t="s">
        <v>218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3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248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>$C$15/M24</f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ref="N25:N29" si="12">$C$15/M25</f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12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12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210</v>
      </c>
      <c r="B28" s="2" t="s">
        <v>134</v>
      </c>
      <c r="C28" s="2" t="s">
        <v>166</v>
      </c>
      <c r="D28" s="2" t="s">
        <v>212</v>
      </c>
      <c r="E28" s="2" t="s">
        <v>236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12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211</v>
      </c>
      <c r="B29" s="20">
        <v>4091</v>
      </c>
      <c r="C29" s="20">
        <v>69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12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69</v>
      </c>
      <c r="B30" s="20">
        <v>1422</v>
      </c>
      <c r="C30" s="20">
        <v>14</v>
      </c>
      <c r="D30" s="20">
        <f>11*1000/1000000</f>
        <v>1.0999999999999999E-2</v>
      </c>
    </row>
    <row r="31" spans="1:16" x14ac:dyDescent="0.3">
      <c r="A31" s="2" t="s">
        <v>235</v>
      </c>
      <c r="B31" s="20">
        <v>764</v>
      </c>
      <c r="C31" s="20">
        <v>4</v>
      </c>
      <c r="D31" s="20">
        <v>2.6473008613171967E-2</v>
      </c>
      <c r="E31">
        <v>0.7</v>
      </c>
      <c r="J31" s="26" t="s">
        <v>220</v>
      </c>
      <c r="K31" s="26"/>
      <c r="L31" s="26"/>
      <c r="M31" s="26"/>
      <c r="N31" s="26"/>
      <c r="O31" s="26"/>
      <c r="P31" s="26"/>
    </row>
    <row r="32" spans="1:16" x14ac:dyDescent="0.3">
      <c r="A32" s="2" t="s">
        <v>238</v>
      </c>
      <c r="B32" s="2">
        <f>2*B31</f>
        <v>1528</v>
      </c>
      <c r="C32" s="21">
        <v>4</v>
      </c>
      <c r="J32" s="2" t="s">
        <v>4</v>
      </c>
      <c r="K32" s="2" t="s">
        <v>216</v>
      </c>
      <c r="L32" s="2" t="s">
        <v>231</v>
      </c>
      <c r="M32" s="2"/>
      <c r="N32" s="2" t="s">
        <v>237</v>
      </c>
      <c r="O32" s="2" t="s">
        <v>249</v>
      </c>
      <c r="P32" s="2" t="s">
        <v>218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213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211</v>
      </c>
      <c r="B35" s="21">
        <f>942/1000000</f>
        <v>9.4200000000000002E-4</v>
      </c>
      <c r="C35" t="s">
        <v>70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69</v>
      </c>
      <c r="B36" s="21">
        <f>400/1000000</f>
        <v>4.0000000000000002E-4</v>
      </c>
      <c r="C36" t="s">
        <v>70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125</v>
      </c>
      <c r="B37" s="21">
        <f>313/1000000</f>
        <v>3.1300000000000002E-4</v>
      </c>
      <c r="C37" t="s">
        <v>70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7.3561008613171969E-2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2" t="s">
        <v>200</v>
      </c>
      <c r="B1" s="2" t="s">
        <v>205</v>
      </c>
      <c r="C1" s="2" t="s">
        <v>202</v>
      </c>
      <c r="D1" s="2" t="s">
        <v>203</v>
      </c>
      <c r="E1" s="2" t="s">
        <v>204</v>
      </c>
    </row>
    <row r="2" spans="1:5" x14ac:dyDescent="0.3">
      <c r="A2" t="s">
        <v>201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E40" sqref="E40:E41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74</v>
      </c>
      <c r="I2" t="s">
        <v>29</v>
      </c>
      <c r="K2">
        <f>1/110</f>
        <v>9.0909090909090905E-3</v>
      </c>
      <c r="L2" t="s">
        <v>94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76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75</v>
      </c>
      <c r="K4">
        <f>G3*I4</f>
        <v>1395.7449839999999</v>
      </c>
      <c r="L4" t="s">
        <v>77</v>
      </c>
      <c r="M4">
        <f>G4*G3</f>
        <v>33.335999999999999</v>
      </c>
      <c r="N4" t="s">
        <v>3</v>
      </c>
    </row>
    <row r="5" spans="1:16" x14ac:dyDescent="0.3">
      <c r="E5" t="s">
        <v>86</v>
      </c>
      <c r="G5">
        <v>9.31</v>
      </c>
      <c r="H5" t="s">
        <v>87</v>
      </c>
      <c r="I5">
        <f>G5/M4</f>
        <v>0.27927765778737701</v>
      </c>
      <c r="J5" t="s">
        <v>88</v>
      </c>
    </row>
    <row r="7" spans="1:16" x14ac:dyDescent="0.3">
      <c r="A7" s="2" t="s">
        <v>36</v>
      </c>
      <c r="B7" t="s">
        <v>113</v>
      </c>
      <c r="C7" s="12" t="s">
        <v>112</v>
      </c>
      <c r="K7" s="1" t="s">
        <v>89</v>
      </c>
      <c r="L7" s="11"/>
      <c r="O7" s="1"/>
    </row>
    <row r="8" spans="1:16" x14ac:dyDescent="0.3">
      <c r="K8" t="s">
        <v>90</v>
      </c>
      <c r="L8" s="11">
        <v>1538396</v>
      </c>
      <c r="M8" t="s">
        <v>78</v>
      </c>
      <c r="N8" s="11">
        <f>G2*L8</f>
        <v>64411102.123999998</v>
      </c>
      <c r="O8" t="s">
        <v>79</v>
      </c>
    </row>
    <row r="9" spans="1:16" x14ac:dyDescent="0.3">
      <c r="A9" s="2" t="s">
        <v>85</v>
      </c>
      <c r="B9">
        <f>186*1000000</f>
        <v>186000000</v>
      </c>
      <c r="C9" t="s">
        <v>98</v>
      </c>
      <c r="K9" t="s">
        <v>80</v>
      </c>
      <c r="L9" s="11">
        <v>1141251</v>
      </c>
      <c r="M9" t="s">
        <v>84</v>
      </c>
      <c r="P9" s="10"/>
    </row>
    <row r="10" spans="1:16" x14ac:dyDescent="0.3">
      <c r="B10">
        <f>B9*K2</f>
        <v>1690909.0909090908</v>
      </c>
      <c r="C10" t="s">
        <v>95</v>
      </c>
      <c r="D10">
        <f>B10/L11</f>
        <v>0.41378551295067767</v>
      </c>
      <c r="E10" t="s">
        <v>101</v>
      </c>
      <c r="F10">
        <f>B10/N11</f>
        <v>3624.7610934479362</v>
      </c>
      <c r="G10" t="s">
        <v>102</v>
      </c>
      <c r="J10" s="27" t="s">
        <v>91</v>
      </c>
      <c r="K10" s="27"/>
      <c r="L10" s="11">
        <f>L9/G5</f>
        <v>122583.35123523093</v>
      </c>
      <c r="M10" t="s">
        <v>83</v>
      </c>
    </row>
    <row r="11" spans="1:16" x14ac:dyDescent="0.3">
      <c r="J11" s="27" t="s">
        <v>92</v>
      </c>
      <c r="K11" s="27"/>
      <c r="L11" s="11">
        <f>M4*L10</f>
        <v>4086438.5967776584</v>
      </c>
      <c r="M11" t="s">
        <v>84</v>
      </c>
      <c r="N11" s="11">
        <f>L11/8760</f>
        <v>466.48842428968703</v>
      </c>
      <c r="O11" t="s">
        <v>99</v>
      </c>
    </row>
    <row r="12" spans="1:16" x14ac:dyDescent="0.3">
      <c r="A12" s="2" t="s">
        <v>107</v>
      </c>
      <c r="H12" t="s">
        <v>126</v>
      </c>
      <c r="K12" t="s">
        <v>118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83</v>
      </c>
      <c r="D13" s="11">
        <f>114*B13</f>
        <v>50375460</v>
      </c>
      <c r="E13" t="s">
        <v>93</v>
      </c>
      <c r="F13" s="11">
        <f>D13*$K$2</f>
        <v>457958.72727272724</v>
      </c>
      <c r="G13" t="s">
        <v>95</v>
      </c>
      <c r="H13" s="11">
        <f>B13*53*G3</f>
        <v>6506123.2259999998</v>
      </c>
      <c r="L13" s="11"/>
    </row>
    <row r="14" spans="1:16" x14ac:dyDescent="0.3">
      <c r="A14" t="s">
        <v>81</v>
      </c>
      <c r="B14">
        <v>3428000</v>
      </c>
      <c r="C14" t="s">
        <v>83</v>
      </c>
      <c r="D14" s="11">
        <f>300*B14</f>
        <v>1028400000</v>
      </c>
      <c r="E14" t="s">
        <v>93</v>
      </c>
      <c r="F14" s="11">
        <f t="shared" ref="F14:F15" si="0">D14*$K$2</f>
        <v>9349090.9090909082</v>
      </c>
      <c r="G14" t="s">
        <v>95</v>
      </c>
    </row>
    <row r="15" spans="1:16" x14ac:dyDescent="0.3">
      <c r="A15" t="s">
        <v>82</v>
      </c>
      <c r="B15">
        <v>1714000</v>
      </c>
      <c r="C15" t="s">
        <v>83</v>
      </c>
      <c r="D15" s="11">
        <f>B15*200</f>
        <v>342800000</v>
      </c>
      <c r="E15" t="s">
        <v>93</v>
      </c>
      <c r="F15" s="11">
        <f t="shared" si="0"/>
        <v>3116363.6363636362</v>
      </c>
      <c r="G15" t="s">
        <v>95</v>
      </c>
    </row>
    <row r="16" spans="1:16" x14ac:dyDescent="0.3">
      <c r="A16" t="s">
        <v>31</v>
      </c>
      <c r="B16" s="1"/>
      <c r="D16" s="11">
        <f>SUM(D13:D15)</f>
        <v>1421575460</v>
      </c>
      <c r="F16" s="11">
        <f>SUM(F13:F15)</f>
        <v>12923413.272727272</v>
      </c>
      <c r="G16" t="s">
        <v>95</v>
      </c>
    </row>
    <row r="17" spans="1:10" x14ac:dyDescent="0.3">
      <c r="A17" t="s">
        <v>97</v>
      </c>
      <c r="B17">
        <f>F16/L11</f>
        <v>3.1625125317967502</v>
      </c>
      <c r="C17" t="s">
        <v>96</v>
      </c>
      <c r="D17" s="3"/>
    </row>
    <row r="19" spans="1:10" x14ac:dyDescent="0.3">
      <c r="A19" s="2" t="s">
        <v>108</v>
      </c>
    </row>
    <row r="20" spans="1:10" x14ac:dyDescent="0.3">
      <c r="A20" t="s">
        <v>109</v>
      </c>
      <c r="B20">
        <f>7000000*1.5</f>
        <v>10500000</v>
      </c>
      <c r="C20" t="s">
        <v>110</v>
      </c>
    </row>
    <row r="21" spans="1:10" x14ac:dyDescent="0.3">
      <c r="A21" t="s">
        <v>111</v>
      </c>
      <c r="B21">
        <f>0.03*B9/20</f>
        <v>279000</v>
      </c>
      <c r="C21" t="s">
        <v>110</v>
      </c>
      <c r="D21" s="3"/>
    </row>
    <row r="22" spans="1:10" x14ac:dyDescent="0.3">
      <c r="A22" t="s">
        <v>114</v>
      </c>
      <c r="B22">
        <f>0.0077*0.55*B9/20</f>
        <v>39385.5</v>
      </c>
      <c r="C22" t="s">
        <v>110</v>
      </c>
    </row>
    <row r="23" spans="1:10" x14ac:dyDescent="0.3">
      <c r="A23" t="s">
        <v>115</v>
      </c>
      <c r="B23">
        <f>0.014*0.55*B9/20</f>
        <v>71610.000000000015</v>
      </c>
      <c r="C23" t="s">
        <v>110</v>
      </c>
      <c r="G23" t="s">
        <v>120</v>
      </c>
      <c r="I23" t="s">
        <v>119</v>
      </c>
    </row>
    <row r="24" spans="1:10" x14ac:dyDescent="0.3">
      <c r="A24" t="s">
        <v>17</v>
      </c>
      <c r="B24">
        <f>SUM(B20:B23)</f>
        <v>10889995.5</v>
      </c>
      <c r="C24" t="s">
        <v>110</v>
      </c>
      <c r="D24">
        <f>B24*K2</f>
        <v>98999.959090909091</v>
      </c>
      <c r="E24" t="s">
        <v>116</v>
      </c>
      <c r="G24">
        <v>1690909.0909090908</v>
      </c>
      <c r="I24">
        <f>4086438.59677766*20</f>
        <v>81728771.935553193</v>
      </c>
      <c r="J24" t="s">
        <v>84</v>
      </c>
    </row>
    <row r="25" spans="1:10" x14ac:dyDescent="0.3">
      <c r="A25" t="s">
        <v>117</v>
      </c>
      <c r="D25">
        <f>D24/N11</f>
        <v>212.22382793668336</v>
      </c>
      <c r="E25" t="s">
        <v>102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100</v>
      </c>
    </row>
    <row r="29" spans="1:10" x14ac:dyDescent="0.3">
      <c r="A29" t="s">
        <v>103</v>
      </c>
      <c r="B29">
        <v>133</v>
      </c>
      <c r="C29" t="s">
        <v>106</v>
      </c>
      <c r="D29" s="8">
        <f>B29/1000000</f>
        <v>1.3300000000000001E-4</v>
      </c>
      <c r="E29" t="s">
        <v>70</v>
      </c>
    </row>
    <row r="30" spans="1:10" x14ac:dyDescent="0.3">
      <c r="A30" t="s">
        <v>104</v>
      </c>
      <c r="B30" s="12" t="s">
        <v>105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86</v>
      </c>
      <c r="C1">
        <v>9.31</v>
      </c>
      <c r="D1" t="s">
        <v>3</v>
      </c>
      <c r="E1" t="s">
        <v>121</v>
      </c>
    </row>
    <row r="2" spans="1:5" x14ac:dyDescent="0.3">
      <c r="A2" t="s">
        <v>122</v>
      </c>
      <c r="C2">
        <v>1.5</v>
      </c>
      <c r="D2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A41" sqref="A41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27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30</v>
      </c>
      <c r="G2" t="s">
        <v>28</v>
      </c>
      <c r="I2" s="5">
        <f>70.8/(1.8*1000000000)</f>
        <v>3.9333333333333335E-8</v>
      </c>
      <c r="J2" t="s">
        <v>37</v>
      </c>
      <c r="L2" t="s">
        <v>29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31</v>
      </c>
      <c r="H3" s="7"/>
      <c r="I3" s="2" t="s">
        <v>56</v>
      </c>
      <c r="Q3" s="2" t="s">
        <v>34</v>
      </c>
    </row>
    <row r="4" spans="1:17" ht="15" customHeight="1" x14ac:dyDescent="0.3">
      <c r="A4" s="2" t="s">
        <v>5</v>
      </c>
      <c r="B4" s="2" t="s">
        <v>33</v>
      </c>
      <c r="C4" s="2" t="s">
        <v>43</v>
      </c>
      <c r="D4" s="2" t="s">
        <v>42</v>
      </c>
      <c r="E4" s="2" t="s">
        <v>66</v>
      </c>
      <c r="F4" s="2" t="s">
        <v>65</v>
      </c>
      <c r="G4" s="2" t="s">
        <v>32</v>
      </c>
      <c r="H4" s="2" t="s">
        <v>9</v>
      </c>
      <c r="I4" s="2" t="s">
        <v>21</v>
      </c>
      <c r="J4" s="2"/>
      <c r="K4" s="2"/>
      <c r="L4" s="2" t="s">
        <v>22</v>
      </c>
      <c r="M4" s="2" t="s">
        <v>44</v>
      </c>
      <c r="N4" s="2" t="s">
        <v>4</v>
      </c>
      <c r="O4" s="2" t="s">
        <v>54</v>
      </c>
      <c r="P4" s="2" t="s">
        <v>53</v>
      </c>
      <c r="Q4" s="2" t="s">
        <v>35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45</v>
      </c>
      <c r="O5" t="s">
        <v>55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41</v>
      </c>
      <c r="L6" s="6">
        <f>0.33*L5</f>
        <v>1.8373097447589444</v>
      </c>
      <c r="N6" t="s">
        <v>46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67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57</v>
      </c>
      <c r="K7" t="s">
        <v>47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68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38</v>
      </c>
      <c r="F11" t="s">
        <v>39</v>
      </c>
      <c r="G11">
        <f>60*N2/(1000000*I2*M5)</f>
        <v>0.44712301033802088</v>
      </c>
    </row>
    <row r="12" spans="1:17" x14ac:dyDescent="0.3">
      <c r="G12" t="s">
        <v>35</v>
      </c>
    </row>
    <row r="14" spans="1:17" x14ac:dyDescent="0.3">
      <c r="A14" t="s">
        <v>40</v>
      </c>
      <c r="B14">
        <v>55.5</v>
      </c>
      <c r="C14" t="s">
        <v>2</v>
      </c>
      <c r="D14" s="2" t="s">
        <v>48</v>
      </c>
      <c r="E14" t="s">
        <v>35</v>
      </c>
      <c r="F14" t="s">
        <v>52</v>
      </c>
      <c r="G14" t="s">
        <v>51</v>
      </c>
    </row>
    <row r="15" spans="1:17" x14ac:dyDescent="0.3">
      <c r="B15">
        <f>55.5*0.277777778</f>
        <v>15.416666678999999</v>
      </c>
      <c r="C15" t="s">
        <v>3</v>
      </c>
      <c r="D15" t="s">
        <v>49</v>
      </c>
      <c r="E15">
        <f>G5/D5</f>
        <v>0.19942997527043146</v>
      </c>
      <c r="F15">
        <v>0.44834159400000001</v>
      </c>
    </row>
    <row r="16" spans="1:17" x14ac:dyDescent="0.3">
      <c r="D16" t="s">
        <v>50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workbookViewId="0">
      <selection activeCell="E24" sqref="E24:F24"/>
    </sheetView>
  </sheetViews>
  <sheetFormatPr defaultRowHeight="14.4" x14ac:dyDescent="0.3"/>
  <cols>
    <col min="4" max="4" width="9.6640625" customWidth="1"/>
  </cols>
  <sheetData>
    <row r="1" spans="1:9" x14ac:dyDescent="0.3">
      <c r="A1" t="s">
        <v>58</v>
      </c>
      <c r="C1">
        <v>2050</v>
      </c>
      <c r="D1" t="s">
        <v>59</v>
      </c>
    </row>
    <row r="2" spans="1:9" x14ac:dyDescent="0.3">
      <c r="C2" t="s">
        <v>60</v>
      </c>
      <c r="E2" t="s">
        <v>61</v>
      </c>
      <c r="F2">
        <f>9/(39.4*0.3)</f>
        <v>0.76142131979695438</v>
      </c>
      <c r="G2" t="s">
        <v>35</v>
      </c>
    </row>
    <row r="3" spans="1:9" x14ac:dyDescent="0.3">
      <c r="D3">
        <v>2050</v>
      </c>
      <c r="E3" t="s">
        <v>62</v>
      </c>
      <c r="F3">
        <f>1.5/(39.444*0.3)</f>
        <v>0.12676199168441335</v>
      </c>
      <c r="G3" t="s">
        <v>35</v>
      </c>
      <c r="I3" t="s">
        <v>71</v>
      </c>
    </row>
    <row r="5" spans="1:9" x14ac:dyDescent="0.3">
      <c r="A5" t="s">
        <v>63</v>
      </c>
      <c r="C5" t="s">
        <v>64</v>
      </c>
      <c r="E5" t="s">
        <v>72</v>
      </c>
    </row>
    <row r="6" spans="1:9" x14ac:dyDescent="0.3">
      <c r="E6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P40" sqref="P40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124</v>
      </c>
      <c r="I1" s="9">
        <v>0.27779999999999999</v>
      </c>
      <c r="J1" s="2" t="s">
        <v>76</v>
      </c>
    </row>
    <row r="2" spans="1:10" x14ac:dyDescent="0.3">
      <c r="A2" t="s">
        <v>125</v>
      </c>
    </row>
    <row r="3" spans="1:10" x14ac:dyDescent="0.3">
      <c r="A3" t="s">
        <v>4</v>
      </c>
      <c r="B3">
        <v>0.7</v>
      </c>
      <c r="C3" t="s">
        <v>40</v>
      </c>
    </row>
    <row r="4" spans="1:10" x14ac:dyDescent="0.3">
      <c r="A4" t="s">
        <v>127</v>
      </c>
      <c r="B4">
        <v>87</v>
      </c>
      <c r="C4" t="s">
        <v>128</v>
      </c>
      <c r="D4" s="3">
        <f>B4/I1</f>
        <v>313.17494600431968</v>
      </c>
      <c r="E4" t="s">
        <v>129</v>
      </c>
    </row>
    <row r="8" spans="1:10" x14ac:dyDescent="0.3">
      <c r="A8" t="s">
        <v>130</v>
      </c>
    </row>
    <row r="9" spans="1:10" x14ac:dyDescent="0.3">
      <c r="A9" t="s">
        <v>4</v>
      </c>
      <c r="B9">
        <v>0.6</v>
      </c>
    </row>
    <row r="18" spans="1:5" x14ac:dyDescent="0.3">
      <c r="A18" t="s">
        <v>103</v>
      </c>
      <c r="B18" s="3">
        <v>133</v>
      </c>
      <c r="C18" t="s">
        <v>106</v>
      </c>
      <c r="D18" s="8">
        <f>B18/1000000</f>
        <v>1.3300000000000001E-4</v>
      </c>
      <c r="E18" t="s">
        <v>70</v>
      </c>
    </row>
    <row r="19" spans="1:5" x14ac:dyDescent="0.3">
      <c r="A19" t="s">
        <v>104</v>
      </c>
      <c r="B19" s="12" t="s">
        <v>105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41"/>
  <sheetViews>
    <sheetView topLeftCell="A7" workbookViewId="0">
      <selection activeCell="M46" sqref="M46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0" x14ac:dyDescent="0.3">
      <c r="C1" s="5">
        <v>41.869</v>
      </c>
      <c r="D1" t="s">
        <v>74</v>
      </c>
      <c r="E1" t="s">
        <v>29</v>
      </c>
      <c r="G1">
        <f>1/110</f>
        <v>9.0909090909090905E-3</v>
      </c>
      <c r="H1" t="s">
        <v>94</v>
      </c>
      <c r="I1">
        <v>1.1000000000000001</v>
      </c>
      <c r="J1" t="s">
        <v>146</v>
      </c>
    </row>
    <row r="2" spans="1:10" x14ac:dyDescent="0.3">
      <c r="A2" s="2"/>
      <c r="B2" s="2"/>
      <c r="C2" s="9">
        <v>0.27779999999999999</v>
      </c>
      <c r="D2" s="2" t="s">
        <v>76</v>
      </c>
      <c r="E2" s="2"/>
      <c r="F2" s="2"/>
      <c r="G2" s="2"/>
      <c r="H2" s="2" t="s">
        <v>16</v>
      </c>
      <c r="I2" s="2">
        <v>3.9</v>
      </c>
      <c r="J2" s="2" t="s">
        <v>3</v>
      </c>
    </row>
    <row r="3" spans="1:10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75</v>
      </c>
      <c r="G3">
        <f>C2*E3</f>
        <v>1395.7449839999999</v>
      </c>
      <c r="H3" t="s">
        <v>77</v>
      </c>
      <c r="I3">
        <f>(C3*C2)-I2</f>
        <v>29.436</v>
      </c>
      <c r="J3" t="s">
        <v>3</v>
      </c>
    </row>
    <row r="4" spans="1:10" x14ac:dyDescent="0.3">
      <c r="A4" t="s">
        <v>86</v>
      </c>
      <c r="C4">
        <v>9.31</v>
      </c>
      <c r="D4" t="s">
        <v>87</v>
      </c>
      <c r="E4">
        <f>C4/I3</f>
        <v>0.31627938578611225</v>
      </c>
      <c r="F4" t="s">
        <v>88</v>
      </c>
    </row>
    <row r="6" spans="1:10" x14ac:dyDescent="0.3">
      <c r="A6" t="s">
        <v>250</v>
      </c>
      <c r="B6">
        <v>44.1</v>
      </c>
      <c r="C6" t="s">
        <v>143</v>
      </c>
    </row>
    <row r="7" spans="1:10" x14ac:dyDescent="0.3">
      <c r="A7" t="s">
        <v>120</v>
      </c>
      <c r="B7">
        <f>(133815+(B21*70004))*1000</f>
        <v>2233935000</v>
      </c>
      <c r="C7" t="s">
        <v>158</v>
      </c>
    </row>
    <row r="8" spans="1:10" x14ac:dyDescent="0.3">
      <c r="A8" t="s">
        <v>251</v>
      </c>
      <c r="B8">
        <f>B7/B6</f>
        <v>50656122.448979594</v>
      </c>
      <c r="C8" t="s">
        <v>156</v>
      </c>
    </row>
    <row r="9" spans="1:10" x14ac:dyDescent="0.3">
      <c r="A9" t="s">
        <v>252</v>
      </c>
      <c r="B9">
        <f>B8/(B21*1000)</f>
        <v>1688.5374149659865</v>
      </c>
      <c r="C9" t="s">
        <v>133</v>
      </c>
    </row>
    <row r="10" spans="1:10" x14ac:dyDescent="0.3">
      <c r="A10" t="s">
        <v>253</v>
      </c>
      <c r="B10">
        <f>B9/8760</f>
        <v>0.19275541266735005</v>
      </c>
      <c r="C10" t="s">
        <v>149</v>
      </c>
    </row>
    <row r="12" spans="1:10" x14ac:dyDescent="0.3">
      <c r="A12" t="s">
        <v>131</v>
      </c>
      <c r="B12">
        <v>2.5</v>
      </c>
      <c r="C12" t="s">
        <v>132</v>
      </c>
      <c r="D12">
        <f>B12*(365*24*60*60)</f>
        <v>78840000</v>
      </c>
      <c r="E12" t="s">
        <v>79</v>
      </c>
      <c r="F12">
        <v>1688.5374149659865</v>
      </c>
      <c r="G12" t="s">
        <v>133</v>
      </c>
      <c r="I12">
        <v>0.19275541266735</v>
      </c>
      <c r="J12" t="s">
        <v>149</v>
      </c>
    </row>
    <row r="13" spans="1:10" x14ac:dyDescent="0.3">
      <c r="A13" t="s">
        <v>221</v>
      </c>
      <c r="B13">
        <v>24</v>
      </c>
      <c r="C13" t="s">
        <v>132</v>
      </c>
      <c r="D13">
        <f>B13*B21*365*24*3600/1000000000</f>
        <v>22.705919999999999</v>
      </c>
    </row>
    <row r="15" spans="1:10" x14ac:dyDescent="0.3">
      <c r="A15" s="2" t="s">
        <v>134</v>
      </c>
      <c r="B15">
        <f>133815/1000</f>
        <v>133.815</v>
      </c>
      <c r="C15" t="s">
        <v>135</v>
      </c>
      <c r="D15">
        <f>B15/I12</f>
        <v>694.22175049855991</v>
      </c>
      <c r="E15" t="s">
        <v>136</v>
      </c>
      <c r="F15" s="15">
        <f>D15*I1</f>
        <v>763.64392554841595</v>
      </c>
      <c r="G15" t="s">
        <v>150</v>
      </c>
    </row>
    <row r="16" spans="1:10" x14ac:dyDescent="0.3">
      <c r="A16" s="25" t="s">
        <v>240</v>
      </c>
      <c r="B16" s="3">
        <f>450*I1</f>
        <v>495.00000000000006</v>
      </c>
      <c r="C16" s="3" t="s">
        <v>150</v>
      </c>
    </row>
    <row r="17" spans="1:11" x14ac:dyDescent="0.3">
      <c r="A17" s="2" t="s">
        <v>241</v>
      </c>
      <c r="B17">
        <f>B16/F15</f>
        <v>0.64820786683337073</v>
      </c>
    </row>
    <row r="18" spans="1:11" x14ac:dyDescent="0.3">
      <c r="A18" s="2" t="s">
        <v>242</v>
      </c>
      <c r="B18">
        <f>I12/B17</f>
        <v>0.29736666666666667</v>
      </c>
      <c r="D18">
        <f>B15/B18</f>
        <v>450</v>
      </c>
    </row>
    <row r="19" spans="1:11" x14ac:dyDescent="0.3">
      <c r="A19" s="24" t="s">
        <v>243</v>
      </c>
      <c r="B19" s="22">
        <f>F12/B17</f>
        <v>2604.9320000000007</v>
      </c>
      <c r="C19" s="22"/>
      <c r="D19" s="22"/>
      <c r="E19" s="23"/>
      <c r="F19" s="22"/>
      <c r="G19" s="22"/>
      <c r="H19" s="22"/>
      <c r="I19" s="22"/>
    </row>
    <row r="21" spans="1:11" x14ac:dyDescent="0.3">
      <c r="A21" s="2" t="s">
        <v>36</v>
      </c>
      <c r="B21">
        <v>30</v>
      </c>
      <c r="C21" t="s">
        <v>155</v>
      </c>
    </row>
    <row r="23" spans="1:11" x14ac:dyDescent="0.3">
      <c r="A23" s="2" t="s">
        <v>137</v>
      </c>
      <c r="D23" s="2" t="s">
        <v>142</v>
      </c>
      <c r="F23" s="2" t="s">
        <v>151</v>
      </c>
      <c r="I23" t="s">
        <v>152</v>
      </c>
      <c r="J23" t="s">
        <v>153</v>
      </c>
      <c r="K23" t="s">
        <v>160</v>
      </c>
    </row>
    <row r="24" spans="1:11" x14ac:dyDescent="0.3">
      <c r="A24" t="s">
        <v>138</v>
      </c>
      <c r="B24">
        <f>61753*1000</f>
        <v>61753000</v>
      </c>
      <c r="C24" t="s">
        <v>141</v>
      </c>
      <c r="D24">
        <v>20</v>
      </c>
      <c r="E24" t="s">
        <v>143</v>
      </c>
      <c r="F24">
        <f>B24/(D24*1000)</f>
        <v>3087.65</v>
      </c>
      <c r="G24" t="s">
        <v>22</v>
      </c>
      <c r="I24">
        <f>B19/F25</f>
        <v>73.447330827067688</v>
      </c>
      <c r="J24">
        <f>F12/(F25+F24)</f>
        <v>0.5406578092288109</v>
      </c>
      <c r="K24" s="15">
        <f>F25/F24</f>
        <v>1.1486621432696928E-2</v>
      </c>
    </row>
    <row r="25" spans="1:11" x14ac:dyDescent="0.3">
      <c r="A25" t="s">
        <v>139</v>
      </c>
      <c r="B25">
        <v>1064000</v>
      </c>
      <c r="C25" t="s">
        <v>141</v>
      </c>
      <c r="D25">
        <v>30</v>
      </c>
      <c r="E25" t="s">
        <v>143</v>
      </c>
      <c r="F25" s="2">
        <f>B25/(D25*1000)</f>
        <v>35.466666666666669</v>
      </c>
      <c r="G25" t="s">
        <v>22</v>
      </c>
    </row>
    <row r="26" spans="1:11" x14ac:dyDescent="0.3">
      <c r="F26" s="2"/>
    </row>
    <row r="27" spans="1:11" x14ac:dyDescent="0.3">
      <c r="A27" t="s">
        <v>140</v>
      </c>
      <c r="B27">
        <v>1089000</v>
      </c>
      <c r="C27" t="s">
        <v>141</v>
      </c>
      <c r="D27">
        <f>B27/1000000</f>
        <v>1.089</v>
      </c>
      <c r="E27" t="s">
        <v>147</v>
      </c>
    </row>
    <row r="29" spans="1:11" x14ac:dyDescent="0.3">
      <c r="A29" t="s">
        <v>144</v>
      </c>
      <c r="B29">
        <v>12</v>
      </c>
      <c r="C29" t="s">
        <v>132</v>
      </c>
    </row>
    <row r="30" spans="1:11" x14ac:dyDescent="0.3">
      <c r="B30">
        <f>B29*(365*24*60*60)</f>
        <v>378432000</v>
      </c>
      <c r="C30" t="s">
        <v>79</v>
      </c>
    </row>
    <row r="31" spans="1:11" x14ac:dyDescent="0.3">
      <c r="B31">
        <f>B30*0.3</f>
        <v>113529600</v>
      </c>
      <c r="C31" t="s">
        <v>110</v>
      </c>
      <c r="D31">
        <f>B31*G1/(1000000)</f>
        <v>1.0320872727272727</v>
      </c>
      <c r="E31" t="s">
        <v>145</v>
      </c>
      <c r="F31">
        <f>D31/I1</f>
        <v>0.93826115702479329</v>
      </c>
      <c r="G31" t="s">
        <v>147</v>
      </c>
    </row>
    <row r="33" spans="1:7" x14ac:dyDescent="0.3">
      <c r="A33" s="2" t="s">
        <v>178</v>
      </c>
      <c r="B33">
        <f>(B24/1000000)+F31</f>
        <v>62.69126115702479</v>
      </c>
      <c r="C33" t="s">
        <v>147</v>
      </c>
      <c r="D33">
        <f>B33*I1</f>
        <v>68.960387272727274</v>
      </c>
      <c r="E33" t="s">
        <v>145</v>
      </c>
      <c r="F33" s="15">
        <f>D33/F12</f>
        <v>4.084030751199931E-2</v>
      </c>
      <c r="G33" t="s">
        <v>35</v>
      </c>
    </row>
    <row r="34" spans="1:7" x14ac:dyDescent="0.3">
      <c r="A34" s="13" t="s">
        <v>162</v>
      </c>
    </row>
    <row r="36" spans="1:7" x14ac:dyDescent="0.3">
      <c r="A36" s="2" t="s">
        <v>148</v>
      </c>
      <c r="B36">
        <f>D27</f>
        <v>1.089</v>
      </c>
      <c r="C36" t="s">
        <v>147</v>
      </c>
      <c r="D36">
        <f>B36*I1</f>
        <v>1.1979</v>
      </c>
      <c r="E36" t="s">
        <v>145</v>
      </c>
      <c r="F36" s="15">
        <f>D36/I12</f>
        <v>6.214611477952583</v>
      </c>
      <c r="G36" t="s">
        <v>150</v>
      </c>
    </row>
    <row r="37" spans="1:7" x14ac:dyDescent="0.3">
      <c r="A37" s="14" t="s">
        <v>179</v>
      </c>
    </row>
    <row r="39" spans="1:7" x14ac:dyDescent="0.3">
      <c r="A39" s="2" t="s">
        <v>154</v>
      </c>
      <c r="B39">
        <f>F12*B21*1000</f>
        <v>50656122.448979594</v>
      </c>
      <c r="C39" t="s">
        <v>156</v>
      </c>
      <c r="D39">
        <f>D13/(B39/1000)</f>
        <v>4.4823644018290594E-4</v>
      </c>
    </row>
    <row r="40" spans="1:7" x14ac:dyDescent="0.3">
      <c r="A40" s="2" t="s">
        <v>157</v>
      </c>
      <c r="B40">
        <f>(B15*1000000)+(70005000*B21)</f>
        <v>2233965000</v>
      </c>
      <c r="C40" t="s">
        <v>158</v>
      </c>
    </row>
    <row r="41" spans="1:7" x14ac:dyDescent="0.3">
      <c r="A41" s="24" t="s">
        <v>159</v>
      </c>
      <c r="B41" s="22">
        <f>B40/B39</f>
        <v>44.100592228511573</v>
      </c>
      <c r="C41" s="22" t="s">
        <v>143</v>
      </c>
      <c r="D41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CCS_Costs_Early</vt:lpstr>
      <vt:lpstr>CCS_Costs_Mature</vt:lpstr>
      <vt:lpstr>CCS reservoir trends</vt:lpstr>
      <vt:lpstr>JHFC</vt:lpstr>
      <vt:lpstr>Acar and Dincer</vt:lpstr>
      <vt:lpstr>H2 Steam Reforming</vt:lpstr>
      <vt:lpstr>Photocatalytic H2</vt:lpstr>
      <vt:lpstr>Kato_H2</vt:lpstr>
      <vt:lpstr>Keipi_SMR</vt:lpstr>
      <vt:lpstr>GARBAGE_KEIPI_CCSSMR</vt:lpstr>
      <vt:lpstr>Keipi_electrolysis</vt:lpstr>
      <vt:lpstr>EIA_LCOE_WND_SOLAR</vt:lpstr>
      <vt:lpstr>PEMFC</vt:lpstr>
      <vt:lpstr>SOFC</vt:lpstr>
      <vt:lpstr>Photoconversion</vt:lpstr>
      <vt:lpstr>Li-ion</vt:lpstr>
      <vt:lpstr>SOEC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2020-06-07T00:47:55Z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