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3F19CD19-5D95-4B5A-894A-6F0C07CA95BC}" xr6:coauthVersionLast="44" xr6:coauthVersionMax="44" xr10:uidLastSave="{00000000-0000-0000-0000-000000000000}"/>
  <bookViews>
    <workbookView xWindow="28680" yWindow="-120" windowWidth="29040" windowHeight="15840" firstSheet="4" activeTab="10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H2 Steam Reforming" sheetId="3" r:id="rId5"/>
    <sheet name="Keipi_SMR" sheetId="5" r:id="rId6"/>
    <sheet name="Keipi_SMR+CCS" sheetId="9" r:id="rId7"/>
    <sheet name="Keipi_electrolysis" sheetId="8" r:id="rId8"/>
    <sheet name="Li-ion" sheetId="12" r:id="rId9"/>
    <sheet name="PEMEC" sheetId="20" r:id="rId10"/>
    <sheet name="AEC" sheetId="21" r:id="rId11"/>
    <sheet name="SOEC" sheetId="18" r:id="rId12"/>
    <sheet name="SOFC" sheetId="17" r:id="rId13"/>
    <sheet name="PEMFC" sheetId="19" r:id="rId14"/>
    <sheet name="EIA_LCOE_WND_SOLAR" sheetId="11" r:id="rId15"/>
    <sheet name="Photoconversion" sheetId="16" r:id="rId16"/>
    <sheet name="Fossil fuel price" sheetId="22" r:id="rId17"/>
    <sheet name="Cap limits" sheetId="2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1" l="1"/>
  <c r="E50" i="14" l="1"/>
  <c r="E49" i="14"/>
  <c r="D54" i="14" l="1"/>
  <c r="D53" i="14"/>
  <c r="C54" i="14"/>
  <c r="B54" i="14"/>
  <c r="B37" i="14"/>
  <c r="B53" i="14"/>
  <c r="B7" i="5"/>
  <c r="B10" i="5"/>
  <c r="B9" i="5"/>
  <c r="H8" i="5"/>
  <c r="H7" i="5"/>
  <c r="E23" i="26" l="1"/>
  <c r="D23" i="26"/>
  <c r="D14" i="26"/>
  <c r="E13" i="26" s="1"/>
  <c r="E22" i="26" l="1"/>
  <c r="E21" i="26" s="1"/>
  <c r="E20" i="26" s="1"/>
  <c r="E12" i="26"/>
  <c r="E11" i="26" s="1"/>
  <c r="E52" i="14"/>
  <c r="E51" i="14"/>
  <c r="D46" i="14"/>
  <c r="D45" i="14"/>
  <c r="D50" i="14"/>
  <c r="D52" i="14" s="1"/>
  <c r="B52" i="14" s="1"/>
  <c r="E5" i="26"/>
  <c r="E4" i="26"/>
  <c r="E3" i="26" s="1"/>
  <c r="D4" i="26"/>
  <c r="D3" i="26"/>
  <c r="G7" i="22"/>
  <c r="G6" i="22"/>
  <c r="C7" i="22"/>
  <c r="C6" i="22"/>
  <c r="F7" i="22"/>
  <c r="F6" i="22"/>
  <c r="B7" i="22"/>
  <c r="B6" i="22"/>
  <c r="B1" i="22"/>
  <c r="B35" i="5"/>
  <c r="D34" i="5"/>
  <c r="F22" i="5"/>
  <c r="D13" i="11"/>
  <c r="D48" i="14" l="1"/>
  <c r="D47" i="14"/>
  <c r="C53" i="14"/>
  <c r="D49" i="14"/>
  <c r="D51" i="14" s="1"/>
  <c r="B51" i="14" s="1"/>
  <c r="B36" i="14"/>
  <c r="B35" i="14"/>
  <c r="E54" i="14" l="1"/>
  <c r="C3" i="20"/>
  <c r="C2" i="20"/>
  <c r="C9" i="21"/>
  <c r="C6" i="21"/>
  <c r="I20" i="16"/>
  <c r="L20" i="16" s="1"/>
  <c r="F11" i="8"/>
  <c r="O12" i="9"/>
  <c r="O13" i="9" s="1"/>
  <c r="O14" i="9" s="1"/>
  <c r="O15" i="9" s="1"/>
  <c r="O16" i="9" s="1"/>
  <c r="O7" i="9"/>
  <c r="O9" i="9" s="1"/>
  <c r="B11" i="5"/>
  <c r="F26" i="5" s="1"/>
  <c r="B15" i="16"/>
  <c r="B13" i="16"/>
  <c r="D13" i="16"/>
  <c r="B21" i="16"/>
  <c r="D12" i="16"/>
  <c r="B22" i="16"/>
  <c r="J20" i="16"/>
  <c r="K20" i="16"/>
  <c r="F12" i="16"/>
  <c r="B9" i="17"/>
  <c r="B3" i="20"/>
  <c r="B6" i="20"/>
  <c r="B8" i="20" s="1"/>
  <c r="J15" i="8"/>
  <c r="L15" i="8"/>
  <c r="H11" i="8"/>
  <c r="D19" i="8"/>
  <c r="B30" i="8"/>
  <c r="D29" i="8"/>
  <c r="B29" i="8"/>
  <c r="B28" i="8"/>
  <c r="B27" i="8"/>
  <c r="D17" i="5"/>
  <c r="D18" i="5"/>
  <c r="B6" i="5"/>
  <c r="B4" i="5"/>
  <c r="D13" i="18"/>
  <c r="D11" i="18"/>
  <c r="D11" i="8"/>
  <c r="B26" i="8" s="1"/>
  <c r="H15" i="8"/>
  <c r="D15" i="8"/>
  <c r="D30" i="14"/>
  <c r="D29" i="14"/>
  <c r="F23" i="9" l="1"/>
  <c r="F20" i="9"/>
  <c r="B7" i="20"/>
  <c r="F17" i="5"/>
  <c r="I17" i="5" s="1"/>
  <c r="B20" i="16"/>
  <c r="F15" i="8"/>
  <c r="D26" i="11" l="1"/>
  <c r="B9" i="12" l="1"/>
  <c r="C24" i="12" l="1"/>
  <c r="B24" i="12"/>
  <c r="C23" i="12"/>
  <c r="B23" i="12"/>
  <c r="D9" i="17"/>
  <c r="D8" i="17"/>
  <c r="D7" i="17"/>
  <c r="D14" i="18"/>
  <c r="B5" i="20"/>
  <c r="B2" i="20" l="1"/>
  <c r="B9" i="21"/>
  <c r="B18" i="16" l="1"/>
  <c r="B16" i="16" l="1"/>
  <c r="B19" i="16"/>
  <c r="M11" i="18"/>
  <c r="M12" i="18"/>
  <c r="M13" i="18"/>
  <c r="M10" i="18"/>
  <c r="D4" i="18"/>
  <c r="D5" i="18"/>
  <c r="D3" i="18"/>
  <c r="B12" i="18"/>
  <c r="D12" i="18" s="1"/>
  <c r="D19" i="18"/>
  <c r="F19" i="18" s="1"/>
  <c r="D20" i="18"/>
  <c r="F20" i="18" s="1"/>
  <c r="D21" i="18"/>
  <c r="F21" i="18"/>
  <c r="D24" i="18"/>
  <c r="K26" i="18"/>
  <c r="B27" i="18"/>
  <c r="C27" i="18"/>
  <c r="C29" i="18" s="1"/>
  <c r="D27" i="18"/>
  <c r="D29" i="18" s="1"/>
  <c r="E27" i="18"/>
  <c r="E29" i="18" s="1"/>
  <c r="F27" i="18"/>
  <c r="F29" i="18" s="1"/>
  <c r="K27" i="18"/>
  <c r="B28" i="18"/>
  <c r="K28" i="18"/>
  <c r="B11" i="18"/>
  <c r="B8" i="17"/>
  <c r="K10" i="17"/>
  <c r="K9" i="17"/>
  <c r="E10" i="19"/>
  <c r="E11" i="19"/>
  <c r="E9" i="19"/>
  <c r="C11" i="19"/>
  <c r="C10" i="19"/>
  <c r="C15" i="19"/>
  <c r="C14" i="19"/>
  <c r="B29" i="18" l="1"/>
  <c r="F30" i="18" s="1"/>
  <c r="L29" i="18"/>
  <c r="D25" i="11" l="1"/>
  <c r="D15" i="11" s="1"/>
  <c r="H15" i="11" s="1"/>
  <c r="I15" i="11" s="1"/>
  <c r="D24" i="11"/>
  <c r="H13" i="11" s="1"/>
  <c r="H12" i="11"/>
  <c r="E5" i="11"/>
  <c r="D14" i="11" l="1"/>
  <c r="H14" i="11" s="1"/>
  <c r="I14" i="11" s="1"/>
  <c r="I13" i="11"/>
  <c r="E13" i="11" s="1"/>
  <c r="I12" i="11"/>
  <c r="E12" i="11" s="1"/>
  <c r="E15" i="11"/>
  <c r="D8" i="12"/>
  <c r="B8" i="12"/>
  <c r="D7" i="12"/>
  <c r="D6" i="12"/>
  <c r="B6" i="12"/>
  <c r="E14" i="11" l="1"/>
  <c r="B15" i="12"/>
  <c r="B18" i="12" l="1"/>
  <c r="B14" i="12"/>
  <c r="B10" i="12"/>
  <c r="B4" i="12"/>
  <c r="B5" i="12" s="1"/>
  <c r="D5" i="12" s="1"/>
  <c r="B6" i="16" l="1"/>
  <c r="D5" i="16"/>
  <c r="B14" i="16"/>
  <c r="B5" i="16"/>
  <c r="B4" i="16"/>
  <c r="B12" i="5" l="1"/>
  <c r="B13" i="5" l="1"/>
  <c r="F29" i="5"/>
  <c r="B17" i="16"/>
  <c r="B21" i="14"/>
  <c r="K33" i="14"/>
  <c r="O33" i="14" s="1"/>
  <c r="P33" i="14" s="1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C21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K44" i="14" l="1"/>
  <c r="O44" i="14" s="1"/>
  <c r="P44" i="14" s="1"/>
  <c r="B13" i="14"/>
  <c r="K8" i="14"/>
  <c r="M8" i="14" s="1"/>
  <c r="P8" i="14" s="1"/>
  <c r="K9" i="14"/>
  <c r="M9" i="14" s="1"/>
  <c r="P9" i="14" s="1"/>
  <c r="K10" i="14"/>
  <c r="M10" i="14" s="1"/>
  <c r="P10" i="14" s="1"/>
  <c r="K11" i="14"/>
  <c r="M11" i="14" s="1"/>
  <c r="P11" i="14" s="1"/>
  <c r="K13" i="14"/>
  <c r="M13" i="14" s="1"/>
  <c r="P13" i="14" s="1"/>
  <c r="K14" i="14"/>
  <c r="M14" i="14" s="1"/>
  <c r="P14" i="14" s="1"/>
  <c r="K15" i="14"/>
  <c r="M15" i="14" s="1"/>
  <c r="P15" i="14" s="1"/>
  <c r="C4" i="14"/>
  <c r="K12" i="14"/>
  <c r="M12" i="14" s="1"/>
  <c r="P12" i="14" s="1"/>
  <c r="K40" i="14"/>
  <c r="O40" i="14" s="1"/>
  <c r="P40" i="14" s="1"/>
  <c r="K29" i="14"/>
  <c r="O29" i="14" s="1"/>
  <c r="P29" i="14" s="1"/>
  <c r="K1" i="14"/>
  <c r="E9" i="13"/>
  <c r="E8" i="13"/>
  <c r="E7" i="13"/>
  <c r="E6" i="13"/>
  <c r="E5" i="13"/>
  <c r="E4" i="13"/>
  <c r="E3" i="13"/>
  <c r="E2" i="13"/>
  <c r="K39" i="14" l="1"/>
  <c r="O39" i="14" s="1"/>
  <c r="P39" i="14" s="1"/>
  <c r="K43" i="14"/>
  <c r="O43" i="14" s="1"/>
  <c r="P43" i="14" s="1"/>
  <c r="K23" i="14"/>
  <c r="O23" i="14" s="1"/>
  <c r="P23" i="14" s="1"/>
  <c r="K22" i="14"/>
  <c r="O22" i="14" s="1"/>
  <c r="P22" i="14" s="1"/>
  <c r="K38" i="14"/>
  <c r="O38" i="14" s="1"/>
  <c r="P38" i="14" s="1"/>
  <c r="K28" i="14"/>
  <c r="K21" i="14"/>
  <c r="O21" i="14" s="1"/>
  <c r="P21" i="14" s="1"/>
  <c r="K37" i="14"/>
  <c r="O37" i="14" s="1"/>
  <c r="P37" i="14" s="1"/>
  <c r="K42" i="14"/>
  <c r="O42" i="14" s="1"/>
  <c r="P42" i="14" s="1"/>
  <c r="K20" i="14"/>
  <c r="O20" i="14" s="1"/>
  <c r="P20" i="14" s="1"/>
  <c r="K36" i="14"/>
  <c r="O36" i="14" s="1"/>
  <c r="P36" i="14" s="1"/>
  <c r="K25" i="14"/>
  <c r="O25" i="14" s="1"/>
  <c r="P25" i="14" s="1"/>
  <c r="K24" i="14"/>
  <c r="O24" i="14" s="1"/>
  <c r="P24" i="14" s="1"/>
  <c r="K35" i="14"/>
  <c r="O35" i="14" s="1"/>
  <c r="P35" i="14" s="1"/>
  <c r="K41" i="14"/>
  <c r="O41" i="14" s="1"/>
  <c r="P41" i="14" s="1"/>
  <c r="K19" i="14"/>
  <c r="O19" i="14" s="1"/>
  <c r="P19" i="14" s="1"/>
  <c r="K34" i="14"/>
  <c r="K27" i="14"/>
  <c r="O27" i="14" s="1"/>
  <c r="P27" i="14" s="1"/>
  <c r="K26" i="14"/>
  <c r="O26" i="14" s="1"/>
  <c r="P26" i="14" s="1"/>
  <c r="B22" i="14"/>
  <c r="K7" i="14"/>
  <c r="M7" i="14" s="1"/>
  <c r="P7" i="14" s="1"/>
  <c r="B7" i="14"/>
  <c r="K6" i="14"/>
  <c r="M6" i="14" s="1"/>
  <c r="P6" i="14" s="1"/>
  <c r="C7" i="14"/>
  <c r="C8" i="14" s="1"/>
  <c r="C12" i="14" s="1"/>
  <c r="L22" i="14" s="1"/>
  <c r="K5" i="14"/>
  <c r="C13" i="14"/>
  <c r="M5" i="14" l="1"/>
  <c r="P5" i="14" s="1"/>
  <c r="L28" i="14"/>
  <c r="O28" i="14"/>
  <c r="P28" i="14" s="1"/>
  <c r="O34" i="14"/>
  <c r="P34" i="14" s="1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33" i="14" s="1"/>
  <c r="N33" i="14" s="1"/>
  <c r="L27" i="14"/>
  <c r="B7" i="11"/>
  <c r="B5" i="11"/>
  <c r="B6" i="11"/>
  <c r="E7" i="11"/>
  <c r="E6" i="11"/>
  <c r="C7" i="11"/>
  <c r="G7" i="11" s="1"/>
  <c r="C6" i="11"/>
  <c r="G6" i="11" s="1"/>
  <c r="C5" i="11"/>
  <c r="H5" i="11" s="1"/>
  <c r="J3" i="8"/>
  <c r="J2" i="8"/>
  <c r="L34" i="14" l="1"/>
  <c r="N34" i="14" s="1"/>
  <c r="L5" i="14"/>
  <c r="H6" i="11"/>
  <c r="G5" i="11"/>
  <c r="H7" i="11"/>
  <c r="M21" i="14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L6" i="14"/>
  <c r="N20" i="14"/>
  <c r="N23" i="14"/>
  <c r="N24" i="14"/>
  <c r="M22" i="14"/>
  <c r="N22" i="14" s="1"/>
  <c r="N6" i="14" l="1"/>
  <c r="N7" i="14"/>
  <c r="N9" i="14"/>
  <c r="N5" i="14"/>
  <c r="N11" i="14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14" i="9"/>
  <c r="B10" i="9"/>
  <c r="H11" i="9" l="1"/>
  <c r="H10" i="9"/>
  <c r="B17" i="9"/>
  <c r="B18" i="9" s="1"/>
  <c r="D13" i="9"/>
  <c r="B23" i="9" s="1"/>
  <c r="D23" i="9" s="1"/>
  <c r="J10" i="9"/>
  <c r="J11" i="9"/>
  <c r="I3" i="9"/>
  <c r="E4" i="9" s="1"/>
  <c r="E3" i="9"/>
  <c r="G3" i="9" s="1"/>
  <c r="G1" i="9"/>
  <c r="D18" i="9" l="1"/>
  <c r="F18" i="9" s="1"/>
  <c r="G4" i="8"/>
  <c r="E4" i="8"/>
  <c r="D23" i="5"/>
  <c r="B29" i="5" s="1"/>
  <c r="B2" i="8"/>
  <c r="D24" i="5"/>
  <c r="F24" i="5" s="1"/>
  <c r="H24" i="5" s="1"/>
  <c r="J24" i="5" s="1"/>
  <c r="B22" i="5"/>
  <c r="E3" i="5"/>
  <c r="G3" i="5" s="1"/>
  <c r="G1" i="5"/>
  <c r="H13" i="1"/>
  <c r="B20" i="9" l="1"/>
  <c r="D20" i="9" s="1"/>
  <c r="D8" i="8"/>
  <c r="F8" i="8" s="1"/>
  <c r="B26" i="5"/>
  <c r="D29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D26" i="5" l="1"/>
  <c r="O6" i="3" l="1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<sst xmlns="http://schemas.openxmlformats.org/spreadsheetml/2006/main" count="805" uniqueCount="408">
  <si>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</si>
  <si>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</si>
  <si>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</si>
  <si>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</si>
  <si>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</si>
  <si>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</si>
  <si>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</si>
  <si>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</si>
  <si>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</si>
  <si>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</si>
  <si>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</si>
  <si>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</si>
  <si>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</si>
  <si>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</si>
  <si>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</si>
  <si>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</si>
  <si>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</si>
  <si>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</si>
  <si>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</si>
  <si>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</si>
  <si>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</si>
  <si>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</si>
  <si>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</si>
  <si>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</si>
  <si>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</si>
  <si>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</si>
  <si>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</si>
  <si>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</si>
  <si>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</si>
  <si>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</si>
  <si>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</si>
  <si>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</si>
  <si>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</si>
  <si>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</si>
  <si>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</si>
  <si>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</si>
  <si>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</si>
  <si>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</si>
  <si>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</si>
  <si>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</si>
  <si>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</si>
  <si>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</si>
  <si>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</si>
  <si>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</si>
  <si>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</si>
  <si>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</si>
  <si>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</si>
  <si>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</si>
  <si>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</si>
  <si>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</si>
  <si>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</si>
  <si>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</si>
  <si>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</si>
  <si>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</si>
  <si>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</si>
  <si>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</si>
  <si>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</si>
  <si>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</si>
  <si>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</si>
  <si>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</si>
  <si>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</si>
  <si>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</si>
  <si>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</si>
  <si>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</si>
  <si>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</si>
  <si>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</si>
  <si>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</si>
  <si>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</si>
  <si>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</si>
  <si>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</si>
  <si>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</si>
  <si>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</si>
  <si>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</si>
  <si>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</si>
  <si>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</si>
  <si>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</si>
  <si>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</si>
  <si>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</si>
  <si>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</si>
  <si>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</si>
  <si>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</si>
  <si>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</si>
  <si>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</si>
  <si>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</si>
  <si>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</si>
  <si>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</si>
  <si>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</si>
  <si>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</si>
  <si>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</si>
  <si>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</si>
  <si>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</si>
  <si>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</si>
  <si>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</si>
  <si>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</si>
  <si>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</si>
  <si>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</si>
  <si>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</si>
  <si>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</si>
  <si>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</si>
  <si>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</si>
  <si>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</si>
  <si>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</si>
  <si>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</si>
  <si>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</si>
  <si>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</si>
  <si>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</si>
  <si>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</si>
  <si>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</si>
  <si>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</si>
  <si>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</si>
  <si>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$/kg</t>
  </si>
  <si>
    <t>Steam Reforming</t>
  </si>
  <si>
    <t>Note</t>
  </si>
  <si>
    <t>g/MJ</t>
  </si>
  <si>
    <t>g/kWh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</si>
  <si>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</si>
  <si>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</si>
  <si>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</si>
  <si>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</si>
  <si>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</si>
  <si>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</si>
  <si>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</si>
  <si>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</si>
  <si>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</si>
  <si>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</si>
  <si>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</si>
  <si>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</si>
  <si>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</si>
  <si>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</si>
  <si>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</si>
  <si>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</si>
  <si>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</si>
  <si>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</si>
  <si>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</si>
  <si>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</si>
  <si>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</si>
  <si>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Total Output</t>
  </si>
  <si>
    <t>y</t>
  </si>
  <si>
    <t>MWh</t>
  </si>
  <si>
    <t>Total Price</t>
  </si>
  <si>
    <t>EUR</t>
  </si>
  <si>
    <t>Unit Price</t>
  </si>
  <si>
    <t>Hydrogen</t>
  </si>
  <si>
    <t>water+fuel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</si>
  <si>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</si>
  <si>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</si>
  <si>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</si>
  <si>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</si>
  <si>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</si>
  <si>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</si>
  <si>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</si>
  <si>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Total /yr</t>
  </si>
  <si>
    <t>CCS Efficiency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</si>
  <si>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</si>
  <si>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</si>
  <si>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</si>
  <si>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</si>
  <si>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</si>
  <si>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</si>
  <si>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</si>
  <si>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</si>
  <si>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</si>
  <si>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</si>
  <si>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</si>
  <si>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</si>
  <si>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</si>
  <si>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</si>
  <si>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</si>
  <si>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</si>
  <si>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</si>
  <si>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</si>
  <si>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</si>
  <si>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</si>
  <si>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</si>
  <si>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</si>
  <si>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</si>
  <si>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</si>
  <si>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</si>
  <si>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</si>
  <si>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</si>
  <si>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</si>
  <si>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</si>
  <si>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</si>
  <si>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</si>
  <si>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</si>
  <si>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</si>
  <si>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</si>
  <si>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</si>
  <si>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</si>
  <si>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</si>
  <si>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</si>
  <si>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</si>
  <si>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</si>
  <si>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</si>
  <si>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</si>
  <si>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</si>
  <si>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</si>
  <si>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</si>
  <si>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</si>
  <si>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</si>
  <si>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</si>
  <si>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</si>
  <si>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</si>
  <si>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</si>
  <si>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</si>
  <si>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</si>
  <si>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</si>
  <si>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</si>
  <si>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</si>
  <si>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</si>
  <si>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</si>
  <si>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</si>
  <si>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OP factor</t>
  </si>
  <si>
    <t>NG</t>
  </si>
  <si>
    <t>Coal</t>
  </si>
  <si>
    <t>Storage</t>
  </si>
  <si>
    <t>Cap Cost(MUSD/GWh)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</si>
  <si>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</si>
  <si>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</si>
  <si>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</si>
  <si>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</si>
  <si>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</si>
  <si>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</si>
  <si>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</si>
  <si>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</si>
  <si>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</si>
  <si>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</si>
  <si>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</si>
  <si>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</si>
  <si>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</si>
  <si>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</si>
  <si>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</si>
  <si>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</si>
  <si>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</si>
  <si>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</si>
  <si>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</si>
  <si>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</si>
  <si>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</si>
  <si>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</si>
  <si>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</si>
  <si>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</si>
  <si>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</si>
  <si>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</si>
  <si>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</si>
  <si>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</si>
  <si>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</si>
  <si>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</si>
  <si>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</si>
  <si>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</si>
  <si>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</si>
  <si>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</si>
  <si>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</si>
  <si>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</si>
  <si>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</si>
  <si>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</si>
  <si>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</si>
  <si>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</si>
  <si>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</si>
  <si>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</si>
  <si>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</si>
  <si>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</si>
  <si>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</si>
  <si>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</si>
  <si>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</si>
  <si>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</si>
  <si>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</si>
  <si>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</si>
  <si>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</si>
  <si>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</si>
  <si>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</si>
  <si>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</si>
  <si>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</si>
  <si>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</si>
  <si>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</si>
  <si>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</si>
  <si>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</si>
  <si>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</si>
  <si>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</si>
  <si>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</si>
  <si>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</si>
  <si>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</si>
  <si>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</si>
  <si>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</si>
  <si>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</si>
  <si>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</si>
  <si>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</si>
  <si>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</si>
  <si>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</si>
  <si>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</si>
  <si>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</si>
  <si>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</si>
  <si>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</si>
  <si>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</si>
  <si>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</si>
  <si>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</si>
  <si>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</si>
  <si>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</si>
  <si>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</si>
  <si>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</si>
  <si>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</si>
  <si>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</si>
  <si>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</si>
  <si>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</si>
  <si>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</si>
  <si>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</si>
  <si>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</si>
  <si>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</si>
  <si>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</si>
  <si>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</si>
  <si>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</si>
  <si>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</si>
  <si>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</si>
  <si>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</si>
  <si>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</si>
  <si>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</si>
  <si>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</si>
  <si>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</si>
  <si>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</si>
  <si>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</si>
  <si>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</si>
  <si>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</si>
  <si>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</si>
  <si>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</si>
  <si>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</si>
  <si>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</si>
  <si>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</si>
  <si>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</si>
  <si>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</si>
  <si>
    <t>PEMFC learning curve for emissions</t>
  </si>
  <si>
    <t>3000kwh for 10 years from Bareiss</t>
  </si>
  <si>
    <t>7 y lifetime, CF=0.9</t>
  </si>
  <si>
    <t>10 y lifetime, CF=0.9</t>
  </si>
  <si>
    <t>Target lifespan</t>
  </si>
  <si>
    <t>40000 h</t>
  </si>
  <si>
    <t>https://doi.org/10.1016/j.jpowsour.2003.09.025</t>
  </si>
  <si>
    <t>Erik Emilsson, Lisbeth Dahllöf</t>
  </si>
  <si>
    <t>kgCO2/kWh-cap</t>
  </si>
  <si>
    <t>kgCO2/kW-cap</t>
  </si>
  <si>
    <t>E/P=4</t>
  </si>
  <si>
    <t>Assumptions</t>
  </si>
  <si>
    <t>3500 cycles</t>
  </si>
  <si>
    <t>80% depth of discharge</t>
  </si>
  <si>
    <t>1kW produces 0.8 kWh every cycle for 3500 times</t>
  </si>
  <si>
    <t>https://doi.org/10.1016/j.enconman.2017.12.063</t>
  </si>
  <si>
    <t>https://www.nrel.gov/docs/fy19osti/72740.pdf</t>
  </si>
  <si>
    <t>https://www.iea.org/reports/technology-roadmap-hydrogen-and-fuel-cells</t>
  </si>
  <si>
    <t>https://publications.csiro.au/rpr/download?pid=csiro:EP178771&amp;dsid=DS2</t>
  </si>
  <si>
    <t>https://iopscience.iop.org/article/10.1149/1.3484496</t>
  </si>
  <si>
    <t>Kato</t>
  </si>
  <si>
    <t>https://doi.org/10.1016/j.jpowsour.2017.09.020</t>
  </si>
  <si>
    <t>https://doi.org/10.1149/1.3484496</t>
  </si>
  <si>
    <t>operating at 1000 mA/cm2</t>
  </si>
  <si>
    <t>https://doi.org/10.1016/j.ijhydene.2013.01.151</t>
  </si>
  <si>
    <t>*low efficiency at high current densities</t>
  </si>
  <si>
    <t>82-85% eff</t>
  </si>
  <si>
    <t>m3/yr</t>
  </si>
  <si>
    <t>Water cost</t>
  </si>
  <si>
    <t>EUR/m3</t>
  </si>
  <si>
    <t>EUR/GWh</t>
  </si>
  <si>
    <t>ELC cost</t>
  </si>
  <si>
    <t>EUR/kWh</t>
  </si>
  <si>
    <t>Reported Capex</t>
  </si>
  <si>
    <t>Reported Opex</t>
  </si>
  <si>
    <t>EUR/a</t>
  </si>
  <si>
    <t>Correction factors</t>
  </si>
  <si>
    <t>CF1</t>
  </si>
  <si>
    <t>Reported H2 Cost</t>
  </si>
  <si>
    <t>exclude ELC</t>
  </si>
  <si>
    <t>Calc OP</t>
  </si>
  <si>
    <t>Calc Cap</t>
  </si>
  <si>
    <t>1 GW cost</t>
  </si>
  <si>
    <t>kg H2</t>
  </si>
  <si>
    <t>Gen(kWh)</t>
  </si>
  <si>
    <t>Cost verification</t>
  </si>
  <si>
    <t>neglected</t>
  </si>
  <si>
    <t>https://doi.org/10.1017/CBO9781107415416</t>
  </si>
  <si>
    <t>Life Cycle Emissions</t>
  </si>
  <si>
    <t>Total Emi</t>
  </si>
  <si>
    <t>Direct Emi</t>
  </si>
  <si>
    <t>https://www.energy.gov/sites/prod/files/2014/03/f12/27637.pdf</t>
  </si>
  <si>
    <t>Steam reforming+CCS</t>
  </si>
  <si>
    <t>CO2 Cap</t>
  </si>
  <si>
    <t>Emi build</t>
  </si>
  <si>
    <t>ELC/LNG</t>
  </si>
  <si>
    <t>ELC use</t>
  </si>
  <si>
    <t>1 MBTU</t>
  </si>
  <si>
    <t>$/MBTU</t>
  </si>
  <si>
    <t>1$</t>
  </si>
  <si>
    <t>https://www.fepc.or.jp/english/library/electricity_eview_japan/__icsFiles/afieldfile/2020/03/11/2019ERJ_full.pdf</t>
  </si>
  <si>
    <t>Coal JPN</t>
  </si>
  <si>
    <t>Gas CC JPN</t>
  </si>
  <si>
    <t>CCS PC IPCC</t>
  </si>
  <si>
    <t>CCS Gas CC IPCC</t>
  </si>
  <si>
    <t>Potential</t>
  </si>
  <si>
    <t>Source: Kato</t>
  </si>
  <si>
    <t>Given</t>
  </si>
  <si>
    <t>Max</t>
  </si>
  <si>
    <t>CCS Gas PC JPN</t>
  </si>
  <si>
    <t>CCS Gas CC JPN</t>
  </si>
  <si>
    <t>Coal IPCC</t>
  </si>
  <si>
    <t>Gas CC IPCC</t>
  </si>
  <si>
    <t>Offshore Fixed</t>
  </si>
  <si>
    <t>Offshore Floating</t>
  </si>
  <si>
    <t>https://www.nrel.gov/docs/fy01osti/27637.pdf</t>
  </si>
  <si>
    <t>Total cap cost</t>
  </si>
  <si>
    <t>Eur/kw</t>
  </si>
  <si>
    <t>Opex</t>
  </si>
  <si>
    <t>Eur/kw/y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</si>
</sst>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sz val="8"/>
      <color rgb="FF0C7DB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3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1" fillId="4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2" fillId="6" borderId="0" xfId="0" applyFont="1" applyFill="1"/>
    <xf numFmtId="0" fontId="11" fillId="6" borderId="0" xfId="0" applyFont="1" applyFill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pc.or.jp/english/library/electricity_eview_japan/__icsFiles/afieldfile/2020/03/11/2019ERJ_full.pdf" TargetMode="External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7/CBO978110741541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doi.org/10.1016/j.ijhydene.2017.10.045" TargetMode="External"/><Relationship Id="rId7" Type="http://schemas.openxmlformats.org/officeDocument/2006/relationships/hyperlink" Target="https://doi.org/10.1016/j.ijhydene.2013.01.151" TargetMode="External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Relationship Id="rId6" Type="http://schemas.openxmlformats.org/officeDocument/2006/relationships/hyperlink" Target="https://doi.org/10.1149/1.3484496" TargetMode="External"/><Relationship Id="rId5" Type="http://schemas.openxmlformats.org/officeDocument/2006/relationships/hyperlink" Target="https://www.iea.org/reports/technology-roadmap-hydrogen-and-fuel-cells" TargetMode="External"/><Relationship Id="rId4" Type="http://schemas.openxmlformats.org/officeDocument/2006/relationships/hyperlink" Target="https://www.nrel.gov/docs/fy19osti/72740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ijhydene.2011.10.064" TargetMode="External"/><Relationship Id="rId2" Type="http://schemas.openxmlformats.org/officeDocument/2006/relationships/hyperlink" Target="https://doi.org/10.1016/j.jclepro.2013.07.048" TargetMode="External"/><Relationship Id="rId1" Type="http://schemas.openxmlformats.org/officeDocument/2006/relationships/hyperlink" Target="https://doi.org/10.1016/j.apenergy.2016.07.104" TargetMode="External"/><Relationship Id="rId5" Type="http://schemas.openxmlformats.org/officeDocument/2006/relationships/hyperlink" Target="https://iopscience.iop.org/article/10.1149/1.3484496" TargetMode="External"/><Relationship Id="rId4" Type="http://schemas.openxmlformats.org/officeDocument/2006/relationships/hyperlink" Target="https://doi.org/10.1016/j.jclepro.2013.07.04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powsour.2003.09.025" TargetMode="External"/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nrel.gov/docs/fy01osti/27637.pdf" TargetMode="External"/><Relationship Id="rId1" Type="http://schemas.openxmlformats.org/officeDocument/2006/relationships/hyperlink" Target="https://doi.org/10.1016/j.enconman.2017.12.06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enconman.2017.12.06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i.org/10.1016/j.enconman.2017.12.06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54"/>
  <sheetViews>
    <sheetView topLeftCell="A22" workbookViewId="0">
      <selection activeCell="E51" sqref="E5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30" t="s">
        <v>188</v>
      </c>
      <c r="K3" s="30"/>
      <c r="L3" s="30"/>
      <c r="M3" s="30"/>
      <c r="N3" s="30"/>
      <c r="O3" s="30"/>
      <c r="P3" s="30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3.145E-4</v>
      </c>
      <c r="L5">
        <f>K5*$B$12</f>
        <v>0.2290910557792</v>
      </c>
      <c r="M5">
        <f>K5*$B$21</f>
        <v>4.1136600000000002E-2</v>
      </c>
      <c r="N5">
        <f t="shared" ref="N5:N15" si="1">L5/$L$10</f>
        <v>0.94444444444444442</v>
      </c>
      <c r="O5">
        <f t="shared" ref="O5:O15" si="2">$B$15/N5</f>
        <v>0.42539782337618831</v>
      </c>
      <c r="P5">
        <f t="shared" ref="P5:P15" si="3">$D$30+M5</f>
        <v>4.6956600000000001E-2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3.1819999999999998E-4</v>
      </c>
      <c r="L6">
        <f t="shared" ref="L6:L15" si="4">K6*$B$12</f>
        <v>0.23178624467071998</v>
      </c>
      <c r="M6">
        <f t="shared" ref="M6:M15" si="5">K6*$B$21</f>
        <v>4.1620560000000001E-2</v>
      </c>
      <c r="N6">
        <f t="shared" si="1"/>
        <v>0.95555555555555549</v>
      </c>
      <c r="O6">
        <f t="shared" si="2"/>
        <v>0.42045133705786053</v>
      </c>
      <c r="P6">
        <f t="shared" si="3"/>
        <v>4.744056E-2</v>
      </c>
    </row>
    <row r="7" spans="1:16" x14ac:dyDescent="0.3">
      <c r="B7">
        <f>B36*0.9</f>
        <v>3.3300000000000002E-4</v>
      </c>
      <c r="C7">
        <f>0.9*B35</f>
        <v>6.8400000000000004E-4</v>
      </c>
      <c r="E7" t="s">
        <v>201</v>
      </c>
      <c r="J7">
        <v>0.87</v>
      </c>
      <c r="K7">
        <f t="shared" si="0"/>
        <v>3.2190000000000002E-4</v>
      </c>
      <c r="L7">
        <f t="shared" si="4"/>
        <v>0.23448143356223999</v>
      </c>
      <c r="M7">
        <f t="shared" si="5"/>
        <v>4.2104520000000006E-2</v>
      </c>
      <c r="N7">
        <f t="shared" si="1"/>
        <v>0.96666666666666667</v>
      </c>
      <c r="O7">
        <f t="shared" si="2"/>
        <v>0.41561856306868972</v>
      </c>
      <c r="P7">
        <f t="shared" si="3"/>
        <v>4.7924520000000005E-2</v>
      </c>
    </row>
    <row r="8" spans="1:16" x14ac:dyDescent="0.3">
      <c r="B8">
        <f>B6/B7</f>
        <v>540.54054054054052</v>
      </c>
      <c r="C8">
        <f>C6/C7</f>
        <v>365.4970760233918</v>
      </c>
      <c r="E8" t="s">
        <v>202</v>
      </c>
      <c r="J8">
        <v>0.88</v>
      </c>
      <c r="K8">
        <f t="shared" si="0"/>
        <v>3.256E-4</v>
      </c>
      <c r="L8">
        <f t="shared" si="4"/>
        <v>0.23717662245375998</v>
      </c>
      <c r="M8">
        <f t="shared" si="5"/>
        <v>4.2588480000000005E-2</v>
      </c>
      <c r="N8">
        <f t="shared" si="1"/>
        <v>0.97777777777777763</v>
      </c>
      <c r="O8">
        <f t="shared" si="2"/>
        <v>0.4108956248520001</v>
      </c>
      <c r="P8">
        <f t="shared" si="3"/>
        <v>4.8408480000000004E-2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3.2929999999999998E-4</v>
      </c>
      <c r="L9">
        <f t="shared" si="4"/>
        <v>0.23987181134527996</v>
      </c>
      <c r="M9">
        <f t="shared" si="5"/>
        <v>4.3072440000000004E-2</v>
      </c>
      <c r="N9">
        <f t="shared" si="1"/>
        <v>0.98888888888888871</v>
      </c>
      <c r="O9">
        <f t="shared" si="2"/>
        <v>0.40627882007838212</v>
      </c>
      <c r="P9">
        <f t="shared" si="3"/>
        <v>4.8892440000000002E-2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3.3300000000000002E-4</v>
      </c>
      <c r="L10">
        <f t="shared" si="4"/>
        <v>0.2425670002368</v>
      </c>
      <c r="M10">
        <f t="shared" si="5"/>
        <v>4.3556400000000009E-2</v>
      </c>
      <c r="N10">
        <f t="shared" si="1"/>
        <v>1</v>
      </c>
      <c r="O10">
        <f t="shared" si="2"/>
        <v>0.40176461096640004</v>
      </c>
      <c r="P10">
        <f>$D$30+M10</f>
        <v>4.9376400000000008E-2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3.367E-4</v>
      </c>
      <c r="L11">
        <f t="shared" si="4"/>
        <v>0.24526218912831999</v>
      </c>
      <c r="M11">
        <f t="shared" si="5"/>
        <v>4.4040360000000001E-2</v>
      </c>
      <c r="N11">
        <f t="shared" si="1"/>
        <v>1.0111111111111111</v>
      </c>
      <c r="O11">
        <f t="shared" si="2"/>
        <v>0.39734961524149454</v>
      </c>
      <c r="P11">
        <f t="shared" si="3"/>
        <v>4.9860359999999999E-2</v>
      </c>
    </row>
    <row r="12" spans="1:16" x14ac:dyDescent="0.3">
      <c r="A12" t="s">
        <v>199</v>
      </c>
      <c r="B12">
        <f>SUM(B8:B11)</f>
        <v>728.42943014054049</v>
      </c>
      <c r="C12">
        <f>SUM(C8:C11)</f>
        <v>553.38596562339183</v>
      </c>
      <c r="E12" t="s">
        <v>18</v>
      </c>
      <c r="J12">
        <v>0.92</v>
      </c>
      <c r="K12">
        <f t="shared" si="0"/>
        <v>3.4040000000000003E-4</v>
      </c>
      <c r="L12">
        <f>K12*$B$12</f>
        <v>0.24795737801984</v>
      </c>
      <c r="M12">
        <f t="shared" si="5"/>
        <v>4.4524320000000006E-2</v>
      </c>
      <c r="N12">
        <f t="shared" si="1"/>
        <v>1.0222222222222221</v>
      </c>
      <c r="O12">
        <f t="shared" si="2"/>
        <v>0.39303059768452181</v>
      </c>
      <c r="P12">
        <f t="shared" si="3"/>
        <v>5.0344320000000005E-2</v>
      </c>
    </row>
    <row r="13" spans="1:16" x14ac:dyDescent="0.3">
      <c r="A13" t="s">
        <v>200</v>
      </c>
      <c r="B13">
        <f>1/B36</f>
        <v>2702.7027027027029</v>
      </c>
      <c r="C13">
        <f>1/B35</f>
        <v>1315.7894736842104</v>
      </c>
      <c r="E13" t="s">
        <v>198</v>
      </c>
      <c r="J13">
        <v>0.93</v>
      </c>
      <c r="K13">
        <f t="shared" si="0"/>
        <v>3.4410000000000002E-4</v>
      </c>
      <c r="L13">
        <f t="shared" si="4"/>
        <v>0.25065256691136001</v>
      </c>
      <c r="M13">
        <f t="shared" si="5"/>
        <v>4.5008280000000005E-2</v>
      </c>
      <c r="N13">
        <f t="shared" si="1"/>
        <v>1.0333333333333334</v>
      </c>
      <c r="O13">
        <f t="shared" si="2"/>
        <v>0.38880446222554838</v>
      </c>
      <c r="P13">
        <f t="shared" si="3"/>
        <v>5.0828280000000003E-2</v>
      </c>
    </row>
    <row r="14" spans="1:16" x14ac:dyDescent="0.3">
      <c r="A14" t="s">
        <v>204</v>
      </c>
      <c r="B14">
        <f>(B13-B12)/B13</f>
        <v>0.73048111084800005</v>
      </c>
      <c r="C14">
        <f>(C13-C12)/C13</f>
        <v>0.57942666612622218</v>
      </c>
      <c r="J14">
        <v>0.94</v>
      </c>
      <c r="K14">
        <f t="shared" si="0"/>
        <v>3.478E-4</v>
      </c>
      <c r="L14">
        <f t="shared" si="4"/>
        <v>0.25334775580287999</v>
      </c>
      <c r="M14">
        <f t="shared" si="5"/>
        <v>4.5492240000000003E-2</v>
      </c>
      <c r="N14">
        <f t="shared" si="1"/>
        <v>1.0444444444444445</v>
      </c>
      <c r="O14">
        <f t="shared" si="2"/>
        <v>0.38466824454229787</v>
      </c>
      <c r="P14">
        <f t="shared" si="3"/>
        <v>5.1312240000000002E-2</v>
      </c>
    </row>
    <row r="15" spans="1:16" x14ac:dyDescent="0.3">
      <c r="A15" t="s">
        <v>191</v>
      </c>
      <c r="B15">
        <f>0.55*B14</f>
        <v>0.40176461096640004</v>
      </c>
      <c r="C15">
        <f>0.55*C14</f>
        <v>0.31868466636942222</v>
      </c>
      <c r="J15">
        <v>0.95</v>
      </c>
      <c r="K15">
        <f t="shared" si="0"/>
        <v>3.5149999999999998E-4</v>
      </c>
      <c r="L15">
        <f t="shared" si="4"/>
        <v>0.25604294469439998</v>
      </c>
      <c r="M15">
        <f t="shared" si="5"/>
        <v>4.5976200000000002E-2</v>
      </c>
      <c r="N15">
        <f t="shared" si="1"/>
        <v>1.0555555555555554</v>
      </c>
      <c r="O15">
        <f t="shared" si="2"/>
        <v>0.38061910512606328</v>
      </c>
      <c r="P15">
        <f t="shared" si="3"/>
        <v>5.1796200000000001E-2</v>
      </c>
    </row>
    <row r="17" spans="1:16" x14ac:dyDescent="0.3">
      <c r="B17" s="2" t="s">
        <v>213</v>
      </c>
      <c r="C17" t="s">
        <v>214</v>
      </c>
      <c r="J17" s="30" t="s">
        <v>193</v>
      </c>
      <c r="K17" s="30"/>
      <c r="L17" s="30"/>
      <c r="M17" s="30"/>
      <c r="N17" s="30"/>
      <c r="O17" s="30"/>
      <c r="P17" s="30"/>
    </row>
    <row r="18" spans="1:16" x14ac:dyDescent="0.3">
      <c r="A18" s="2" t="s">
        <v>181</v>
      </c>
      <c r="B18">
        <v>95</v>
      </c>
      <c r="C18">
        <v>62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6.4599999999999998E-4</v>
      </c>
      <c r="L19">
        <f>K19*$C$12</f>
        <v>0.35748733379271108</v>
      </c>
      <c r="M19">
        <f>L19/$L$24</f>
        <v>0.9444444444444442</v>
      </c>
      <c r="N19">
        <f t="shared" ref="N19:N29" si="7">$C$15/M19</f>
        <v>0.33743082321468243</v>
      </c>
      <c r="O19">
        <f>K19*$C$21</f>
        <v>6.3178799999999993E-2</v>
      </c>
      <c r="P19">
        <f>$D$29+O19</f>
        <v>7.4108799999999989E-2</v>
      </c>
    </row>
    <row r="20" spans="1:16" x14ac:dyDescent="0.3">
      <c r="B20">
        <v>31</v>
      </c>
      <c r="C20">
        <v>31</v>
      </c>
      <c r="D20" t="s">
        <v>15</v>
      </c>
      <c r="E20" t="s">
        <v>215</v>
      </c>
      <c r="J20">
        <v>0.86</v>
      </c>
      <c r="K20">
        <f t="shared" si="6"/>
        <v>6.5360000000000006E-4</v>
      </c>
      <c r="L20">
        <f t="shared" ref="L20:L29" si="8">K20*$C$12</f>
        <v>0.36169306713144894</v>
      </c>
      <c r="M20">
        <f t="shared" ref="M20:M29" si="9">L20/$L$24</f>
        <v>0.9555555555555556</v>
      </c>
      <c r="N20">
        <f t="shared" si="7"/>
        <v>0.3335072089912558</v>
      </c>
      <c r="O20">
        <f t="shared" ref="O20:O29" si="10">K20*$C$21</f>
        <v>6.3922080000000006E-2</v>
      </c>
      <c r="P20">
        <f>$D$29+O20</f>
        <v>7.4852080000000001E-2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6.6120000000000003E-4</v>
      </c>
      <c r="L21">
        <f t="shared" si="8"/>
        <v>0.36589880047018669</v>
      </c>
      <c r="M21">
        <f t="shared" si="9"/>
        <v>0.96666666666666656</v>
      </c>
      <c r="N21">
        <f t="shared" si="7"/>
        <v>0.32967379279595405</v>
      </c>
      <c r="O21">
        <f t="shared" si="10"/>
        <v>6.4665360000000005E-2</v>
      </c>
      <c r="P21">
        <f t="shared" ref="P21:P29" si="11">$D$29+O21</f>
        <v>7.559536E-2</v>
      </c>
    </row>
    <row r="22" spans="1:16" x14ac:dyDescent="0.3">
      <c r="B22">
        <f>B21/B18</f>
        <v>1.3768421052631581</v>
      </c>
      <c r="J22">
        <v>0.88</v>
      </c>
      <c r="K22">
        <f t="shared" si="6"/>
        <v>6.6879999999999999E-4</v>
      </c>
      <c r="L22">
        <f t="shared" si="8"/>
        <v>0.37010453380892444</v>
      </c>
      <c r="M22">
        <f t="shared" si="9"/>
        <v>0.97777777777777763</v>
      </c>
      <c r="N22">
        <f t="shared" si="7"/>
        <v>0.32592749969600004</v>
      </c>
      <c r="O22">
        <f t="shared" si="10"/>
        <v>6.5408640000000004E-2</v>
      </c>
      <c r="P22">
        <f t="shared" si="11"/>
        <v>7.6338639999999999E-2</v>
      </c>
    </row>
    <row r="23" spans="1:16" x14ac:dyDescent="0.3">
      <c r="J23">
        <v>0.89</v>
      </c>
      <c r="K23">
        <f t="shared" si="6"/>
        <v>6.7640000000000007E-4</v>
      </c>
      <c r="L23">
        <f t="shared" si="8"/>
        <v>0.37431026714766225</v>
      </c>
      <c r="M23">
        <f t="shared" si="9"/>
        <v>0.98888888888888882</v>
      </c>
      <c r="N23">
        <f t="shared" si="7"/>
        <v>0.32226539295784273</v>
      </c>
      <c r="O23">
        <f t="shared" si="10"/>
        <v>6.6151920000000003E-2</v>
      </c>
      <c r="P23">
        <f t="shared" si="11"/>
        <v>7.7081919999999998E-2</v>
      </c>
    </row>
    <row r="24" spans="1:16" x14ac:dyDescent="0.3">
      <c r="A24" s="2"/>
      <c r="J24">
        <v>0.9</v>
      </c>
      <c r="K24">
        <f t="shared" si="6"/>
        <v>6.8400000000000004E-4</v>
      </c>
      <c r="L24">
        <f t="shared" si="8"/>
        <v>0.37851600048640005</v>
      </c>
      <c r="M24">
        <f t="shared" si="9"/>
        <v>1</v>
      </c>
      <c r="N24">
        <f t="shared" si="7"/>
        <v>0.31868466636942222</v>
      </c>
      <c r="O24">
        <f t="shared" si="10"/>
        <v>6.6895200000000002E-2</v>
      </c>
      <c r="P24">
        <f t="shared" si="11"/>
        <v>7.7825199999999997E-2</v>
      </c>
    </row>
    <row r="25" spans="1:16" x14ac:dyDescent="0.3">
      <c r="J25">
        <v>0.91</v>
      </c>
      <c r="K25">
        <f t="shared" si="6"/>
        <v>6.9160000000000011E-4</v>
      </c>
      <c r="L25">
        <f t="shared" si="8"/>
        <v>0.38272173382513786</v>
      </c>
      <c r="M25">
        <f t="shared" si="9"/>
        <v>1.0111111111111111</v>
      </c>
      <c r="N25">
        <f t="shared" si="7"/>
        <v>0.31518263706865934</v>
      </c>
      <c r="O25">
        <f t="shared" si="10"/>
        <v>6.7638480000000015E-2</v>
      </c>
      <c r="P25">
        <f t="shared" si="11"/>
        <v>7.856848000000001E-2</v>
      </c>
    </row>
    <row r="26" spans="1:16" x14ac:dyDescent="0.3">
      <c r="J26">
        <v>0.92</v>
      </c>
      <c r="K26">
        <f t="shared" si="6"/>
        <v>6.9920000000000008E-4</v>
      </c>
      <c r="L26">
        <f t="shared" si="8"/>
        <v>0.3869274671638756</v>
      </c>
      <c r="M26">
        <f t="shared" si="9"/>
        <v>1.0222222222222221</v>
      </c>
      <c r="N26">
        <f t="shared" si="7"/>
        <v>0.31175673883965221</v>
      </c>
      <c r="O26">
        <f t="shared" si="10"/>
        <v>6.838176E-2</v>
      </c>
      <c r="P26">
        <f t="shared" si="11"/>
        <v>7.9311759999999995E-2</v>
      </c>
    </row>
    <row r="27" spans="1:16" x14ac:dyDescent="0.3">
      <c r="A27" s="2"/>
      <c r="J27">
        <v>0.93</v>
      </c>
      <c r="K27">
        <f t="shared" si="6"/>
        <v>7.0680000000000005E-4</v>
      </c>
      <c r="L27">
        <f t="shared" si="8"/>
        <v>0.39113320050261335</v>
      </c>
      <c r="M27">
        <f t="shared" si="9"/>
        <v>1.0333333333333332</v>
      </c>
      <c r="N27">
        <f t="shared" si="7"/>
        <v>0.3084045158413764</v>
      </c>
      <c r="O27">
        <f t="shared" si="10"/>
        <v>6.9125039999999999E-2</v>
      </c>
      <c r="P27">
        <f t="shared" si="11"/>
        <v>8.0055039999999994E-2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7.1440000000000002E-4</v>
      </c>
      <c r="L28">
        <f t="shared" si="8"/>
        <v>0.3953389338413511</v>
      </c>
      <c r="M28">
        <f t="shared" si="9"/>
        <v>1.0444444444444443</v>
      </c>
      <c r="N28">
        <f t="shared" si="7"/>
        <v>0.30512361673668087</v>
      </c>
      <c r="O28">
        <f t="shared" si="10"/>
        <v>6.9868319999999998E-2</v>
      </c>
      <c r="P28">
        <f t="shared" si="11"/>
        <v>8.0798319999999993E-2</v>
      </c>
    </row>
    <row r="29" spans="1:16" x14ac:dyDescent="0.3">
      <c r="A29" s="2" t="s">
        <v>185</v>
      </c>
      <c r="B29" s="20">
        <v>5252</v>
      </c>
      <c r="C29" s="20">
        <v>59</v>
      </c>
      <c r="D29" s="20">
        <f>10.93*1000/1000000</f>
        <v>1.093E-2</v>
      </c>
      <c r="J29">
        <v>0.95</v>
      </c>
      <c r="K29">
        <f t="shared" si="6"/>
        <v>7.2199999999999999E-4</v>
      </c>
      <c r="L29">
        <f t="shared" si="8"/>
        <v>0.39954466718008891</v>
      </c>
      <c r="M29">
        <f t="shared" si="9"/>
        <v>1.0555555555555554</v>
      </c>
      <c r="N29">
        <f t="shared" si="7"/>
        <v>0.30191178919208428</v>
      </c>
      <c r="O29">
        <f t="shared" si="10"/>
        <v>7.0611599999999997E-2</v>
      </c>
      <c r="P29">
        <f t="shared" si="11"/>
        <v>8.1541599999999992E-2</v>
      </c>
    </row>
    <row r="30" spans="1:16" x14ac:dyDescent="0.3">
      <c r="A30" s="2" t="s">
        <v>61</v>
      </c>
      <c r="B30" s="20">
        <v>2626</v>
      </c>
      <c r="C30" s="20">
        <v>27.48</v>
      </c>
      <c r="D30" s="20">
        <f>5.82*1000/1000000</f>
        <v>5.8199999999999997E-3</v>
      </c>
    </row>
    <row r="31" spans="1:16" x14ac:dyDescent="0.3">
      <c r="A31" s="2" t="s">
        <v>207</v>
      </c>
      <c r="B31" s="20">
        <v>764</v>
      </c>
      <c r="C31">
        <v>6.214611477952583</v>
      </c>
      <c r="D31">
        <v>4.084030751199931E-2</v>
      </c>
      <c r="E31">
        <v>0.7</v>
      </c>
      <c r="J31" s="30" t="s">
        <v>194</v>
      </c>
      <c r="K31" s="30"/>
      <c r="L31" s="30"/>
      <c r="M31" s="30"/>
      <c r="N31" s="30"/>
      <c r="O31" s="30"/>
      <c r="P31" s="30"/>
    </row>
    <row r="32" spans="1:16" x14ac:dyDescent="0.3">
      <c r="A32" s="2" t="s">
        <v>210</v>
      </c>
      <c r="B32" s="2">
        <f>6*B31</f>
        <v>4584</v>
      </c>
      <c r="C32" s="21">
        <v>33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 s="3">
        <f t="shared" ref="K33:K44" si="12">$B$37*J33</f>
        <v>2.0999999999999998E-4</v>
      </c>
      <c r="L33" s="3">
        <f t="shared" ref="L33:L44" si="13">K33*$B$12</f>
        <v>0.15297018032951348</v>
      </c>
      <c r="N33" s="3">
        <f t="shared" ref="N33:N44" si="14">$E$31-L33</f>
        <v>0.54702981967048647</v>
      </c>
      <c r="O33" s="3">
        <f t="shared" ref="O33:O44" si="15">K33*$B$21</f>
        <v>2.7467999999999999E-2</v>
      </c>
      <c r="P33" s="3">
        <f>$D$31+O33</f>
        <v>6.8308307511999317E-2</v>
      </c>
    </row>
    <row r="34" spans="1:16" x14ac:dyDescent="0.3">
      <c r="A34" s="2" t="s">
        <v>187</v>
      </c>
      <c r="J34" s="3">
        <v>0.85</v>
      </c>
      <c r="K34" s="3">
        <f t="shared" si="12"/>
        <v>2.5499999999999996E-4</v>
      </c>
      <c r="L34" s="3">
        <f>K34*$B$12</f>
        <v>0.18574950468583779</v>
      </c>
      <c r="M34" s="3"/>
      <c r="N34" s="3">
        <f>$E$31-L34</f>
        <v>0.51425049531416223</v>
      </c>
      <c r="O34" s="3">
        <f>K34*$B$21</f>
        <v>3.3353999999999995E-2</v>
      </c>
      <c r="P34" s="3">
        <f t="shared" ref="P34:P44" si="16">$D$31+O34</f>
        <v>7.4194307511999305E-2</v>
      </c>
    </row>
    <row r="35" spans="1:16" x14ac:dyDescent="0.3">
      <c r="A35" s="14" t="s">
        <v>185</v>
      </c>
      <c r="B35" s="21">
        <f>760/1000000</f>
        <v>7.6000000000000004E-4</v>
      </c>
      <c r="C35" t="s">
        <v>62</v>
      </c>
      <c r="J35" s="3">
        <v>0.86</v>
      </c>
      <c r="K35" s="3">
        <f t="shared" si="12"/>
        <v>2.5799999999999998E-4</v>
      </c>
      <c r="L35" s="3">
        <f t="shared" si="13"/>
        <v>0.18793479297625942</v>
      </c>
      <c r="M35" s="3"/>
      <c r="N35" s="3">
        <f t="shared" si="14"/>
        <v>0.51206520702374059</v>
      </c>
      <c r="O35" s="3">
        <f t="shared" si="15"/>
        <v>3.3746400000000003E-2</v>
      </c>
      <c r="P35" s="3">
        <f t="shared" si="16"/>
        <v>7.4586707511999306E-2</v>
      </c>
    </row>
    <row r="36" spans="1:16" x14ac:dyDescent="0.3">
      <c r="A36" s="14" t="s">
        <v>61</v>
      </c>
      <c r="B36" s="21">
        <f>370/1000000</f>
        <v>3.6999999999999999E-4</v>
      </c>
      <c r="C36" t="s">
        <v>62</v>
      </c>
      <c r="J36" s="3">
        <v>0.87</v>
      </c>
      <c r="K36" s="3">
        <f t="shared" si="12"/>
        <v>2.61E-4</v>
      </c>
      <c r="L36" s="3">
        <f t="shared" si="13"/>
        <v>0.19012008126668106</v>
      </c>
      <c r="M36" s="3"/>
      <c r="N36" s="3">
        <f t="shared" si="14"/>
        <v>0.50987991873331895</v>
      </c>
      <c r="O36" s="3">
        <f t="shared" si="15"/>
        <v>3.4138800000000004E-2</v>
      </c>
      <c r="P36" s="3">
        <f t="shared" si="16"/>
        <v>7.4979107511999321E-2</v>
      </c>
    </row>
    <row r="37" spans="1:16" x14ac:dyDescent="0.3">
      <c r="A37" s="14" t="s">
        <v>111</v>
      </c>
      <c r="B37" s="21">
        <f>C53/1000000</f>
        <v>2.9999999999999997E-4</v>
      </c>
      <c r="C37" t="s">
        <v>62</v>
      </c>
      <c r="D37" t="s">
        <v>379</v>
      </c>
      <c r="J37" s="3">
        <v>0.88</v>
      </c>
      <c r="K37" s="3">
        <f t="shared" si="12"/>
        <v>2.6399999999999997E-4</v>
      </c>
      <c r="L37" s="3">
        <f t="shared" si="13"/>
        <v>0.19230536955710267</v>
      </c>
      <c r="M37" s="3"/>
      <c r="N37" s="3">
        <f t="shared" si="14"/>
        <v>0.50769463044289731</v>
      </c>
      <c r="O37" s="3">
        <f t="shared" si="15"/>
        <v>3.4531199999999998E-2</v>
      </c>
      <c r="P37" s="3">
        <f t="shared" si="16"/>
        <v>7.5371507511999308E-2</v>
      </c>
    </row>
    <row r="38" spans="1:16" x14ac:dyDescent="0.3">
      <c r="J38" s="3">
        <v>0.89</v>
      </c>
      <c r="K38" s="3">
        <f t="shared" si="12"/>
        <v>2.6699999999999998E-4</v>
      </c>
      <c r="L38" s="3">
        <f t="shared" si="13"/>
        <v>0.19449065784752431</v>
      </c>
      <c r="M38" s="3"/>
      <c r="N38" s="3">
        <f t="shared" si="14"/>
        <v>0.50550934215247567</v>
      </c>
      <c r="O38" s="3">
        <f t="shared" si="15"/>
        <v>3.4923599999999999E-2</v>
      </c>
      <c r="P38" s="3">
        <f t="shared" si="16"/>
        <v>7.5763907511999309E-2</v>
      </c>
    </row>
    <row r="39" spans="1:16" x14ac:dyDescent="0.3">
      <c r="J39" s="3">
        <v>0.9</v>
      </c>
      <c r="K39" s="3">
        <f t="shared" si="12"/>
        <v>2.7E-4</v>
      </c>
      <c r="L39" s="3">
        <f t="shared" si="13"/>
        <v>0.19667594613794592</v>
      </c>
      <c r="M39" s="3"/>
      <c r="N39" s="3">
        <f t="shared" si="14"/>
        <v>0.50332405386205403</v>
      </c>
      <c r="O39" s="3">
        <f t="shared" si="15"/>
        <v>3.5316E-2</v>
      </c>
      <c r="P39" s="3">
        <f t="shared" si="16"/>
        <v>7.615630751199931E-2</v>
      </c>
    </row>
    <row r="40" spans="1:16" x14ac:dyDescent="0.3">
      <c r="A40" s="12" t="s">
        <v>277</v>
      </c>
      <c r="J40" s="3">
        <v>0.91</v>
      </c>
      <c r="K40" s="3">
        <f t="shared" si="12"/>
        <v>2.7299999999999997E-4</v>
      </c>
      <c r="L40" s="3">
        <f t="shared" si="13"/>
        <v>0.19886123442836753</v>
      </c>
      <c r="M40" s="3"/>
      <c r="N40" s="3">
        <f t="shared" si="14"/>
        <v>0.50113876557163239</v>
      </c>
      <c r="O40" s="3">
        <f t="shared" si="15"/>
        <v>3.5708400000000001E-2</v>
      </c>
      <c r="P40" s="3">
        <f t="shared" si="16"/>
        <v>7.6548707511999312E-2</v>
      </c>
    </row>
    <row r="41" spans="1:16" x14ac:dyDescent="0.3">
      <c r="A41" s="12" t="s">
        <v>278</v>
      </c>
      <c r="J41" s="3">
        <v>0.92</v>
      </c>
      <c r="K41" s="3">
        <f t="shared" si="12"/>
        <v>2.7599999999999999E-4</v>
      </c>
      <c r="L41" s="3">
        <f t="shared" si="13"/>
        <v>0.20104652271878917</v>
      </c>
      <c r="M41" s="3"/>
      <c r="N41" s="3">
        <f t="shared" si="14"/>
        <v>0.49895347728121076</v>
      </c>
      <c r="O41" s="3">
        <f t="shared" si="15"/>
        <v>3.6100800000000002E-2</v>
      </c>
      <c r="P41" s="3">
        <f t="shared" si="16"/>
        <v>7.6941107511999313E-2</v>
      </c>
    </row>
    <row r="42" spans="1:16" x14ac:dyDescent="0.3">
      <c r="J42" s="3">
        <v>0.93</v>
      </c>
      <c r="K42" s="3">
        <f t="shared" si="12"/>
        <v>2.7900000000000001E-4</v>
      </c>
      <c r="L42" s="3">
        <f t="shared" si="13"/>
        <v>0.20323181100921081</v>
      </c>
      <c r="M42" s="3"/>
      <c r="N42" s="3">
        <f t="shared" si="14"/>
        <v>0.49676818899078912</v>
      </c>
      <c r="O42" s="3">
        <f t="shared" si="15"/>
        <v>3.6493200000000003E-2</v>
      </c>
      <c r="P42" s="3">
        <f t="shared" si="16"/>
        <v>7.7333507511999314E-2</v>
      </c>
    </row>
    <row r="43" spans="1:16" x14ac:dyDescent="0.3">
      <c r="B43" t="s">
        <v>114</v>
      </c>
      <c r="J43" s="3">
        <v>0.94</v>
      </c>
      <c r="K43" s="3">
        <f t="shared" si="12"/>
        <v>2.8199999999999997E-4</v>
      </c>
      <c r="L43" s="3">
        <f t="shared" si="13"/>
        <v>0.20541709929963239</v>
      </c>
      <c r="M43" s="3"/>
      <c r="N43" s="3">
        <f t="shared" si="14"/>
        <v>0.49458290070036759</v>
      </c>
      <c r="O43" s="3">
        <f t="shared" si="15"/>
        <v>3.6885599999999998E-2</v>
      </c>
      <c r="P43" s="3">
        <f t="shared" si="16"/>
        <v>7.7725907511999315E-2</v>
      </c>
    </row>
    <row r="44" spans="1:16" x14ac:dyDescent="0.3">
      <c r="A44" t="s">
        <v>376</v>
      </c>
      <c r="B44" t="s">
        <v>377</v>
      </c>
      <c r="C44" t="s">
        <v>378</v>
      </c>
      <c r="D44" t="s">
        <v>382</v>
      </c>
      <c r="E44" t="s">
        <v>381</v>
      </c>
      <c r="J44" s="3">
        <v>0.95</v>
      </c>
      <c r="K44" s="3">
        <f t="shared" si="12"/>
        <v>2.8499999999999999E-4</v>
      </c>
      <c r="L44" s="3">
        <f t="shared" si="13"/>
        <v>0.20760238759005403</v>
      </c>
      <c r="M44" s="3"/>
      <c r="N44" s="3">
        <f t="shared" si="14"/>
        <v>0.49239761240994595</v>
      </c>
      <c r="O44" s="3">
        <f t="shared" si="15"/>
        <v>3.7277999999999999E-2</v>
      </c>
      <c r="P44" s="3">
        <f t="shared" si="16"/>
        <v>7.8118307511999302E-2</v>
      </c>
    </row>
    <row r="45" spans="1:16" x14ac:dyDescent="0.3">
      <c r="A45" t="s">
        <v>399</v>
      </c>
      <c r="B45">
        <v>820</v>
      </c>
      <c r="C45">
        <v>760</v>
      </c>
      <c r="D45">
        <f t="shared" ref="D45:D50" si="17">B45-C45</f>
        <v>60</v>
      </c>
      <c r="F45" s="12" t="s">
        <v>388</v>
      </c>
    </row>
    <row r="46" spans="1:16" x14ac:dyDescent="0.3">
      <c r="A46" t="s">
        <v>400</v>
      </c>
      <c r="B46">
        <v>490</v>
      </c>
      <c r="C46">
        <v>370</v>
      </c>
      <c r="D46">
        <f t="shared" si="17"/>
        <v>120</v>
      </c>
    </row>
    <row r="47" spans="1:16" x14ac:dyDescent="0.3">
      <c r="A47" t="s">
        <v>389</v>
      </c>
      <c r="B47">
        <v>943</v>
      </c>
      <c r="C47">
        <v>864</v>
      </c>
      <c r="D47">
        <f t="shared" si="17"/>
        <v>79</v>
      </c>
      <c r="E47">
        <v>0</v>
      </c>
      <c r="F47" s="12" t="s">
        <v>375</v>
      </c>
    </row>
    <row r="48" spans="1:16" x14ac:dyDescent="0.3">
      <c r="A48" t="s">
        <v>390</v>
      </c>
      <c r="B48">
        <v>599</v>
      </c>
      <c r="C48">
        <v>476</v>
      </c>
      <c r="D48">
        <f t="shared" si="17"/>
        <v>123</v>
      </c>
      <c r="E48">
        <v>0</v>
      </c>
    </row>
    <row r="49" spans="1:5" x14ac:dyDescent="0.3">
      <c r="A49" t="s">
        <v>391</v>
      </c>
      <c r="B49">
        <v>190</v>
      </c>
      <c r="C49">
        <v>76</v>
      </c>
      <c r="D49">
        <f t="shared" si="17"/>
        <v>114</v>
      </c>
      <c r="E49">
        <f>0.9*C45</f>
        <v>684</v>
      </c>
    </row>
    <row r="50" spans="1:5" x14ac:dyDescent="0.3">
      <c r="A50" t="s">
        <v>392</v>
      </c>
      <c r="B50">
        <v>94</v>
      </c>
      <c r="C50">
        <v>37</v>
      </c>
      <c r="D50">
        <f t="shared" si="17"/>
        <v>57</v>
      </c>
      <c r="E50">
        <f>0.9*(C50/0.1)</f>
        <v>333</v>
      </c>
    </row>
    <row r="51" spans="1:5" x14ac:dyDescent="0.3">
      <c r="A51" t="s">
        <v>397</v>
      </c>
      <c r="B51">
        <f>SUM(C51:D51)</f>
        <v>236.5</v>
      </c>
      <c r="C51">
        <v>86.4</v>
      </c>
      <c r="D51">
        <f>(D47/D45)*D49</f>
        <v>150.1</v>
      </c>
      <c r="E51">
        <f>C51/0.1</f>
        <v>864</v>
      </c>
    </row>
    <row r="52" spans="1:5" x14ac:dyDescent="0.3">
      <c r="A52" t="s">
        <v>398</v>
      </c>
      <c r="B52">
        <f>SUM(C52:D52)</f>
        <v>106.02500000000001</v>
      </c>
      <c r="C52">
        <v>47.6</v>
      </c>
      <c r="D52">
        <f>(D48/D46)*D50</f>
        <v>58.424999999999997</v>
      </c>
      <c r="E52">
        <f>C52/0.1</f>
        <v>476</v>
      </c>
    </row>
    <row r="53" spans="1:5" x14ac:dyDescent="0.3">
      <c r="A53" t="s">
        <v>13</v>
      </c>
      <c r="B53">
        <f>400</f>
        <v>400</v>
      </c>
      <c r="C53">
        <f>B53*0.75</f>
        <v>300</v>
      </c>
      <c r="D53">
        <f>0.25*B53</f>
        <v>100</v>
      </c>
      <c r="E53">
        <v>0</v>
      </c>
    </row>
    <row r="54" spans="1:5" x14ac:dyDescent="0.3">
      <c r="A54" t="s">
        <v>380</v>
      </c>
      <c r="B54">
        <f>C54+D54</f>
        <v>136.34146341463415</v>
      </c>
      <c r="C54">
        <f>0.3*C53</f>
        <v>90</v>
      </c>
      <c r="D54">
        <f>D50*D53/D48</f>
        <v>46.341463414634148</v>
      </c>
      <c r="E54">
        <f>C53-C54</f>
        <v>210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  <hyperlink ref="F45" r:id="rId3" xr:uid="{0C77527A-EB26-4897-B8C5-45140E80D9A5}"/>
    <hyperlink ref="F47" r:id="rId4" xr:uid="{D1E6EA12-4F3B-4CCA-8CA5-BD992BEB908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K19"/>
  <sheetViews>
    <sheetView workbookViewId="0">
      <selection activeCell="O21" sqref="O21"/>
    </sheetView>
  </sheetViews>
  <sheetFormatPr defaultRowHeight="14.4" x14ac:dyDescent="0.3"/>
  <cols>
    <col min="1" max="1" width="15.21875" customWidth="1"/>
    <col min="2" max="2" width="10.88671875" customWidth="1"/>
  </cols>
  <sheetData>
    <row r="1" spans="1:11" x14ac:dyDescent="0.3">
      <c r="B1" t="s">
        <v>281</v>
      </c>
      <c r="C1" t="s">
        <v>114</v>
      </c>
      <c r="J1">
        <v>33.335999999999999</v>
      </c>
      <c r="K1" t="s">
        <v>3</v>
      </c>
    </row>
    <row r="2" spans="1:11" x14ac:dyDescent="0.3">
      <c r="A2">
        <v>2017</v>
      </c>
      <c r="B2">
        <f>29*1/100</f>
        <v>0.28999999999999998</v>
      </c>
      <c r="C2">
        <f>B2*1000/J1</f>
        <v>8.6993040556755457</v>
      </c>
    </row>
    <row r="3" spans="1:11" x14ac:dyDescent="0.3">
      <c r="A3">
        <v>2050</v>
      </c>
      <c r="B3">
        <f>4*1/100</f>
        <v>0.04</v>
      </c>
      <c r="C3">
        <f>B3*1000/J1</f>
        <v>1.1999040076793857</v>
      </c>
      <c r="D3" s="12" t="s">
        <v>279</v>
      </c>
    </row>
    <row r="5" spans="1:11" x14ac:dyDescent="0.3">
      <c r="A5" t="s">
        <v>284</v>
      </c>
      <c r="B5">
        <f>3000*10</f>
        <v>30000</v>
      </c>
      <c r="D5" t="s">
        <v>329</v>
      </c>
    </row>
    <row r="6" spans="1:11" x14ac:dyDescent="0.3">
      <c r="A6" t="s">
        <v>285</v>
      </c>
      <c r="B6">
        <f>B5*C3</f>
        <v>35997.120230381566</v>
      </c>
      <c r="C6" t="s">
        <v>286</v>
      </c>
    </row>
    <row r="7" spans="1:11" x14ac:dyDescent="0.3">
      <c r="A7" t="s">
        <v>287</v>
      </c>
      <c r="B7">
        <f>B6/(8760*0.9*7)</f>
        <v>0.6522635397256934</v>
      </c>
      <c r="C7" t="s">
        <v>330</v>
      </c>
    </row>
    <row r="8" spans="1:11" x14ac:dyDescent="0.3">
      <c r="A8" t="s">
        <v>287</v>
      </c>
      <c r="B8">
        <f>B6/(8760*0.9*10)</f>
        <v>0.45658447780798539</v>
      </c>
      <c r="C8" t="s">
        <v>331</v>
      </c>
    </row>
    <row r="9" spans="1:11" x14ac:dyDescent="0.3">
      <c r="D9" s="12" t="s">
        <v>280</v>
      </c>
    </row>
    <row r="11" spans="1:11" x14ac:dyDescent="0.3">
      <c r="H11" s="12" t="s">
        <v>345</v>
      </c>
    </row>
    <row r="12" spans="1:11" x14ac:dyDescent="0.3">
      <c r="A12" s="20">
        <v>2022</v>
      </c>
      <c r="B12" s="20">
        <v>3800</v>
      </c>
      <c r="H12" s="12" t="s">
        <v>344</v>
      </c>
    </row>
    <row r="13" spans="1:11" x14ac:dyDescent="0.3">
      <c r="A13" s="20">
        <v>2030</v>
      </c>
      <c r="B13" s="20">
        <v>1500</v>
      </c>
      <c r="H13" s="12" t="s">
        <v>324</v>
      </c>
    </row>
    <row r="14" spans="1:11" x14ac:dyDescent="0.3">
      <c r="A14">
        <v>2050</v>
      </c>
      <c r="B14">
        <v>400</v>
      </c>
    </row>
    <row r="17" spans="1:8" x14ac:dyDescent="0.3">
      <c r="A17" t="s">
        <v>4</v>
      </c>
      <c r="B17">
        <v>82</v>
      </c>
      <c r="C17" s="20"/>
      <c r="D17" s="26" t="s">
        <v>349</v>
      </c>
      <c r="H17" t="s">
        <v>351</v>
      </c>
    </row>
    <row r="18" spans="1:8" x14ac:dyDescent="0.3">
      <c r="C18" s="20"/>
      <c r="D18" s="12" t="s">
        <v>350</v>
      </c>
      <c r="H18" t="s">
        <v>354</v>
      </c>
    </row>
    <row r="19" spans="1:8" x14ac:dyDescent="0.3">
      <c r="D19" s="12" t="s">
        <v>352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  <hyperlink ref="H13" r:id="rId3" tooltip="Persistent link using digital object identifier" xr:uid="{B3E006C3-DDB9-480A-9D90-5884D6F5F9E8}"/>
    <hyperlink ref="H12" r:id="rId4" xr:uid="{737771D8-B96A-49B6-86D2-864FF1155855}"/>
    <hyperlink ref="H11" r:id="rId5" xr:uid="{63C37621-088F-42CB-A35E-1ECFDE9D82C3}"/>
    <hyperlink ref="D18" r:id="rId6" xr:uid="{18AE47F8-0B31-409D-88A0-14B43BA66492}"/>
    <hyperlink ref="D19" r:id="rId7" xr:uid="{BD971C0B-0989-4A61-909C-C1F9A507336B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M14"/>
  <sheetViews>
    <sheetView tabSelected="1" workbookViewId="0">
      <selection activeCell="C3" sqref="C3"/>
    </sheetView>
  </sheetViews>
  <sheetFormatPr defaultRowHeight="14.4" x14ac:dyDescent="0.3"/>
  <cols>
    <col min="2" max="2" width="12.33203125" customWidth="1"/>
  </cols>
  <sheetData>
    <row r="1" spans="1:13" x14ac:dyDescent="0.3">
      <c r="B1" t="s">
        <v>283</v>
      </c>
      <c r="C1" t="s">
        <v>114</v>
      </c>
      <c r="D1" s="12" t="s">
        <v>282</v>
      </c>
      <c r="I1" t="s">
        <v>326</v>
      </c>
      <c r="L1">
        <v>33.335999999999999</v>
      </c>
      <c r="M1" t="s">
        <v>3</v>
      </c>
    </row>
    <row r="2" spans="1:13" x14ac:dyDescent="0.3">
      <c r="A2">
        <v>2017</v>
      </c>
      <c r="B2">
        <v>95.78</v>
      </c>
      <c r="C2">
        <f>B2/L1</f>
        <v>2.873170146388289</v>
      </c>
      <c r="D2" t="s">
        <v>288</v>
      </c>
    </row>
    <row r="4" spans="1:13" x14ac:dyDescent="0.3">
      <c r="A4" t="s">
        <v>289</v>
      </c>
      <c r="D4" s="12"/>
    </row>
    <row r="6" spans="1:13" x14ac:dyDescent="0.3">
      <c r="B6">
        <v>43</v>
      </c>
      <c r="C6">
        <f>B6/L1</f>
        <v>1.2898968082553397</v>
      </c>
      <c r="D6" s="12" t="s">
        <v>325</v>
      </c>
    </row>
    <row r="7" spans="1:13" x14ac:dyDescent="0.3">
      <c r="D7" s="12" t="s">
        <v>327</v>
      </c>
    </row>
    <row r="9" spans="1:13" x14ac:dyDescent="0.3">
      <c r="B9">
        <f>0.04*970</f>
        <v>38.800000000000004</v>
      </c>
      <c r="C9">
        <f>B9/L1</f>
        <v>1.1639068874490042</v>
      </c>
      <c r="D9" s="12" t="s">
        <v>325</v>
      </c>
    </row>
    <row r="12" spans="1:13" x14ac:dyDescent="0.3">
      <c r="A12" t="s">
        <v>4</v>
      </c>
      <c r="B12" s="1">
        <v>0.7</v>
      </c>
      <c r="C12" s="12" t="s">
        <v>347</v>
      </c>
      <c r="I12" s="12"/>
    </row>
    <row r="13" spans="1:13" x14ac:dyDescent="0.3">
      <c r="C13" t="s">
        <v>348</v>
      </c>
    </row>
    <row r="14" spans="1:13" x14ac:dyDescent="0.3">
      <c r="C14" t="s">
        <v>353</v>
      </c>
    </row>
  </sheetData>
  <hyperlinks>
    <hyperlink ref="D1" r:id="rId1" xr:uid="{3122AE31-A0FC-4B8D-8284-BA98C897AEC6}"/>
    <hyperlink ref="D6" r:id="rId2" tooltip="Persistent link using digital object identifier" xr:uid="{64767E0B-4603-4888-AC84-3F51EA7C938D}"/>
    <hyperlink ref="D7" r:id="rId3" tooltip="Persistent link using digital object identifier" display="https://doi-org.proxy2.library.illinois.edu/10.1016/j.ijhydene.2011.10.064" xr:uid="{BDE805AE-877E-4545-BDBE-4D38A75176FA}"/>
    <hyperlink ref="D9" r:id="rId4" xr:uid="{80D8A260-46EB-4685-A28A-7C308844320C}"/>
    <hyperlink ref="C12" r:id="rId5" xr:uid="{FA8CBC50-1FA2-4835-99CA-545FD42143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0"/>
  <sheetViews>
    <sheetView workbookViewId="0">
      <selection activeCell="G16" sqref="G16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294</v>
      </c>
    </row>
    <row r="2" spans="1:16" x14ac:dyDescent="0.3">
      <c r="H2" s="24">
        <v>0.27779999999999999</v>
      </c>
      <c r="I2" t="s">
        <v>65</v>
      </c>
      <c r="K2" t="s">
        <v>300</v>
      </c>
      <c r="L2">
        <v>5000</v>
      </c>
      <c r="M2" t="s">
        <v>297</v>
      </c>
    </row>
    <row r="3" spans="1:16" x14ac:dyDescent="0.3">
      <c r="A3" t="s">
        <v>35</v>
      </c>
      <c r="B3" s="10">
        <v>20000</v>
      </c>
      <c r="C3" t="s">
        <v>297</v>
      </c>
      <c r="D3">
        <f>B3/(8760*0.9)</f>
        <v>2.5367833587011668</v>
      </c>
      <c r="E3" t="s">
        <v>137</v>
      </c>
      <c r="F3" t="s">
        <v>320</v>
      </c>
      <c r="K3" t="s">
        <v>303</v>
      </c>
      <c r="L3">
        <v>20000</v>
      </c>
      <c r="M3" t="s">
        <v>297</v>
      </c>
    </row>
    <row r="4" spans="1:16" x14ac:dyDescent="0.3">
      <c r="B4">
        <v>60000</v>
      </c>
      <c r="C4" t="s">
        <v>297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297</v>
      </c>
      <c r="D5">
        <f t="shared" si="0"/>
        <v>11.415525114155251</v>
      </c>
      <c r="F5">
        <v>2070</v>
      </c>
    </row>
    <row r="9" spans="1:16" x14ac:dyDescent="0.3">
      <c r="A9" t="s">
        <v>295</v>
      </c>
      <c r="J9" t="s">
        <v>321</v>
      </c>
      <c r="P9" s="12" t="s">
        <v>324</v>
      </c>
    </row>
    <row r="10" spans="1:16" x14ac:dyDescent="0.3">
      <c r="A10" t="s">
        <v>296</v>
      </c>
      <c r="J10">
        <v>2017</v>
      </c>
      <c r="K10">
        <v>8000</v>
      </c>
      <c r="L10" t="s">
        <v>322</v>
      </c>
      <c r="M10">
        <f>1.11*K10</f>
        <v>8880</v>
      </c>
      <c r="N10" t="s">
        <v>323</v>
      </c>
    </row>
    <row r="11" spans="1:16" x14ac:dyDescent="0.3">
      <c r="A11">
        <v>2030</v>
      </c>
      <c r="B11">
        <f>(107.7+107.8+108.8)/3</f>
        <v>108.10000000000001</v>
      </c>
      <c r="C11" t="s">
        <v>298</v>
      </c>
      <c r="D11">
        <f>B11*1000/(B3)</f>
        <v>5.4050000000000011</v>
      </c>
      <c r="E11" t="s">
        <v>114</v>
      </c>
      <c r="J11">
        <v>2030</v>
      </c>
      <c r="K11">
        <v>5500</v>
      </c>
      <c r="L11" t="s">
        <v>322</v>
      </c>
      <c r="M11">
        <f t="shared" ref="M11:M13" si="1">1.11*K11</f>
        <v>6105.0000000000009</v>
      </c>
      <c r="N11" t="s">
        <v>323</v>
      </c>
    </row>
    <row r="12" spans="1:16" x14ac:dyDescent="0.3">
      <c r="A12">
        <v>2040</v>
      </c>
      <c r="B12">
        <f>0.6*B11</f>
        <v>64.86</v>
      </c>
      <c r="C12" t="s">
        <v>298</v>
      </c>
      <c r="D12">
        <f>B12*1000/(B3)</f>
        <v>3.2429999999999999</v>
      </c>
      <c r="E12" t="s">
        <v>114</v>
      </c>
      <c r="J12">
        <v>2050</v>
      </c>
      <c r="K12">
        <v>1000</v>
      </c>
      <c r="L12" t="s">
        <v>322</v>
      </c>
      <c r="M12">
        <f t="shared" si="1"/>
        <v>1110</v>
      </c>
      <c r="N12" t="s">
        <v>323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114</v>
      </c>
      <c r="J13">
        <v>2070</v>
      </c>
      <c r="K13">
        <v>400</v>
      </c>
      <c r="L13" t="s">
        <v>322</v>
      </c>
      <c r="M13">
        <f t="shared" si="1"/>
        <v>444.00000000000006</v>
      </c>
      <c r="N13" t="s">
        <v>323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114</v>
      </c>
    </row>
    <row r="18" spans="1:12" x14ac:dyDescent="0.3">
      <c r="A18" s="27" t="s">
        <v>299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3">
      <c r="A19" s="27" t="s">
        <v>300</v>
      </c>
      <c r="B19" s="27">
        <v>52.2</v>
      </c>
      <c r="C19" s="27" t="s">
        <v>113</v>
      </c>
      <c r="D19" s="27">
        <f>B19/$H$2</f>
        <v>187.9049676025918</v>
      </c>
      <c r="E19" s="27" t="s">
        <v>114</v>
      </c>
      <c r="F19" s="27">
        <f>D19*L2/1000</f>
        <v>939.52483801295898</v>
      </c>
      <c r="G19" s="27"/>
      <c r="H19" s="27"/>
      <c r="I19" s="27"/>
      <c r="J19" s="27"/>
      <c r="K19" s="27"/>
      <c r="L19" s="27"/>
    </row>
    <row r="20" spans="1:12" x14ac:dyDescent="0.3">
      <c r="A20" s="27" t="s">
        <v>301</v>
      </c>
      <c r="B20" s="27">
        <v>46.7</v>
      </c>
      <c r="C20" s="27" t="s">
        <v>113</v>
      </c>
      <c r="D20" s="27">
        <f t="shared" ref="D20:D21" si="2">B20/$H$2</f>
        <v>168.10655147588196</v>
      </c>
      <c r="E20" s="27" t="s">
        <v>114</v>
      </c>
      <c r="F20" s="27">
        <f>D20*L3/1000</f>
        <v>3362.131029517639</v>
      </c>
      <c r="G20" s="27"/>
      <c r="H20" s="27"/>
      <c r="I20" s="27"/>
      <c r="J20" s="27"/>
      <c r="K20" s="27"/>
      <c r="L20" s="27"/>
    </row>
    <row r="21" spans="1:12" x14ac:dyDescent="0.3">
      <c r="A21" s="27" t="s">
        <v>302</v>
      </c>
      <c r="B21" s="27">
        <v>41.6</v>
      </c>
      <c r="C21" s="27" t="s">
        <v>113</v>
      </c>
      <c r="D21" s="27">
        <f t="shared" si="2"/>
        <v>149.74802015838733</v>
      </c>
      <c r="E21" s="27" t="s">
        <v>114</v>
      </c>
      <c r="F21" s="27">
        <f>D21*L3/1000</f>
        <v>2994.9604031677463</v>
      </c>
      <c r="G21" s="27"/>
      <c r="H21" s="27"/>
      <c r="I21" s="27"/>
      <c r="J21" s="27"/>
      <c r="K21" s="27"/>
      <c r="L21" s="27"/>
    </row>
    <row r="22" spans="1:12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3">
      <c r="A23" s="27" t="s">
        <v>304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3">
      <c r="A24" s="27" t="s">
        <v>17</v>
      </c>
      <c r="B24" s="27">
        <v>5881</v>
      </c>
      <c r="C24" s="27" t="s">
        <v>305</v>
      </c>
      <c r="D24" s="27">
        <f>B24*H2</f>
        <v>1633.7418</v>
      </c>
      <c r="E24" s="27" t="s">
        <v>73</v>
      </c>
      <c r="F24" s="27"/>
      <c r="G24" s="27"/>
      <c r="H24" s="27"/>
      <c r="I24" s="27"/>
      <c r="J24" s="27"/>
      <c r="K24" s="27"/>
      <c r="L24" s="27"/>
    </row>
    <row r="25" spans="1:12" x14ac:dyDescent="0.3">
      <c r="A25" s="27" t="s">
        <v>92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 t="s">
        <v>318</v>
      </c>
    </row>
    <row r="26" spans="1:12" x14ac:dyDescent="0.3">
      <c r="A26" s="27" t="s">
        <v>311</v>
      </c>
      <c r="B26" s="27" t="s">
        <v>306</v>
      </c>
      <c r="C26" s="27" t="s">
        <v>307</v>
      </c>
      <c r="D26" s="27" t="s">
        <v>310</v>
      </c>
      <c r="E26" s="27" t="s">
        <v>308</v>
      </c>
      <c r="F26" s="27" t="s">
        <v>309</v>
      </c>
      <c r="G26" s="27"/>
      <c r="H26" s="27"/>
      <c r="I26" s="27" t="s">
        <v>314</v>
      </c>
      <c r="J26" s="27"/>
      <c r="K26" s="27">
        <f>4.08/(4.08+3.69+0.58)</f>
        <v>0.488622754491018</v>
      </c>
      <c r="L26" s="27">
        <v>943</v>
      </c>
    </row>
    <row r="27" spans="1:12" x14ac:dyDescent="0.3">
      <c r="A27" s="27" t="s">
        <v>312</v>
      </c>
      <c r="B27" s="27">
        <f>6*H2</f>
        <v>1.6667999999999998</v>
      </c>
      <c r="C27" s="27">
        <f>283*H2</f>
        <v>78.617400000000004</v>
      </c>
      <c r="D27" s="27">
        <f>38*H2</f>
        <v>10.5564</v>
      </c>
      <c r="E27" s="27">
        <f>1230*H2</f>
        <v>341.69400000000002</v>
      </c>
      <c r="F27" s="27">
        <f>4323*H2</f>
        <v>1200.9294</v>
      </c>
      <c r="G27" s="27" t="s">
        <v>73</v>
      </c>
      <c r="H27" s="27"/>
      <c r="I27" s="27" t="s">
        <v>315</v>
      </c>
      <c r="J27" s="27"/>
      <c r="K27" s="27">
        <f>3.69/(4.08+3.69+0.58)</f>
        <v>0.44191616766467068</v>
      </c>
      <c r="L27" s="27">
        <v>599</v>
      </c>
    </row>
    <row r="28" spans="1:12" x14ac:dyDescent="0.3">
      <c r="A28" s="27" t="s">
        <v>313</v>
      </c>
      <c r="B28" s="27">
        <f>11.5</f>
        <v>11.5</v>
      </c>
      <c r="C28" s="27">
        <v>24</v>
      </c>
      <c r="D28" s="27">
        <v>230</v>
      </c>
      <c r="E28" s="27">
        <v>777.43592814371266</v>
      </c>
      <c r="F28" s="27">
        <v>12</v>
      </c>
      <c r="G28" s="27" t="s">
        <v>114</v>
      </c>
      <c r="H28" s="27"/>
      <c r="I28" s="27" t="s">
        <v>316</v>
      </c>
      <c r="J28" s="27"/>
      <c r="K28" s="27">
        <f>0.58/(4.08+3.69+0.58)</f>
        <v>6.9461077844311381E-2</v>
      </c>
      <c r="L28" s="27">
        <v>748</v>
      </c>
    </row>
    <row r="29" spans="1:12" x14ac:dyDescent="0.3">
      <c r="A29" s="27" t="s">
        <v>318</v>
      </c>
      <c r="B29" s="27">
        <f>B28*B27</f>
        <v>19.168199999999999</v>
      </c>
      <c r="C29" s="27">
        <f t="shared" ref="C29:F29" si="3">C28*C27</f>
        <v>1886.8176000000001</v>
      </c>
      <c r="D29" s="27">
        <f t="shared" si="3"/>
        <v>2427.9720000000002</v>
      </c>
      <c r="E29" s="27">
        <f t="shared" si="3"/>
        <v>265645.19203113776</v>
      </c>
      <c r="F29" s="27">
        <f t="shared" si="3"/>
        <v>14411.1528</v>
      </c>
      <c r="G29" s="27" t="s">
        <v>319</v>
      </c>
      <c r="H29" s="27"/>
      <c r="I29" s="27" t="s">
        <v>317</v>
      </c>
      <c r="J29" s="27"/>
      <c r="K29" s="27"/>
      <c r="L29" s="27">
        <f>(K26*L26)+(K27*L27)+(K28*L28)</f>
        <v>777.43592814371266</v>
      </c>
    </row>
    <row r="30" spans="1:12" x14ac:dyDescent="0.3">
      <c r="A30" s="27" t="s">
        <v>17</v>
      </c>
      <c r="B30" s="27"/>
      <c r="C30" s="27"/>
      <c r="D30" s="27"/>
      <c r="E30" s="27"/>
      <c r="F30" s="27">
        <f>SUM(B29:F29)/1000</f>
        <v>284.39030263113773</v>
      </c>
      <c r="G30" s="27" t="s">
        <v>72</v>
      </c>
      <c r="H30" s="27"/>
      <c r="I30" s="27"/>
      <c r="J30" s="27"/>
      <c r="K30" s="27"/>
      <c r="L30" s="27"/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2"/>
  <sheetViews>
    <sheetView workbookViewId="0">
      <selection activeCell="D9" sqref="D9"/>
    </sheetView>
  </sheetViews>
  <sheetFormatPr defaultRowHeight="14.4" x14ac:dyDescent="0.3"/>
  <sheetData>
    <row r="1" spans="1:15" x14ac:dyDescent="0.3">
      <c r="A1" t="s">
        <v>179</v>
      </c>
      <c r="B1" t="s">
        <v>118</v>
      </c>
      <c r="F1" s="12" t="s">
        <v>269</v>
      </c>
    </row>
    <row r="2" spans="1:15" x14ac:dyDescent="0.3">
      <c r="A2">
        <v>2030</v>
      </c>
      <c r="B2">
        <v>4000</v>
      </c>
      <c r="C2" t="s">
        <v>262</v>
      </c>
    </row>
    <row r="3" spans="1:15" x14ac:dyDescent="0.3">
      <c r="A3">
        <v>2035</v>
      </c>
      <c r="B3">
        <v>3000</v>
      </c>
    </row>
    <row r="5" spans="1:15" x14ac:dyDescent="0.3">
      <c r="A5" t="s">
        <v>35</v>
      </c>
      <c r="B5">
        <v>10</v>
      </c>
      <c r="C5" t="s">
        <v>137</v>
      </c>
      <c r="D5">
        <v>90000</v>
      </c>
    </row>
    <row r="7" spans="1:15" x14ac:dyDescent="0.3">
      <c r="A7" t="s">
        <v>157</v>
      </c>
      <c r="B7">
        <v>190</v>
      </c>
      <c r="C7" t="s">
        <v>265</v>
      </c>
      <c r="D7">
        <f>B7*1000/(D5)</f>
        <v>2.1111111111111112</v>
      </c>
      <c r="E7" t="s">
        <v>114</v>
      </c>
      <c r="F7">
        <v>2030</v>
      </c>
      <c r="I7" t="s">
        <v>328</v>
      </c>
    </row>
    <row r="8" spans="1:15" x14ac:dyDescent="0.3">
      <c r="B8">
        <f>B7*K9</f>
        <v>129.20000000000002</v>
      </c>
      <c r="D8">
        <f>B8*1000/D5</f>
        <v>1.4355555555555557</v>
      </c>
      <c r="F8">
        <v>2040</v>
      </c>
      <c r="I8">
        <v>2010</v>
      </c>
      <c r="J8">
        <v>25</v>
      </c>
      <c r="O8" s="12" t="s">
        <v>268</v>
      </c>
    </row>
    <row r="9" spans="1:15" x14ac:dyDescent="0.3">
      <c r="B9">
        <f>B7*K10</f>
        <v>114</v>
      </c>
      <c r="D9">
        <f>B9*1000/D5</f>
        <v>1.2666666666666666</v>
      </c>
      <c r="F9">
        <v>2040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  <row r="12" spans="1:15" x14ac:dyDescent="0.3">
      <c r="A12" t="s">
        <v>332</v>
      </c>
      <c r="B12" t="s">
        <v>333</v>
      </c>
      <c r="D12" s="12" t="s">
        <v>334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  <hyperlink ref="D12" r:id="rId3" tooltip="Persistent link using digital object identifier" xr:uid="{231620AB-C49F-4E58-9553-F31ACEFD640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C9" sqref="C9"/>
    </sheetView>
  </sheetViews>
  <sheetFormatPr defaultRowHeight="14.4" x14ac:dyDescent="0.3"/>
  <cols>
    <col min="2" max="2" width="10" customWidth="1"/>
  </cols>
  <sheetData>
    <row r="1" spans="1:7" x14ac:dyDescent="0.3">
      <c r="A1" t="s">
        <v>179</v>
      </c>
      <c r="B1" t="s">
        <v>118</v>
      </c>
      <c r="E1" s="12" t="s">
        <v>268</v>
      </c>
    </row>
    <row r="2" spans="1:7" x14ac:dyDescent="0.3">
      <c r="A2">
        <v>2022</v>
      </c>
      <c r="B2">
        <v>7000</v>
      </c>
      <c r="C2" t="s">
        <v>263</v>
      </c>
    </row>
    <row r="3" spans="1:7" x14ac:dyDescent="0.3">
      <c r="A3">
        <v>2030</v>
      </c>
      <c r="B3">
        <v>4000</v>
      </c>
      <c r="C3" t="s">
        <v>264</v>
      </c>
    </row>
    <row r="4" spans="1:7" x14ac:dyDescent="0.3">
      <c r="A4">
        <v>2035</v>
      </c>
      <c r="B4">
        <v>3000</v>
      </c>
    </row>
    <row r="6" spans="1:7" x14ac:dyDescent="0.3">
      <c r="A6" t="s">
        <v>35</v>
      </c>
      <c r="B6">
        <v>2017</v>
      </c>
      <c r="C6">
        <v>7</v>
      </c>
    </row>
    <row r="8" spans="1:7" x14ac:dyDescent="0.3">
      <c r="C8" t="s">
        <v>291</v>
      </c>
    </row>
    <row r="9" spans="1:7" x14ac:dyDescent="0.3">
      <c r="A9" t="s">
        <v>157</v>
      </c>
      <c r="B9" t="s">
        <v>292</v>
      </c>
      <c r="C9">
        <v>60</v>
      </c>
      <c r="D9" t="s">
        <v>265</v>
      </c>
      <c r="E9">
        <f>C9*1000/(8760*$C$6*0.9)</f>
        <v>1.0871928680147858</v>
      </c>
      <c r="F9" t="s">
        <v>266</v>
      </c>
      <c r="G9" s="12" t="s">
        <v>290</v>
      </c>
    </row>
    <row r="10" spans="1:7" x14ac:dyDescent="0.3">
      <c r="B10">
        <v>2020</v>
      </c>
      <c r="C10">
        <f>C9*C14</f>
        <v>40.800000000000004</v>
      </c>
      <c r="D10" t="s">
        <v>265</v>
      </c>
      <c r="E10">
        <f t="shared" ref="E10:E11" si="0">C10*1000/(8760*$C$6*0.9)</f>
        <v>0.73929115025005454</v>
      </c>
    </row>
    <row r="11" spans="1:7" x14ac:dyDescent="0.3">
      <c r="B11" t="s">
        <v>293</v>
      </c>
      <c r="C11">
        <f>C9*C15</f>
        <v>36</v>
      </c>
      <c r="D11" t="s">
        <v>265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268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293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6"/>
  <sheetViews>
    <sheetView workbookViewId="0">
      <selection activeCell="F20" sqref="F20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267</v>
      </c>
      <c r="J1" s="12" t="s">
        <v>274</v>
      </c>
    </row>
    <row r="2" spans="1:18" x14ac:dyDescent="0.3">
      <c r="G2" t="s">
        <v>168</v>
      </c>
    </row>
    <row r="3" spans="1:18" x14ac:dyDescent="0.3">
      <c r="B3" s="2">
        <v>2017</v>
      </c>
      <c r="C3" s="18">
        <v>2025</v>
      </c>
      <c r="D3" s="18"/>
      <c r="E3" s="30">
        <v>2040</v>
      </c>
      <c r="F3" s="30"/>
      <c r="G3" t="s">
        <v>272</v>
      </c>
      <c r="H3" t="s">
        <v>273</v>
      </c>
      <c r="Q3" s="17"/>
      <c r="R3" s="17"/>
    </row>
    <row r="4" spans="1:18" x14ac:dyDescent="0.3">
      <c r="B4" s="2" t="s">
        <v>171</v>
      </c>
      <c r="C4" s="2" t="s">
        <v>160</v>
      </c>
      <c r="D4" s="2" t="s">
        <v>161</v>
      </c>
      <c r="E4" s="2" t="s">
        <v>160</v>
      </c>
      <c r="F4" s="2" t="s">
        <v>161</v>
      </c>
      <c r="Q4" s="17"/>
      <c r="R4" s="17"/>
    </row>
    <row r="5" spans="1:18" x14ac:dyDescent="0.3">
      <c r="A5" s="2" t="s">
        <v>159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162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163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164</v>
      </c>
      <c r="B11" s="2">
        <v>2017</v>
      </c>
      <c r="C11" s="2">
        <v>2025</v>
      </c>
      <c r="D11" s="2">
        <v>2050</v>
      </c>
      <c r="E11" s="2">
        <v>2100</v>
      </c>
      <c r="H11" t="s">
        <v>270</v>
      </c>
      <c r="I11" t="s">
        <v>271</v>
      </c>
    </row>
    <row r="12" spans="1:18" x14ac:dyDescent="0.3">
      <c r="A12" s="2" t="s">
        <v>159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165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166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167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173</v>
      </c>
    </row>
    <row r="18" spans="1:4" x14ac:dyDescent="0.3">
      <c r="A18" t="s">
        <v>170</v>
      </c>
      <c r="B18">
        <v>1307</v>
      </c>
      <c r="C18">
        <v>15.19</v>
      </c>
      <c r="D18">
        <v>0</v>
      </c>
    </row>
    <row r="20" spans="1:4" x14ac:dyDescent="0.3">
      <c r="A20" t="s">
        <v>165</v>
      </c>
      <c r="B20">
        <v>1319</v>
      </c>
      <c r="C20">
        <v>26.22</v>
      </c>
      <c r="D20">
        <v>0</v>
      </c>
    </row>
    <row r="21" spans="1:4" x14ac:dyDescent="0.3">
      <c r="A21" t="s">
        <v>172</v>
      </c>
      <c r="B21">
        <v>5446</v>
      </c>
      <c r="C21">
        <v>109.54</v>
      </c>
      <c r="D21">
        <v>0</v>
      </c>
    </row>
    <row r="23" spans="1:4" x14ac:dyDescent="0.3">
      <c r="A23" t="s">
        <v>275</v>
      </c>
      <c r="B23">
        <v>2019</v>
      </c>
      <c r="C23">
        <v>2050</v>
      </c>
    </row>
    <row r="24" spans="1:4" x14ac:dyDescent="0.3">
      <c r="A24" t="s">
        <v>165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276</v>
      </c>
      <c r="B25">
        <v>5446</v>
      </c>
      <c r="C25">
        <v>2369</v>
      </c>
      <c r="D25">
        <f>C25/B25</f>
        <v>0.43499816378993755</v>
      </c>
    </row>
    <row r="26" spans="1:4" x14ac:dyDescent="0.3">
      <c r="A26" t="s">
        <v>276</v>
      </c>
      <c r="B26">
        <v>5446</v>
      </c>
      <c r="C26">
        <v>2369</v>
      </c>
      <c r="D26">
        <f>C26/B26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L24"/>
  <sheetViews>
    <sheetView workbookViewId="0">
      <selection activeCell="O5" sqref="O5"/>
    </sheetView>
  </sheetViews>
  <sheetFormatPr defaultRowHeight="14.4" x14ac:dyDescent="0.3"/>
  <cols>
    <col min="1" max="1" width="17.5546875" customWidth="1"/>
    <col min="2" max="2" width="13.88671875" customWidth="1"/>
    <col min="4" max="4" width="10" bestFit="1" customWidth="1"/>
    <col min="9" max="9" width="12" bestFit="1" customWidth="1"/>
    <col min="10" max="11" width="11" bestFit="1" customWidth="1"/>
    <col min="12" max="12" width="12" bestFit="1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237</v>
      </c>
      <c r="B6">
        <f>D6*B2/100</f>
        <v>12550</v>
      </c>
      <c r="D6">
        <v>5</v>
      </c>
      <c r="E6" t="s">
        <v>234</v>
      </c>
    </row>
    <row r="8" spans="1:10" x14ac:dyDescent="0.3">
      <c r="B8" t="s">
        <v>365</v>
      </c>
    </row>
    <row r="9" spans="1:10" x14ac:dyDescent="0.3">
      <c r="A9" t="s">
        <v>364</v>
      </c>
      <c r="B9">
        <v>0.21</v>
      </c>
    </row>
    <row r="10" spans="1:10" x14ac:dyDescent="0.3">
      <c r="A10" t="s">
        <v>161</v>
      </c>
      <c r="B10">
        <v>0.9</v>
      </c>
    </row>
    <row r="11" spans="1:10" x14ac:dyDescent="0.3">
      <c r="A11" t="s">
        <v>35</v>
      </c>
      <c r="B11">
        <v>20</v>
      </c>
      <c r="C11" t="s">
        <v>137</v>
      </c>
    </row>
    <row r="12" spans="1:10" x14ac:dyDescent="0.3">
      <c r="A12" t="s">
        <v>228</v>
      </c>
      <c r="B12">
        <v>1000</v>
      </c>
      <c r="C12" t="s">
        <v>229</v>
      </c>
      <c r="D12">
        <f>365.25*B12*B10*B9</f>
        <v>69032.25</v>
      </c>
      <c r="E12" t="s">
        <v>230</v>
      </c>
      <c r="F12">
        <f>D12*B11</f>
        <v>1380645</v>
      </c>
      <c r="G12" t="s">
        <v>231</v>
      </c>
    </row>
    <row r="13" spans="1:10" x14ac:dyDescent="0.3">
      <c r="B13">
        <f>33.33*D12/1000000</f>
        <v>2.3008448925000002</v>
      </c>
      <c r="C13" t="s">
        <v>239</v>
      </c>
      <c r="D13">
        <f>B13*B11</f>
        <v>46.016897850000007</v>
      </c>
      <c r="E13" t="s">
        <v>240</v>
      </c>
    </row>
    <row r="14" spans="1:10" x14ac:dyDescent="0.3">
      <c r="A14" t="s">
        <v>232</v>
      </c>
      <c r="B14">
        <f>222881/1000000</f>
        <v>0.222881</v>
      </c>
      <c r="C14" t="s">
        <v>233</v>
      </c>
    </row>
    <row r="15" spans="1:10" x14ac:dyDescent="0.3">
      <c r="A15" t="s">
        <v>235</v>
      </c>
      <c r="B15">
        <f>B13/(8760*B10)</f>
        <v>2.918372517123288E-4</v>
      </c>
      <c r="C15" t="s">
        <v>133</v>
      </c>
    </row>
    <row r="16" spans="1:10" x14ac:dyDescent="0.3">
      <c r="A16" t="s">
        <v>236</v>
      </c>
      <c r="B16">
        <f>B14/B15</f>
        <v>763.71675888621417</v>
      </c>
      <c r="C16" t="s">
        <v>226</v>
      </c>
    </row>
    <row r="17" spans="1:12" x14ac:dyDescent="0.3">
      <c r="A17" t="s">
        <v>241</v>
      </c>
      <c r="B17">
        <f>B6/B16</f>
        <v>16.432793773312781</v>
      </c>
      <c r="C17" t="s">
        <v>133</v>
      </c>
    </row>
    <row r="18" spans="1:12" x14ac:dyDescent="0.3">
      <c r="A18" t="s">
        <v>86</v>
      </c>
      <c r="B18">
        <f>4.291722</f>
        <v>4.291722</v>
      </c>
      <c r="C18" t="s">
        <v>51</v>
      </c>
      <c r="I18" t="s">
        <v>373</v>
      </c>
    </row>
    <row r="19" spans="1:12" x14ac:dyDescent="0.3">
      <c r="A19" t="s">
        <v>118</v>
      </c>
      <c r="B19">
        <f>B18/B15</f>
        <v>14705.874506488488</v>
      </c>
      <c r="C19" t="s">
        <v>134</v>
      </c>
      <c r="I19" t="s">
        <v>370</v>
      </c>
      <c r="J19" t="s">
        <v>372</v>
      </c>
      <c r="K19" t="s">
        <v>371</v>
      </c>
      <c r="L19" t="s">
        <v>243</v>
      </c>
    </row>
    <row r="20" spans="1:12" x14ac:dyDescent="0.3">
      <c r="A20" t="s">
        <v>238</v>
      </c>
      <c r="B20">
        <f>(B18*1000000)/F12</f>
        <v>3.1084905967862846</v>
      </c>
      <c r="C20" t="s">
        <v>110</v>
      </c>
      <c r="E20" t="s">
        <v>242</v>
      </c>
      <c r="F20">
        <v>3</v>
      </c>
      <c r="G20" t="s">
        <v>243</v>
      </c>
      <c r="I20">
        <f>(B19+(B22*B11))*1000000</f>
        <v>19607832675.317982</v>
      </c>
      <c r="J20">
        <f>B11*8760*B10*1000000</f>
        <v>157680000000</v>
      </c>
      <c r="K20">
        <f>J20/33.33</f>
        <v>4730873087.3087311</v>
      </c>
      <c r="L20">
        <f>I20/K20</f>
        <v>4.1446541290483783</v>
      </c>
    </row>
    <row r="21" spans="1:12" x14ac:dyDescent="0.3">
      <c r="A21" t="s">
        <v>146</v>
      </c>
      <c r="B21">
        <f>F12*F21/(1000000*B11*B15)</f>
        <v>236.54365436543651</v>
      </c>
      <c r="C21" t="s">
        <v>244</v>
      </c>
      <c r="E21" t="s">
        <v>242</v>
      </c>
      <c r="F21">
        <v>1</v>
      </c>
      <c r="G21" t="s">
        <v>243</v>
      </c>
    </row>
    <row r="22" spans="1:12" x14ac:dyDescent="0.3">
      <c r="B22">
        <f>B19/(3*B11)</f>
        <v>245.0979084414748</v>
      </c>
    </row>
    <row r="23" spans="1:12" x14ac:dyDescent="0.3">
      <c r="A23" s="12" t="s">
        <v>258</v>
      </c>
    </row>
    <row r="24" spans="1:12" x14ac:dyDescent="0.3">
      <c r="B24" s="12"/>
    </row>
  </sheetData>
  <hyperlinks>
    <hyperlink ref="A23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D94-F8EE-45E7-8B7E-34AF298F6BD9}">
  <dimension ref="A1:G7"/>
  <sheetViews>
    <sheetView workbookViewId="0">
      <selection activeCell="I29" sqref="I29"/>
    </sheetView>
  </sheetViews>
  <sheetFormatPr defaultRowHeight="14.4" x14ac:dyDescent="0.3"/>
  <cols>
    <col min="1" max="1" width="12.77734375" customWidth="1"/>
    <col min="2" max="2" width="12" bestFit="1" customWidth="1"/>
    <col min="3" max="3" width="10.88671875" customWidth="1"/>
    <col min="5" max="5" width="10.6640625" customWidth="1"/>
    <col min="7" max="7" width="10.88671875" customWidth="1"/>
  </cols>
  <sheetData>
    <row r="1" spans="1:7" x14ac:dyDescent="0.3">
      <c r="A1" t="s">
        <v>385</v>
      </c>
      <c r="B1">
        <f>0.000293071</f>
        <v>2.93071E-4</v>
      </c>
      <c r="C1" t="s">
        <v>22</v>
      </c>
    </row>
    <row r="2" spans="1:7" x14ac:dyDescent="0.3">
      <c r="A2" t="s">
        <v>387</v>
      </c>
      <c r="B2">
        <v>1000000</v>
      </c>
      <c r="C2" t="s">
        <v>51</v>
      </c>
    </row>
    <row r="4" spans="1:7" x14ac:dyDescent="0.3">
      <c r="B4">
        <v>2017</v>
      </c>
      <c r="D4">
        <v>2050</v>
      </c>
      <c r="F4">
        <v>2100</v>
      </c>
    </row>
    <row r="5" spans="1:7" x14ac:dyDescent="0.3">
      <c r="B5" t="s">
        <v>386</v>
      </c>
      <c r="C5" t="s">
        <v>34</v>
      </c>
      <c r="D5" t="s">
        <v>386</v>
      </c>
      <c r="E5" t="s">
        <v>34</v>
      </c>
      <c r="F5" t="s">
        <v>386</v>
      </c>
      <c r="G5" t="s">
        <v>34</v>
      </c>
    </row>
    <row r="6" spans="1:7" x14ac:dyDescent="0.3">
      <c r="A6" t="s">
        <v>39</v>
      </c>
      <c r="B6">
        <f>10/B2</f>
        <v>1.0000000000000001E-5</v>
      </c>
      <c r="C6">
        <f>B6/B1</f>
        <v>3.4121424501230083E-2</v>
      </c>
      <c r="F6">
        <f>40/B2</f>
        <v>4.0000000000000003E-5</v>
      </c>
      <c r="G6">
        <f>F6/B1</f>
        <v>0.13648569800492033</v>
      </c>
    </row>
    <row r="7" spans="1:7" x14ac:dyDescent="0.3">
      <c r="A7" t="s">
        <v>214</v>
      </c>
      <c r="B7">
        <f>12/B2</f>
        <v>1.2E-5</v>
      </c>
      <c r="C7">
        <f>B7/B1</f>
        <v>4.0945709401476092E-2</v>
      </c>
      <c r="F7">
        <f>45/B2</f>
        <v>4.5000000000000003E-5</v>
      </c>
      <c r="G7">
        <f>F7/B1</f>
        <v>0.15354641025553536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F0EE-DD27-4477-ABAB-E77A2AEA500F}">
  <dimension ref="A1:G23"/>
  <sheetViews>
    <sheetView workbookViewId="0">
      <selection activeCell="Z11" sqref="Z11"/>
    </sheetView>
  </sheetViews>
  <sheetFormatPr defaultRowHeight="14.4" x14ac:dyDescent="0.3"/>
  <sheetData>
    <row r="1" spans="1:7" x14ac:dyDescent="0.3">
      <c r="A1" t="s">
        <v>162</v>
      </c>
    </row>
    <row r="2" spans="1:7" x14ac:dyDescent="0.3">
      <c r="D2" t="s">
        <v>395</v>
      </c>
      <c r="E2" t="s">
        <v>396</v>
      </c>
    </row>
    <row r="3" spans="1:7" x14ac:dyDescent="0.3">
      <c r="A3" t="s">
        <v>393</v>
      </c>
      <c r="C3">
        <v>2020</v>
      </c>
      <c r="D3" s="29">
        <f>10.2</f>
        <v>10.199999999999999</v>
      </c>
      <c r="E3">
        <f>D3*E4/D4</f>
        <v>24.157894736842099</v>
      </c>
      <c r="G3" t="s">
        <v>394</v>
      </c>
    </row>
    <row r="4" spans="1:7" x14ac:dyDescent="0.3">
      <c r="A4">
        <v>180</v>
      </c>
      <c r="C4">
        <v>2030</v>
      </c>
      <c r="D4" s="29">
        <f>26.6</f>
        <v>26.6</v>
      </c>
      <c r="E4">
        <f>D4*E5/D5</f>
        <v>63</v>
      </c>
    </row>
    <row r="5" spans="1:7" x14ac:dyDescent="0.3">
      <c r="C5">
        <v>2040</v>
      </c>
      <c r="D5">
        <v>38</v>
      </c>
      <c r="E5">
        <f>D5*E6/D6</f>
        <v>90</v>
      </c>
    </row>
    <row r="6" spans="1:7" x14ac:dyDescent="0.3">
      <c r="C6">
        <v>2100</v>
      </c>
      <c r="D6" s="29">
        <v>76</v>
      </c>
      <c r="E6">
        <v>180</v>
      </c>
    </row>
    <row r="8" spans="1:7" x14ac:dyDescent="0.3">
      <c r="A8" t="s">
        <v>401</v>
      </c>
    </row>
    <row r="10" spans="1:7" x14ac:dyDescent="0.3">
      <c r="A10" t="s">
        <v>393</v>
      </c>
      <c r="D10" t="s">
        <v>395</v>
      </c>
      <c r="E10" t="s">
        <v>396</v>
      </c>
    </row>
    <row r="11" spans="1:7" x14ac:dyDescent="0.3">
      <c r="A11">
        <v>130</v>
      </c>
      <c r="C11">
        <v>2030</v>
      </c>
      <c r="D11" s="29">
        <v>5.8</v>
      </c>
      <c r="E11">
        <f>D11*E12/D12</f>
        <v>19.842105263157897</v>
      </c>
    </row>
    <row r="12" spans="1:7" x14ac:dyDescent="0.3">
      <c r="C12">
        <v>2040</v>
      </c>
      <c r="D12" s="29">
        <v>15</v>
      </c>
      <c r="E12">
        <f>D12*E13/D13</f>
        <v>51.315789473684212</v>
      </c>
    </row>
    <row r="13" spans="1:7" x14ac:dyDescent="0.3">
      <c r="C13">
        <v>2050</v>
      </c>
      <c r="D13" s="29">
        <v>19</v>
      </c>
      <c r="E13">
        <f>D13*E14/D14</f>
        <v>65</v>
      </c>
    </row>
    <row r="14" spans="1:7" x14ac:dyDescent="0.3">
      <c r="C14">
        <v>2100</v>
      </c>
      <c r="D14" s="29">
        <f>2*D13</f>
        <v>38</v>
      </c>
      <c r="E14">
        <v>130</v>
      </c>
    </row>
    <row r="17" spans="1:5" x14ac:dyDescent="0.3">
      <c r="A17" t="s">
        <v>402</v>
      </c>
    </row>
    <row r="19" spans="1:5" x14ac:dyDescent="0.3">
      <c r="A19" t="s">
        <v>393</v>
      </c>
      <c r="D19" t="s">
        <v>395</v>
      </c>
      <c r="E19" t="s">
        <v>396</v>
      </c>
    </row>
    <row r="20" spans="1:5" x14ac:dyDescent="0.3">
      <c r="A20">
        <v>260</v>
      </c>
      <c r="C20">
        <v>2030</v>
      </c>
      <c r="D20" s="29">
        <v>3.8</v>
      </c>
      <c r="E20">
        <f>D20*E21/D21</f>
        <v>27.444444444444446</v>
      </c>
    </row>
    <row r="21" spans="1:5" x14ac:dyDescent="0.3">
      <c r="C21">
        <v>2040</v>
      </c>
      <c r="D21" s="29">
        <v>12.9</v>
      </c>
      <c r="E21">
        <f>D21*E22/D22</f>
        <v>93.166666666666671</v>
      </c>
    </row>
    <row r="22" spans="1:5" x14ac:dyDescent="0.3">
      <c r="C22">
        <v>2050</v>
      </c>
      <c r="D22" s="29">
        <v>18</v>
      </c>
      <c r="E22">
        <f>D22*E23/D23</f>
        <v>130</v>
      </c>
    </row>
    <row r="23" spans="1:5" x14ac:dyDescent="0.3">
      <c r="C23">
        <v>2100</v>
      </c>
      <c r="D23">
        <f>2*D22</f>
        <v>36</v>
      </c>
      <c r="E23">
        <f>A20</f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opLeftCell="A10" workbookViewId="0">
      <selection activeCell="A38" sqref="A34:C38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30" t="s">
        <v>188</v>
      </c>
      <c r="K3" s="30"/>
      <c r="L3" s="30"/>
      <c r="M3" s="30"/>
      <c r="N3" s="30"/>
      <c r="O3" s="30"/>
      <c r="P3" s="30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201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202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199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200</v>
      </c>
      <c r="B13">
        <f>1/B36</f>
        <v>2500</v>
      </c>
      <c r="C13">
        <f>1/B35</f>
        <v>1061.5711252653928</v>
      </c>
      <c r="E13" t="s">
        <v>198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204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191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213</v>
      </c>
      <c r="C17" t="s">
        <v>214</v>
      </c>
      <c r="J17" s="30" t="s">
        <v>193</v>
      </c>
      <c r="K17" s="30"/>
      <c r="L17" s="30"/>
      <c r="M17" s="30"/>
      <c r="N17" s="30"/>
      <c r="O17" s="30"/>
      <c r="P17" s="30"/>
    </row>
    <row r="18" spans="1:16" x14ac:dyDescent="0.3">
      <c r="A18" s="2" t="s">
        <v>181</v>
      </c>
      <c r="B18">
        <v>75</v>
      </c>
      <c r="C18">
        <v>41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215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185</v>
      </c>
      <c r="B29" s="20">
        <v>4091</v>
      </c>
      <c r="C29" s="20">
        <v>59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61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207</v>
      </c>
      <c r="B31" s="20">
        <v>764</v>
      </c>
      <c r="C31" s="20">
        <v>4</v>
      </c>
      <c r="D31">
        <v>4.084030751199931E-2</v>
      </c>
      <c r="E31">
        <v>0.7</v>
      </c>
      <c r="J31" s="30" t="s">
        <v>194</v>
      </c>
      <c r="K31" s="30"/>
      <c r="L31" s="30"/>
      <c r="M31" s="30"/>
      <c r="N31" s="30"/>
      <c r="O31" s="30"/>
      <c r="P31" s="30"/>
    </row>
    <row r="32" spans="1:16" x14ac:dyDescent="0.3">
      <c r="A32" s="2" t="s">
        <v>210</v>
      </c>
      <c r="B32" s="2">
        <f>2*B31</f>
        <v>1528</v>
      </c>
      <c r="C32" s="21">
        <v>4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187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185</v>
      </c>
      <c r="B35" s="21">
        <f>942/1000000</f>
        <v>9.4200000000000002E-4</v>
      </c>
      <c r="C35" t="s">
        <v>62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61</v>
      </c>
      <c r="B36" s="21">
        <f>400/1000000</f>
        <v>4.0000000000000002E-4</v>
      </c>
      <c r="C36" t="s">
        <v>62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111</v>
      </c>
      <c r="B37" s="21">
        <f>313/1000000</f>
        <v>3.1300000000000002E-4</v>
      </c>
      <c r="C37" t="s">
        <v>62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A39" t="s">
        <v>346</v>
      </c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7.3561008613171996E-2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174</v>
      </c>
      <c r="B1" s="2" t="s">
        <v>179</v>
      </c>
      <c r="C1" s="2" t="s">
        <v>176</v>
      </c>
      <c r="D1" s="2" t="s">
        <v>177</v>
      </c>
      <c r="E1" s="2" t="s">
        <v>178</v>
      </c>
    </row>
    <row r="2" spans="1:5" x14ac:dyDescent="0.3">
      <c r="A2" t="s">
        <v>175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63</v>
      </c>
      <c r="I2" t="s">
        <v>28</v>
      </c>
      <c r="K2">
        <f>1/110</f>
        <v>9.0909090909090905E-3</v>
      </c>
      <c r="L2" t="s">
        <v>83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65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64</v>
      </c>
      <c r="K4">
        <f>G3*I4</f>
        <v>1395.7449839999999</v>
      </c>
      <c r="L4" t="s">
        <v>66</v>
      </c>
      <c r="M4">
        <f>G4*G3</f>
        <v>33.335999999999999</v>
      </c>
      <c r="N4" t="s">
        <v>3</v>
      </c>
    </row>
    <row r="5" spans="1:16" x14ac:dyDescent="0.3">
      <c r="E5" t="s">
        <v>75</v>
      </c>
      <c r="G5">
        <v>9.31</v>
      </c>
      <c r="H5" t="s">
        <v>76</v>
      </c>
      <c r="I5">
        <f>G5/M4</f>
        <v>0.27927765778737701</v>
      </c>
      <c r="J5" t="s">
        <v>77</v>
      </c>
    </row>
    <row r="7" spans="1:16" x14ac:dyDescent="0.3">
      <c r="A7" s="2" t="s">
        <v>35</v>
      </c>
      <c r="B7" t="s">
        <v>102</v>
      </c>
      <c r="C7" s="12" t="s">
        <v>101</v>
      </c>
      <c r="K7" s="1" t="s">
        <v>78</v>
      </c>
      <c r="L7" s="11"/>
      <c r="O7" s="1"/>
    </row>
    <row r="8" spans="1:16" x14ac:dyDescent="0.3">
      <c r="K8" t="s">
        <v>79</v>
      </c>
      <c r="L8" s="11">
        <v>1538396</v>
      </c>
      <c r="M8" t="s">
        <v>67</v>
      </c>
      <c r="N8" s="11">
        <f>G2*L8</f>
        <v>64411102.123999998</v>
      </c>
      <c r="O8" t="s">
        <v>68</v>
      </c>
    </row>
    <row r="9" spans="1:16" x14ac:dyDescent="0.3">
      <c r="A9" s="2" t="s">
        <v>74</v>
      </c>
      <c r="B9">
        <f>186*1000000</f>
        <v>186000000</v>
      </c>
      <c r="C9" t="s">
        <v>87</v>
      </c>
      <c r="K9" t="s">
        <v>69</v>
      </c>
      <c r="L9" s="11">
        <v>1141251</v>
      </c>
      <c r="M9" t="s">
        <v>73</v>
      </c>
      <c r="P9" s="10"/>
    </row>
    <row r="10" spans="1:16" x14ac:dyDescent="0.3">
      <c r="B10">
        <f>B9*K2</f>
        <v>1690909.0909090908</v>
      </c>
      <c r="C10" t="s">
        <v>84</v>
      </c>
      <c r="D10">
        <f>B10/L11</f>
        <v>0.41378551295067767</v>
      </c>
      <c r="E10" t="s">
        <v>90</v>
      </c>
      <c r="F10">
        <f>B10/N11</f>
        <v>3624.7610934479362</v>
      </c>
      <c r="G10" t="s">
        <v>91</v>
      </c>
      <c r="J10" s="31" t="s">
        <v>80</v>
      </c>
      <c r="K10" s="31"/>
      <c r="L10" s="11">
        <f>L9/G5</f>
        <v>122583.35123523093</v>
      </c>
      <c r="M10" t="s">
        <v>72</v>
      </c>
    </row>
    <row r="11" spans="1:16" x14ac:dyDescent="0.3">
      <c r="J11" s="31" t="s">
        <v>81</v>
      </c>
      <c r="K11" s="31"/>
      <c r="L11" s="11">
        <f>M4*L10</f>
        <v>4086438.5967776584</v>
      </c>
      <c r="M11" t="s">
        <v>73</v>
      </c>
      <c r="N11" s="11">
        <f>L11/8760</f>
        <v>466.48842428968703</v>
      </c>
      <c r="O11" t="s">
        <v>88</v>
      </c>
    </row>
    <row r="12" spans="1:16" x14ac:dyDescent="0.3">
      <c r="A12" s="2" t="s">
        <v>96</v>
      </c>
      <c r="H12" t="s">
        <v>112</v>
      </c>
      <c r="K12" t="s">
        <v>107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72</v>
      </c>
      <c r="D13" s="11">
        <f>114*B13</f>
        <v>50375460</v>
      </c>
      <c r="E13" t="s">
        <v>82</v>
      </c>
      <c r="F13" s="11">
        <f>D13*$K$2</f>
        <v>457958.72727272724</v>
      </c>
      <c r="G13" t="s">
        <v>84</v>
      </c>
      <c r="H13" s="11">
        <f>B13*53*G3</f>
        <v>6506123.2259999998</v>
      </c>
      <c r="L13" s="11"/>
    </row>
    <row r="14" spans="1:16" x14ac:dyDescent="0.3">
      <c r="A14" t="s">
        <v>70</v>
      </c>
      <c r="B14">
        <v>3428000</v>
      </c>
      <c r="C14" t="s">
        <v>72</v>
      </c>
      <c r="D14" s="11">
        <f>300*B14</f>
        <v>1028400000</v>
      </c>
      <c r="E14" t="s">
        <v>82</v>
      </c>
      <c r="F14" s="11">
        <f>D14*$K$2</f>
        <v>9349090.9090909082</v>
      </c>
      <c r="G14" t="s">
        <v>84</v>
      </c>
    </row>
    <row r="15" spans="1:16" x14ac:dyDescent="0.3">
      <c r="A15" t="s">
        <v>71</v>
      </c>
      <c r="B15">
        <v>1714000</v>
      </c>
      <c r="C15" t="s">
        <v>72</v>
      </c>
      <c r="D15" s="11">
        <f>B15*200</f>
        <v>342800000</v>
      </c>
      <c r="E15" t="s">
        <v>82</v>
      </c>
      <c r="F15" s="11">
        <f>D15*$K$2</f>
        <v>3116363.6363636362</v>
      </c>
      <c r="G15" t="s">
        <v>84</v>
      </c>
    </row>
    <row r="16" spans="1:16" x14ac:dyDescent="0.3">
      <c r="A16" t="s">
        <v>30</v>
      </c>
      <c r="B16" s="1"/>
      <c r="D16" s="11">
        <f>SUM(D13:D15)</f>
        <v>1421575460</v>
      </c>
      <c r="F16" s="11">
        <f>SUM(F13:F15)</f>
        <v>12923413.272727272</v>
      </c>
      <c r="G16" t="s">
        <v>84</v>
      </c>
    </row>
    <row r="17" spans="1:10" x14ac:dyDescent="0.3">
      <c r="A17" t="s">
        <v>86</v>
      </c>
      <c r="B17">
        <f>F16/L11</f>
        <v>3.1625125317967502</v>
      </c>
      <c r="C17" t="s">
        <v>85</v>
      </c>
      <c r="D17" s="3"/>
    </row>
    <row r="19" spans="1:10" x14ac:dyDescent="0.3">
      <c r="A19" s="2" t="s">
        <v>97</v>
      </c>
    </row>
    <row r="20" spans="1:10" x14ac:dyDescent="0.3">
      <c r="A20" t="s">
        <v>98</v>
      </c>
      <c r="B20">
        <f>7000000*1.5</f>
        <v>10500000</v>
      </c>
      <c r="C20" t="s">
        <v>99</v>
      </c>
    </row>
    <row r="21" spans="1:10" x14ac:dyDescent="0.3">
      <c r="A21" t="s">
        <v>100</v>
      </c>
      <c r="B21">
        <f>0.03*B9/20</f>
        <v>279000</v>
      </c>
      <c r="C21" t="s">
        <v>99</v>
      </c>
      <c r="D21" s="3"/>
    </row>
    <row r="22" spans="1:10" x14ac:dyDescent="0.3">
      <c r="A22" t="s">
        <v>103</v>
      </c>
      <c r="B22">
        <f>0.0077*0.55*B9/20</f>
        <v>39385.5</v>
      </c>
      <c r="C22" t="s">
        <v>99</v>
      </c>
    </row>
    <row r="23" spans="1:10" x14ac:dyDescent="0.3">
      <c r="A23" t="s">
        <v>104</v>
      </c>
      <c r="B23">
        <f>0.014*0.55*B9/20</f>
        <v>71610.000000000015</v>
      </c>
      <c r="C23" t="s">
        <v>99</v>
      </c>
      <c r="G23" t="s">
        <v>109</v>
      </c>
      <c r="I23" t="s">
        <v>108</v>
      </c>
    </row>
    <row r="24" spans="1:10" x14ac:dyDescent="0.3">
      <c r="A24" t="s">
        <v>17</v>
      </c>
      <c r="B24">
        <f>SUM(B20:B23)</f>
        <v>10889995.5</v>
      </c>
      <c r="C24" t="s">
        <v>99</v>
      </c>
      <c r="D24">
        <f>B24*K2</f>
        <v>98999.959090909091</v>
      </c>
      <c r="E24" t="s">
        <v>105</v>
      </c>
      <c r="G24">
        <v>1690909.0909090908</v>
      </c>
      <c r="I24">
        <f>4086438.59677766*20</f>
        <v>81728771.935553193</v>
      </c>
      <c r="J24" t="s">
        <v>73</v>
      </c>
    </row>
    <row r="25" spans="1:10" x14ac:dyDescent="0.3">
      <c r="A25" t="s">
        <v>106</v>
      </c>
      <c r="D25">
        <f>D24/N11</f>
        <v>212.22382793668336</v>
      </c>
      <c r="E25" t="s">
        <v>91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89</v>
      </c>
    </row>
    <row r="29" spans="1:10" x14ac:dyDescent="0.3">
      <c r="A29" t="s">
        <v>92</v>
      </c>
      <c r="B29">
        <v>133</v>
      </c>
      <c r="C29" t="s">
        <v>95</v>
      </c>
      <c r="D29" s="8">
        <f>B29/1000000</f>
        <v>1.3300000000000001E-4</v>
      </c>
      <c r="E29" t="s">
        <v>62</v>
      </c>
    </row>
    <row r="30" spans="1:10" x14ac:dyDescent="0.3">
      <c r="A30" t="s">
        <v>93</v>
      </c>
      <c r="B30" s="12" t="s">
        <v>94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G41" sqref="G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26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29</v>
      </c>
      <c r="G2" t="s">
        <v>27</v>
      </c>
      <c r="I2" s="5">
        <f>70.8/(1.8*1000000000)</f>
        <v>3.9333333333333335E-8</v>
      </c>
      <c r="J2" t="s">
        <v>36</v>
      </c>
      <c r="L2" t="s">
        <v>28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30</v>
      </c>
      <c r="H3" s="7"/>
      <c r="I3" s="2" t="s">
        <v>55</v>
      </c>
      <c r="Q3" s="2" t="s">
        <v>33</v>
      </c>
    </row>
    <row r="4" spans="1:17" ht="15" customHeight="1" x14ac:dyDescent="0.3">
      <c r="A4" s="2" t="s">
        <v>5</v>
      </c>
      <c r="B4" s="2" t="s">
        <v>32</v>
      </c>
      <c r="C4" s="2" t="s">
        <v>42</v>
      </c>
      <c r="D4" s="2" t="s">
        <v>41</v>
      </c>
      <c r="E4" s="2" t="s">
        <v>58</v>
      </c>
      <c r="F4" s="2" t="s">
        <v>57</v>
      </c>
      <c r="G4" s="2" t="s">
        <v>31</v>
      </c>
      <c r="H4" s="2" t="s">
        <v>9</v>
      </c>
      <c r="I4" s="2" t="s">
        <v>21</v>
      </c>
      <c r="J4" s="2"/>
      <c r="K4" s="2"/>
      <c r="L4" s="2" t="s">
        <v>22</v>
      </c>
      <c r="M4" s="2" t="s">
        <v>43</v>
      </c>
      <c r="N4" s="2" t="s">
        <v>4</v>
      </c>
      <c r="O4" s="2" t="s">
        <v>53</v>
      </c>
      <c r="P4" s="2" t="s">
        <v>52</v>
      </c>
      <c r="Q4" s="2" t="s">
        <v>34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44</v>
      </c>
      <c r="O5" t="s">
        <v>54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40</v>
      </c>
      <c r="L6" s="6">
        <f>0.33*L5</f>
        <v>1.8373097447589444</v>
      </c>
      <c r="N6" t="s">
        <v>45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59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56</v>
      </c>
      <c r="K7" t="s">
        <v>46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37</v>
      </c>
      <c r="F11" t="s">
        <v>38</v>
      </c>
      <c r="G11">
        <f>60*N2/(1000000*I2*M5)</f>
        <v>0.44712301033802088</v>
      </c>
    </row>
    <row r="12" spans="1:17" x14ac:dyDescent="0.3">
      <c r="G12" t="s">
        <v>34</v>
      </c>
    </row>
    <row r="14" spans="1:17" x14ac:dyDescent="0.3">
      <c r="A14" t="s">
        <v>39</v>
      </c>
      <c r="B14">
        <v>55.5</v>
      </c>
      <c r="C14" t="s">
        <v>2</v>
      </c>
      <c r="D14" s="2" t="s">
        <v>47</v>
      </c>
      <c r="E14" t="s">
        <v>34</v>
      </c>
      <c r="F14" t="s">
        <v>51</v>
      </c>
      <c r="G14" t="s">
        <v>50</v>
      </c>
    </row>
    <row r="15" spans="1:17" x14ac:dyDescent="0.3">
      <c r="B15">
        <f>55.5*0.277777778</f>
        <v>15.416666678999999</v>
      </c>
      <c r="C15" t="s">
        <v>3</v>
      </c>
      <c r="D15" t="s">
        <v>48</v>
      </c>
      <c r="E15">
        <f>G5/D5</f>
        <v>0.19942997527043146</v>
      </c>
      <c r="F15">
        <v>0.44834159400000001</v>
      </c>
    </row>
    <row r="16" spans="1:17" x14ac:dyDescent="0.3">
      <c r="D16" t="s">
        <v>49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M39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3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3" x14ac:dyDescent="0.3">
      <c r="A2" s="2"/>
      <c r="B2" s="2"/>
      <c r="C2" s="9">
        <v>0.27779999999999999</v>
      </c>
      <c r="D2" s="2" t="s">
        <v>65</v>
      </c>
      <c r="E2" s="2"/>
      <c r="F2" s="2"/>
      <c r="G2" s="2"/>
    </row>
    <row r="3" spans="1:13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</row>
    <row r="4" spans="1:13" x14ac:dyDescent="0.3">
      <c r="A4" t="s">
        <v>75</v>
      </c>
      <c r="B4">
        <f>C3*C2</f>
        <v>33.335999999999999</v>
      </c>
      <c r="C4" t="s">
        <v>76</v>
      </c>
    </row>
    <row r="5" spans="1:13" x14ac:dyDescent="0.3">
      <c r="A5" s="14" t="s">
        <v>16</v>
      </c>
      <c r="B5" s="14">
        <v>0</v>
      </c>
      <c r="C5" s="14" t="s">
        <v>3</v>
      </c>
      <c r="D5" t="s">
        <v>374</v>
      </c>
    </row>
    <row r="6" spans="1:13" x14ac:dyDescent="0.3">
      <c r="A6" s="2"/>
      <c r="B6">
        <f>B4-B5</f>
        <v>33.335999999999999</v>
      </c>
      <c r="C6" t="s">
        <v>3</v>
      </c>
      <c r="G6" t="s">
        <v>118</v>
      </c>
      <c r="H6">
        <v>450</v>
      </c>
      <c r="I6" t="s">
        <v>405</v>
      </c>
    </row>
    <row r="7" spans="1:13" x14ac:dyDescent="0.3">
      <c r="A7" s="14" t="s">
        <v>404</v>
      </c>
      <c r="B7" s="14">
        <f>133.815</f>
        <v>133.815</v>
      </c>
      <c r="C7" s="14" t="s">
        <v>119</v>
      </c>
      <c r="G7" t="s">
        <v>406</v>
      </c>
      <c r="H7">
        <f>0.05*H6</f>
        <v>22.5</v>
      </c>
      <c r="I7" t="s">
        <v>407</v>
      </c>
    </row>
    <row r="8" spans="1:13" x14ac:dyDescent="0.3">
      <c r="A8" t="s">
        <v>366</v>
      </c>
      <c r="B8">
        <v>44.1</v>
      </c>
      <c r="C8" t="s">
        <v>127</v>
      </c>
      <c r="G8" t="s">
        <v>17</v>
      </c>
      <c r="H8">
        <f>H6+(H7*B14)</f>
        <v>900</v>
      </c>
    </row>
    <row r="9" spans="1:13" x14ac:dyDescent="0.3">
      <c r="A9" t="s">
        <v>109</v>
      </c>
      <c r="B9">
        <f>(133815+(B14*70004))*1000</f>
        <v>1533895000</v>
      </c>
      <c r="C9" t="s">
        <v>140</v>
      </c>
    </row>
    <row r="10" spans="1:13" x14ac:dyDescent="0.3">
      <c r="A10" t="s">
        <v>217</v>
      </c>
      <c r="B10">
        <f>B9/B8</f>
        <v>34782199.54648526</v>
      </c>
      <c r="C10" t="s">
        <v>138</v>
      </c>
    </row>
    <row r="11" spans="1:13" x14ac:dyDescent="0.3">
      <c r="A11" t="s">
        <v>218</v>
      </c>
      <c r="B11">
        <f>B10/(B14*1000)</f>
        <v>1739.1099773242629</v>
      </c>
      <c r="C11" t="s">
        <v>117</v>
      </c>
    </row>
    <row r="12" spans="1:13" x14ac:dyDescent="0.3">
      <c r="A12" t="s">
        <v>219</v>
      </c>
      <c r="B12">
        <f>B11/8760</f>
        <v>0.19852853622423092</v>
      </c>
      <c r="C12" t="s">
        <v>133</v>
      </c>
    </row>
    <row r="13" spans="1:13" x14ac:dyDescent="0.3">
      <c r="A13" s="15" t="s">
        <v>118</v>
      </c>
      <c r="B13" s="15">
        <f>B7*1.1/B12</f>
        <v>741.43749205780068</v>
      </c>
      <c r="C13" s="15" t="s">
        <v>134</v>
      </c>
    </row>
    <row r="14" spans="1:13" x14ac:dyDescent="0.3">
      <c r="A14" s="2" t="s">
        <v>35</v>
      </c>
      <c r="B14">
        <v>20</v>
      </c>
      <c r="C14" t="s">
        <v>137</v>
      </c>
      <c r="D14" s="12" t="s">
        <v>403</v>
      </c>
    </row>
    <row r="17" spans="1:11" x14ac:dyDescent="0.3">
      <c r="A17" t="s">
        <v>115</v>
      </c>
      <c r="B17">
        <v>2.5</v>
      </c>
      <c r="C17" t="s">
        <v>116</v>
      </c>
      <c r="D17">
        <f>B17*(365*24*60*60)</f>
        <v>78840000</v>
      </c>
      <c r="E17" t="s">
        <v>68</v>
      </c>
      <c r="F17">
        <f>D17*B6</f>
        <v>2628210240</v>
      </c>
      <c r="G17" t="s">
        <v>117</v>
      </c>
      <c r="I17">
        <f>F17/8760</f>
        <v>300024</v>
      </c>
      <c r="J17" t="s">
        <v>133</v>
      </c>
    </row>
    <row r="18" spans="1:11" x14ac:dyDescent="0.3">
      <c r="A18" t="s">
        <v>195</v>
      </c>
      <c r="B18">
        <v>24</v>
      </c>
      <c r="C18" t="s">
        <v>116</v>
      </c>
      <c r="D18">
        <f>B18*B14*365*24*3600/1000000000</f>
        <v>15.137280000000001</v>
      </c>
    </row>
    <row r="21" spans="1:11" x14ac:dyDescent="0.3">
      <c r="A21" s="2" t="s">
        <v>121</v>
      </c>
      <c r="D21" s="2" t="s">
        <v>126</v>
      </c>
      <c r="F21" s="2" t="s">
        <v>135</v>
      </c>
    </row>
    <row r="22" spans="1:11" x14ac:dyDescent="0.3">
      <c r="A22" t="s">
        <v>122</v>
      </c>
      <c r="B22">
        <f>61753*1000</f>
        <v>61753000</v>
      </c>
      <c r="C22" t="s">
        <v>125</v>
      </c>
      <c r="D22">
        <v>20</v>
      </c>
      <c r="E22" t="s">
        <v>127</v>
      </c>
      <c r="F22">
        <f>B22/(D22*1000)</f>
        <v>3087.65</v>
      </c>
      <c r="G22" t="s">
        <v>22</v>
      </c>
      <c r="K22" s="15"/>
    </row>
    <row r="23" spans="1:11" x14ac:dyDescent="0.3">
      <c r="A23" t="s">
        <v>124</v>
      </c>
      <c r="B23">
        <v>1089000</v>
      </c>
      <c r="C23" t="s">
        <v>125</v>
      </c>
      <c r="D23">
        <f>B23/1000000</f>
        <v>1.089</v>
      </c>
      <c r="E23" t="s">
        <v>131</v>
      </c>
      <c r="F23" s="2"/>
    </row>
    <row r="24" spans="1:11" x14ac:dyDescent="0.3">
      <c r="A24" t="s">
        <v>128</v>
      </c>
      <c r="B24">
        <v>12</v>
      </c>
      <c r="C24" t="s">
        <v>116</v>
      </c>
      <c r="D24">
        <f>B24*(365*24*60*60)</f>
        <v>378432000</v>
      </c>
      <c r="E24" t="s">
        <v>68</v>
      </c>
      <c r="F24">
        <f>D24*0.3</f>
        <v>113529600</v>
      </c>
      <c r="G24" t="s">
        <v>99</v>
      </c>
      <c r="H24">
        <f>F24*G1/(1000000)</f>
        <v>1.0320872727272727</v>
      </c>
      <c r="I24" t="s">
        <v>129</v>
      </c>
      <c r="J24">
        <f>H24/I1</f>
        <v>0.93826115702479329</v>
      </c>
      <c r="K24" t="s">
        <v>131</v>
      </c>
    </row>
    <row r="26" spans="1:11" x14ac:dyDescent="0.3">
      <c r="A26" s="2" t="s">
        <v>153</v>
      </c>
      <c r="B26">
        <f>(B22/1000000)+J24</f>
        <v>62.69126115702479</v>
      </c>
      <c r="C26" t="s">
        <v>131</v>
      </c>
      <c r="D26">
        <f>B26*I1</f>
        <v>68.960387272727274</v>
      </c>
      <c r="E26" t="s">
        <v>129</v>
      </c>
      <c r="F26" s="15">
        <f>D26/B11</f>
        <v>3.9652689117928845E-2</v>
      </c>
      <c r="G26" t="s">
        <v>34</v>
      </c>
    </row>
    <row r="27" spans="1:11" x14ac:dyDescent="0.3">
      <c r="A27" s="13" t="s">
        <v>143</v>
      </c>
    </row>
    <row r="29" spans="1:11" x14ac:dyDescent="0.3">
      <c r="A29" s="2" t="s">
        <v>132</v>
      </c>
      <c r="B29">
        <f>D23</f>
        <v>1.089</v>
      </c>
      <c r="C29" t="s">
        <v>131</v>
      </c>
      <c r="D29">
        <f>B29*I1</f>
        <v>1.1979</v>
      </c>
      <c r="E29" t="s">
        <v>129</v>
      </c>
      <c r="F29" s="15">
        <f>D29/B12</f>
        <v>6.0338932769192164</v>
      </c>
      <c r="G29" t="s">
        <v>134</v>
      </c>
    </row>
    <row r="30" spans="1:11" x14ac:dyDescent="0.3">
      <c r="A30" s="14" t="s">
        <v>154</v>
      </c>
    </row>
    <row r="32" spans="1:11" x14ac:dyDescent="0.3">
      <c r="A32" s="2" t="s">
        <v>383</v>
      </c>
    </row>
    <row r="33" spans="1:5" x14ac:dyDescent="0.3">
      <c r="A33" t="s">
        <v>359</v>
      </c>
      <c r="B33">
        <v>30</v>
      </c>
      <c r="C33" t="s">
        <v>127</v>
      </c>
    </row>
    <row r="34" spans="1:5" x14ac:dyDescent="0.3">
      <c r="A34" t="s">
        <v>384</v>
      </c>
      <c r="B34">
        <v>1064000</v>
      </c>
      <c r="C34" t="s">
        <v>125</v>
      </c>
      <c r="D34">
        <f>B34/(B33*1000)</f>
        <v>35.466666666666669</v>
      </c>
      <c r="E34" t="s">
        <v>117</v>
      </c>
    </row>
    <row r="35" spans="1:5" x14ac:dyDescent="0.3">
      <c r="A35" t="s">
        <v>383</v>
      </c>
      <c r="B35" s="15">
        <f>D34/(F22+D34)</f>
        <v>1.1356177322866581E-2</v>
      </c>
    </row>
    <row r="37" spans="1:5" x14ac:dyDescent="0.3">
      <c r="A37" s="2"/>
    </row>
    <row r="38" spans="1:5" x14ac:dyDescent="0.3">
      <c r="A38" s="2"/>
    </row>
    <row r="39" spans="1:5" x14ac:dyDescent="0.3">
      <c r="A39" s="23"/>
      <c r="B39" s="22"/>
      <c r="C39" s="22"/>
      <c r="D39" s="22"/>
    </row>
  </sheetData>
  <hyperlinks>
    <hyperlink ref="M1" r:id="rId1" xr:uid="{E2B26766-48C9-476C-9577-B9DD82383664}"/>
    <hyperlink ref="D14" r:id="rId2" xr:uid="{C435BC4A-77B0-4536-9CEB-EFCBE8814B4A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Q35"/>
  <sheetViews>
    <sheetView workbookViewId="0">
      <selection activeCell="O18" sqref="O18"/>
    </sheetView>
  </sheetViews>
  <sheetFormatPr defaultRowHeight="14.4" x14ac:dyDescent="0.3"/>
  <cols>
    <col min="1" max="1" width="14.6640625" customWidth="1"/>
    <col min="2" max="2" width="12" bestFit="1" customWidth="1"/>
    <col min="3" max="3" width="10.88671875" customWidth="1"/>
    <col min="4" max="4" width="10.44140625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7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7" x14ac:dyDescent="0.3">
      <c r="A2" s="2"/>
      <c r="B2" s="2"/>
      <c r="C2" s="9">
        <v>0.27779999999999999</v>
      </c>
      <c r="D2" s="2" t="s">
        <v>65</v>
      </c>
      <c r="E2" s="2"/>
      <c r="F2" s="2"/>
      <c r="G2" s="2"/>
      <c r="H2" s="2"/>
      <c r="I2" s="2"/>
      <c r="J2" s="2"/>
    </row>
    <row r="3" spans="1:17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  <c r="I3">
        <f>C3*C2</f>
        <v>33.335999999999999</v>
      </c>
      <c r="J3" t="s">
        <v>3</v>
      </c>
    </row>
    <row r="4" spans="1:17" x14ac:dyDescent="0.3">
      <c r="A4" t="s">
        <v>75</v>
      </c>
      <c r="C4">
        <v>9.31</v>
      </c>
      <c r="D4" t="s">
        <v>76</v>
      </c>
      <c r="E4">
        <f>C4/I3</f>
        <v>0.27927765778737701</v>
      </c>
      <c r="F4" t="s">
        <v>77</v>
      </c>
    </row>
    <row r="5" spans="1:17" x14ac:dyDescent="0.3">
      <c r="A5" t="s">
        <v>152</v>
      </c>
      <c r="B5">
        <v>0.7</v>
      </c>
      <c r="N5" s="2"/>
      <c r="O5" s="2"/>
      <c r="P5" s="9">
        <v>0.27779999999999999</v>
      </c>
      <c r="Q5" s="2" t="s">
        <v>65</v>
      </c>
    </row>
    <row r="6" spans="1:17" x14ac:dyDescent="0.3">
      <c r="A6" s="2" t="s">
        <v>35</v>
      </c>
      <c r="B6">
        <v>20</v>
      </c>
      <c r="C6" t="s">
        <v>137</v>
      </c>
      <c r="N6" t="s">
        <v>1</v>
      </c>
      <c r="P6">
        <v>120</v>
      </c>
      <c r="Q6" t="s">
        <v>2</v>
      </c>
    </row>
    <row r="7" spans="1:17" x14ac:dyDescent="0.3">
      <c r="A7" t="s">
        <v>149</v>
      </c>
      <c r="C7">
        <v>0.7</v>
      </c>
      <c r="E7" s="13" t="s">
        <v>150</v>
      </c>
      <c r="N7" t="s">
        <v>75</v>
      </c>
      <c r="O7">
        <f>P6*P5</f>
        <v>33.335999999999999</v>
      </c>
      <c r="P7" t="s">
        <v>76</v>
      </c>
    </row>
    <row r="8" spans="1:17" x14ac:dyDescent="0.3">
      <c r="N8" s="14" t="s">
        <v>16</v>
      </c>
      <c r="O8" s="14">
        <v>0</v>
      </c>
      <c r="P8" s="14" t="s">
        <v>3</v>
      </c>
      <c r="Q8" t="s">
        <v>374</v>
      </c>
    </row>
    <row r="9" spans="1:17" x14ac:dyDescent="0.3">
      <c r="A9" s="2" t="s">
        <v>121</v>
      </c>
      <c r="D9" s="2" t="s">
        <v>126</v>
      </c>
      <c r="H9" s="2" t="s">
        <v>135</v>
      </c>
      <c r="J9" s="2" t="s">
        <v>151</v>
      </c>
      <c r="N9" s="2"/>
      <c r="O9">
        <f>O7-O8</f>
        <v>33.335999999999999</v>
      </c>
      <c r="P9" t="s">
        <v>3</v>
      </c>
    </row>
    <row r="10" spans="1:17" x14ac:dyDescent="0.3">
      <c r="A10" t="s">
        <v>122</v>
      </c>
      <c r="B10">
        <f>64546*1000</f>
        <v>64546000</v>
      </c>
      <c r="C10" t="s">
        <v>125</v>
      </c>
      <c r="D10">
        <v>20</v>
      </c>
      <c r="E10" t="s">
        <v>127</v>
      </c>
      <c r="H10">
        <f>B10/(D10*1000)</f>
        <v>3227.3</v>
      </c>
      <c r="I10" t="s">
        <v>22</v>
      </c>
      <c r="J10">
        <f>B10/(D10*1000)</f>
        <v>3227.3</v>
      </c>
      <c r="K10" t="s">
        <v>22</v>
      </c>
      <c r="N10" s="14" t="s">
        <v>109</v>
      </c>
      <c r="O10" s="14">
        <v>162</v>
      </c>
      <c r="P10" s="14" t="s">
        <v>119</v>
      </c>
    </row>
    <row r="11" spans="1:17" x14ac:dyDescent="0.3">
      <c r="A11" t="s">
        <v>123</v>
      </c>
      <c r="B11">
        <v>1064000</v>
      </c>
      <c r="C11" t="s">
        <v>125</v>
      </c>
      <c r="D11">
        <v>30</v>
      </c>
      <c r="E11" t="s">
        <v>127</v>
      </c>
      <c r="H11" s="2">
        <f>B11/(D11*1000)</f>
        <v>35.466666666666669</v>
      </c>
      <c r="I11" t="s">
        <v>22</v>
      </c>
      <c r="J11" s="2">
        <f>H11+F12</f>
        <v>35.466666666666669</v>
      </c>
      <c r="K11" t="s">
        <v>22</v>
      </c>
      <c r="N11" t="s">
        <v>366</v>
      </c>
      <c r="O11">
        <v>57</v>
      </c>
      <c r="P11" t="s">
        <v>127</v>
      </c>
    </row>
    <row r="12" spans="1:17" x14ac:dyDescent="0.3">
      <c r="N12" t="s">
        <v>109</v>
      </c>
      <c r="O12">
        <f>(133815+(O17*70004))*1000</f>
        <v>1533895000</v>
      </c>
      <c r="P12" t="s">
        <v>140</v>
      </c>
    </row>
    <row r="13" spans="1:17" x14ac:dyDescent="0.3">
      <c r="A13" t="s">
        <v>124</v>
      </c>
      <c r="B13">
        <v>1089000</v>
      </c>
      <c r="C13" t="s">
        <v>125</v>
      </c>
      <c r="D13">
        <f>B13/1000000</f>
        <v>1.089</v>
      </c>
      <c r="E13" t="s">
        <v>131</v>
      </c>
      <c r="N13" t="s">
        <v>217</v>
      </c>
      <c r="O13">
        <f>O12/O11</f>
        <v>26910438.596491229</v>
      </c>
      <c r="P13" t="s">
        <v>138</v>
      </c>
    </row>
    <row r="14" spans="1:17" x14ac:dyDescent="0.3">
      <c r="A14" t="s">
        <v>155</v>
      </c>
      <c r="B14">
        <f>(97662-64546-2778-1064-1089)*1000</f>
        <v>28185000</v>
      </c>
      <c r="C14" t="s">
        <v>125</v>
      </c>
      <c r="N14" t="s">
        <v>218</v>
      </c>
      <c r="O14">
        <f>O13/(O17*1000)</f>
        <v>1345.5219298245615</v>
      </c>
      <c r="P14" t="s">
        <v>117</v>
      </c>
    </row>
    <row r="15" spans="1:17" x14ac:dyDescent="0.3">
      <c r="J15" s="25"/>
      <c r="N15" t="s">
        <v>219</v>
      </c>
      <c r="O15">
        <f>O14/8760</f>
        <v>0.15359839381558921</v>
      </c>
      <c r="P15" t="s">
        <v>133</v>
      </c>
    </row>
    <row r="16" spans="1:17" x14ac:dyDescent="0.3">
      <c r="A16" t="s">
        <v>128</v>
      </c>
      <c r="B16">
        <v>12</v>
      </c>
      <c r="C16" t="s">
        <v>116</v>
      </c>
      <c r="N16" s="15" t="s">
        <v>118</v>
      </c>
      <c r="O16" s="15">
        <f>O10*1.1/O15</f>
        <v>1160.1683817992757</v>
      </c>
      <c r="P16" s="15" t="s">
        <v>134</v>
      </c>
      <c r="Q16" s="15"/>
    </row>
    <row r="17" spans="1:16" x14ac:dyDescent="0.3">
      <c r="B17">
        <f>B16*(365*24*60*60)</f>
        <v>378432000</v>
      </c>
      <c r="C17" t="s">
        <v>68</v>
      </c>
      <c r="N17" s="2" t="s">
        <v>35</v>
      </c>
      <c r="O17">
        <v>20</v>
      </c>
      <c r="P17" t="s">
        <v>137</v>
      </c>
    </row>
    <row r="18" spans="1:16" x14ac:dyDescent="0.3">
      <c r="B18">
        <f>B17*0.3</f>
        <v>113529600</v>
      </c>
      <c r="C18" t="s">
        <v>99</v>
      </c>
      <c r="D18">
        <f>B18*G1/(1000000)</f>
        <v>1.0320872727272727</v>
      </c>
      <c r="E18" t="s">
        <v>129</v>
      </c>
      <c r="F18">
        <f>D18/I1</f>
        <v>0.93826115702479329</v>
      </c>
      <c r="G18" t="s">
        <v>131</v>
      </c>
    </row>
    <row r="20" spans="1:16" x14ac:dyDescent="0.3">
      <c r="A20" s="2" t="s">
        <v>153</v>
      </c>
      <c r="B20">
        <f>(B10/1000000)+F18</f>
        <v>65.484261157024804</v>
      </c>
      <c r="C20" t="s">
        <v>131</v>
      </c>
      <c r="D20">
        <f>B20*I1</f>
        <v>72.032687272727287</v>
      </c>
      <c r="E20" t="s">
        <v>129</v>
      </c>
      <c r="F20" s="15">
        <f>D20/O14</f>
        <v>5.3535126909540154E-2</v>
      </c>
      <c r="G20" t="s">
        <v>34</v>
      </c>
    </row>
    <row r="21" spans="1:16" x14ac:dyDescent="0.3">
      <c r="A21" s="13" t="s">
        <v>156</v>
      </c>
    </row>
    <row r="23" spans="1:16" x14ac:dyDescent="0.3">
      <c r="A23" s="2" t="s">
        <v>132</v>
      </c>
      <c r="B23">
        <f>D13</f>
        <v>1.089</v>
      </c>
      <c r="C23" t="s">
        <v>131</v>
      </c>
      <c r="D23">
        <f>B23*I1</f>
        <v>1.1979</v>
      </c>
      <c r="E23" t="s">
        <v>129</v>
      </c>
      <c r="F23" s="15">
        <f>D23/O15</f>
        <v>7.7989096776506859</v>
      </c>
      <c r="G23" t="s">
        <v>134</v>
      </c>
    </row>
    <row r="24" spans="1:16" x14ac:dyDescent="0.3">
      <c r="A24" s="14"/>
    </row>
    <row r="26" spans="1:16" x14ac:dyDescent="0.3">
      <c r="A26" s="2"/>
    </row>
    <row r="27" spans="1:16" x14ac:dyDescent="0.3">
      <c r="A27" s="2"/>
    </row>
    <row r="28" spans="1:16" x14ac:dyDescent="0.3">
      <c r="A28" s="2"/>
    </row>
    <row r="30" spans="1:16" x14ac:dyDescent="0.3">
      <c r="A30" s="2"/>
    </row>
    <row r="31" spans="1:16" x14ac:dyDescent="0.3">
      <c r="A31" s="2"/>
    </row>
    <row r="32" spans="1:16" x14ac:dyDescent="0.3">
      <c r="A32" s="14"/>
    </row>
    <row r="33" spans="2:3" x14ac:dyDescent="0.3">
      <c r="B33" s="15"/>
    </row>
    <row r="35" spans="2:3" x14ac:dyDescent="0.3">
      <c r="B35" s="3"/>
      <c r="C35" s="3"/>
    </row>
  </sheetData>
  <hyperlinks>
    <hyperlink ref="M1" r:id="rId1" xr:uid="{F288A48C-F0C2-4201-9B02-D9CB4853D4DA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P31"/>
  <sheetViews>
    <sheetView workbookViewId="0">
      <selection activeCell="J40" sqref="J40"/>
    </sheetView>
  </sheetViews>
  <sheetFormatPr defaultRowHeight="14.4" x14ac:dyDescent="0.3"/>
  <cols>
    <col min="1" max="1" width="12.5546875" customWidth="1"/>
    <col min="2" max="2" width="12.109375" bestFit="1" customWidth="1"/>
    <col min="3" max="3" width="10.33203125" customWidth="1"/>
    <col min="4" max="4" width="11" bestFit="1" customWidth="1"/>
    <col min="6" max="6" width="9" bestFit="1" customWidth="1"/>
    <col min="8" max="8" width="12.109375" bestFit="1" customWidth="1"/>
    <col min="9" max="9" width="11.33203125" customWidth="1"/>
  </cols>
  <sheetData>
    <row r="1" spans="1:16" x14ac:dyDescent="0.3">
      <c r="B1" t="s">
        <v>1</v>
      </c>
      <c r="D1">
        <v>120</v>
      </c>
      <c r="E1" t="s">
        <v>2</v>
      </c>
      <c r="F1">
        <v>5024.28</v>
      </c>
      <c r="G1" t="s">
        <v>64</v>
      </c>
      <c r="H1">
        <v>1395.7449839999999</v>
      </c>
      <c r="I1" t="s">
        <v>66</v>
      </c>
      <c r="J1">
        <v>33.335999999999999</v>
      </c>
      <c r="K1" t="s">
        <v>3</v>
      </c>
      <c r="M1" s="9">
        <v>0.27779999999999999</v>
      </c>
      <c r="N1" s="2" t="s">
        <v>65</v>
      </c>
      <c r="P1" s="12" t="s">
        <v>343</v>
      </c>
    </row>
    <row r="2" spans="1:16" x14ac:dyDescent="0.3">
      <c r="B2">
        <f>1/110</f>
        <v>9.0909090909090905E-3</v>
      </c>
      <c r="C2" t="s">
        <v>83</v>
      </c>
      <c r="D2">
        <v>1.1000000000000001</v>
      </c>
      <c r="E2" t="s">
        <v>130</v>
      </c>
      <c r="I2" t="s">
        <v>16</v>
      </c>
      <c r="J2">
        <f>3.9</f>
        <v>3.9</v>
      </c>
      <c r="K2" t="s">
        <v>3</v>
      </c>
    </row>
    <row r="3" spans="1:16" x14ac:dyDescent="0.3">
      <c r="I3" t="s">
        <v>169</v>
      </c>
      <c r="J3">
        <f>J1-J2</f>
        <v>29.436</v>
      </c>
      <c r="K3" t="s">
        <v>3</v>
      </c>
    </row>
    <row r="4" spans="1:16" x14ac:dyDescent="0.3">
      <c r="A4" t="s">
        <v>35</v>
      </c>
      <c r="B4">
        <v>11</v>
      </c>
      <c r="C4" t="s">
        <v>137</v>
      </c>
      <c r="D4" t="s">
        <v>118</v>
      </c>
      <c r="E4">
        <f>1000*D2</f>
        <v>1100</v>
      </c>
      <c r="F4" t="s">
        <v>91</v>
      </c>
      <c r="G4">
        <f>600*D2</f>
        <v>660</v>
      </c>
    </row>
    <row r="6" spans="1:16" x14ac:dyDescent="0.3">
      <c r="A6" t="s">
        <v>212</v>
      </c>
      <c r="C6">
        <v>0.84</v>
      </c>
    </row>
    <row r="8" spans="1:16" x14ac:dyDescent="0.3">
      <c r="A8" s="2" t="s">
        <v>145</v>
      </c>
      <c r="B8">
        <v>2974000</v>
      </c>
      <c r="C8" t="s">
        <v>140</v>
      </c>
      <c r="D8">
        <f>B8/(1000000*H11)</f>
        <v>1475.0804062659115</v>
      </c>
      <c r="E8" t="s">
        <v>120</v>
      </c>
      <c r="F8">
        <f>D8*D2</f>
        <v>1622.5884468925028</v>
      </c>
      <c r="G8" t="s">
        <v>134</v>
      </c>
    </row>
    <row r="10" spans="1:16" x14ac:dyDescent="0.3">
      <c r="A10" s="2" t="s">
        <v>228</v>
      </c>
    </row>
    <row r="11" spans="1:16" x14ac:dyDescent="0.3">
      <c r="A11" t="s">
        <v>142</v>
      </c>
      <c r="B11">
        <v>0.02</v>
      </c>
      <c r="C11" t="s">
        <v>116</v>
      </c>
      <c r="D11">
        <f>B11*(365*24*60*60)*C6</f>
        <v>529804.79999999993</v>
      </c>
      <c r="E11" t="s">
        <v>68</v>
      </c>
      <c r="F11">
        <f>D11*J1/1000000</f>
        <v>17.661572812799999</v>
      </c>
      <c r="G11" t="s">
        <v>117</v>
      </c>
      <c r="H11">
        <f>F11/8760</f>
        <v>2.01616128E-3</v>
      </c>
      <c r="I11" t="s">
        <v>147</v>
      </c>
    </row>
    <row r="13" spans="1:16" x14ac:dyDescent="0.3">
      <c r="A13" s="2" t="s">
        <v>148</v>
      </c>
      <c r="B13" t="s">
        <v>367</v>
      </c>
    </row>
    <row r="14" spans="1:16" x14ac:dyDescent="0.3">
      <c r="A14" t="s">
        <v>356</v>
      </c>
      <c r="B14">
        <v>1</v>
      </c>
      <c r="C14" t="s">
        <v>357</v>
      </c>
      <c r="D14" t="s">
        <v>359</v>
      </c>
      <c r="E14">
        <v>0.03</v>
      </c>
      <c r="F14" t="s">
        <v>360</v>
      </c>
    </row>
    <row r="15" spans="1:16" x14ac:dyDescent="0.3">
      <c r="A15" t="s">
        <v>128</v>
      </c>
      <c r="B15">
        <v>0.22</v>
      </c>
      <c r="C15" t="s">
        <v>116</v>
      </c>
      <c r="D15">
        <f>B15*(365*24*60*60)</f>
        <v>6937920</v>
      </c>
      <c r="E15" t="s">
        <v>68</v>
      </c>
      <c r="F15">
        <f>D15/1000</f>
        <v>6937.92</v>
      </c>
      <c r="G15" t="s">
        <v>355</v>
      </c>
      <c r="H15">
        <f>6937.92</f>
        <v>6937.92</v>
      </c>
      <c r="I15" t="s">
        <v>125</v>
      </c>
      <c r="J15">
        <f>H15/F11</f>
        <v>392.8257167997989</v>
      </c>
      <c r="K15" t="s">
        <v>358</v>
      </c>
      <c r="L15" s="15">
        <f>J15*D2/1000000</f>
        <v>4.3210828847977881E-4</v>
      </c>
      <c r="M15" t="s">
        <v>34</v>
      </c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5" x14ac:dyDescent="0.3">
      <c r="B17" s="15"/>
    </row>
    <row r="19" spans="1:5" x14ac:dyDescent="0.3">
      <c r="A19" s="2" t="s">
        <v>146</v>
      </c>
      <c r="B19">
        <v>15000</v>
      </c>
      <c r="C19" t="s">
        <v>125</v>
      </c>
      <c r="D19">
        <f>B19*D2/(1000000*H11)</f>
        <v>8.1838690999958104</v>
      </c>
      <c r="E19" t="s">
        <v>134</v>
      </c>
    </row>
    <row r="20" spans="1:5" x14ac:dyDescent="0.3">
      <c r="A20" t="s">
        <v>144</v>
      </c>
    </row>
    <row r="22" spans="1:5" x14ac:dyDescent="0.3">
      <c r="A22" t="s">
        <v>361</v>
      </c>
      <c r="B22">
        <v>2974000</v>
      </c>
      <c r="C22" t="s">
        <v>140</v>
      </c>
    </row>
    <row r="23" spans="1:5" x14ac:dyDescent="0.3">
      <c r="A23" t="s">
        <v>362</v>
      </c>
      <c r="B23">
        <v>997000</v>
      </c>
      <c r="C23" t="s">
        <v>363</v>
      </c>
    </row>
    <row r="26" spans="1:5" x14ac:dyDescent="0.3">
      <c r="A26" s="2" t="s">
        <v>136</v>
      </c>
      <c r="B26">
        <f>F11*B4</f>
        <v>194.27730094079999</v>
      </c>
      <c r="C26" t="s">
        <v>22</v>
      </c>
    </row>
    <row r="27" spans="1:5" x14ac:dyDescent="0.3">
      <c r="A27" s="2" t="s">
        <v>139</v>
      </c>
      <c r="B27">
        <f>B22+(B23*B4)</f>
        <v>13941000</v>
      </c>
      <c r="C27" t="s">
        <v>140</v>
      </c>
    </row>
    <row r="28" spans="1:5" x14ac:dyDescent="0.3">
      <c r="A28" s="2" t="s">
        <v>141</v>
      </c>
      <c r="B28">
        <f>71</f>
        <v>71</v>
      </c>
      <c r="C28" t="s">
        <v>127</v>
      </c>
    </row>
    <row r="29" spans="1:5" x14ac:dyDescent="0.3">
      <c r="A29" s="2" t="s">
        <v>368</v>
      </c>
      <c r="B29">
        <f>B27/(B28*1000)</f>
        <v>196.35211267605635</v>
      </c>
      <c r="C29" t="s">
        <v>22</v>
      </c>
      <c r="D29">
        <f>B29/B4</f>
        <v>17.850192061459669</v>
      </c>
      <c r="E29" t="s">
        <v>117</v>
      </c>
    </row>
    <row r="30" spans="1:5" x14ac:dyDescent="0.3">
      <c r="A30" s="2" t="s">
        <v>369</v>
      </c>
      <c r="B30">
        <f>D29/(8760*0.9)</f>
        <v>2.2641035085565284E-3</v>
      </c>
      <c r="C30" t="s">
        <v>133</v>
      </c>
    </row>
    <row r="31" spans="1:5" x14ac:dyDescent="0.3">
      <c r="A31" s="2"/>
    </row>
  </sheetData>
  <hyperlinks>
    <hyperlink ref="P1" r:id="rId1" xr:uid="{A673617C-7C06-4C4E-8142-683F1E478CC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29"/>
  <sheetViews>
    <sheetView topLeftCell="A10" zoomScale="175" zoomScaleNormal="175" workbookViewId="0">
      <selection activeCell="B24" sqref="B24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  <c r="I4" s="16">
        <v>9.2902999999999995E-8</v>
      </c>
      <c r="J4" t="s">
        <v>248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246</v>
      </c>
      <c r="B6">
        <f>1.5/20</f>
        <v>7.4999999999999997E-2</v>
      </c>
      <c r="C6" t="s">
        <v>259</v>
      </c>
      <c r="D6" s="16">
        <f>B6*I3*1000</f>
        <v>0.30351450000000002</v>
      </c>
      <c r="E6" t="s">
        <v>249</v>
      </c>
      <c r="G6" s="12" t="s">
        <v>260</v>
      </c>
    </row>
    <row r="7" spans="1:10" x14ac:dyDescent="0.3">
      <c r="B7">
        <v>0.04</v>
      </c>
      <c r="C7" t="s">
        <v>259</v>
      </c>
      <c r="D7" s="16">
        <f>B7*I3*1000</f>
        <v>0.1618744</v>
      </c>
      <c r="E7" t="s">
        <v>249</v>
      </c>
      <c r="G7" s="12" t="s">
        <v>261</v>
      </c>
    </row>
    <row r="8" spans="1:10" x14ac:dyDescent="0.3">
      <c r="B8">
        <f>76800/60</f>
        <v>1280</v>
      </c>
      <c r="C8" t="s">
        <v>247</v>
      </c>
      <c r="D8" s="16">
        <f>B8*I4*1000</f>
        <v>0.11891583999999998</v>
      </c>
      <c r="E8" t="s">
        <v>249</v>
      </c>
      <c r="G8" s="12" t="s">
        <v>254</v>
      </c>
    </row>
    <row r="9" spans="1:10" x14ac:dyDescent="0.3">
      <c r="A9" t="s">
        <v>245</v>
      </c>
      <c r="B9">
        <f>D9*B2/100</f>
        <v>7530</v>
      </c>
      <c r="C9" t="s">
        <v>221</v>
      </c>
      <c r="D9">
        <v>3</v>
      </c>
      <c r="E9" t="s">
        <v>234</v>
      </c>
    </row>
    <row r="10" spans="1:10" x14ac:dyDescent="0.3">
      <c r="A10" t="s">
        <v>241</v>
      </c>
      <c r="B10" s="16">
        <f>B9/D6</f>
        <v>24809.358366733712</v>
      </c>
      <c r="C10" t="s">
        <v>133</v>
      </c>
    </row>
    <row r="12" spans="1:10" x14ac:dyDescent="0.3">
      <c r="A12" t="s">
        <v>4</v>
      </c>
      <c r="B12">
        <v>0.86</v>
      </c>
    </row>
    <row r="13" spans="1:10" x14ac:dyDescent="0.3">
      <c r="A13" t="s">
        <v>250</v>
      </c>
      <c r="B13">
        <v>0.8</v>
      </c>
    </row>
    <row r="14" spans="1:10" x14ac:dyDescent="0.3">
      <c r="A14" t="s">
        <v>251</v>
      </c>
      <c r="B14">
        <f>B13*B12</f>
        <v>0.68800000000000006</v>
      </c>
    </row>
    <row r="15" spans="1:10" x14ac:dyDescent="0.3">
      <c r="A15" t="s">
        <v>252</v>
      </c>
      <c r="B15">
        <f>3500/(10*365.25)</f>
        <v>0.95824777549623541</v>
      </c>
      <c r="C15" t="s">
        <v>253</v>
      </c>
      <c r="H15" s="12" t="s">
        <v>255</v>
      </c>
    </row>
    <row r="17" spans="1:6" x14ac:dyDescent="0.3">
      <c r="A17" t="s">
        <v>256</v>
      </c>
      <c r="B17">
        <v>4</v>
      </c>
      <c r="D17" s="12" t="s">
        <v>255</v>
      </c>
    </row>
    <row r="18" spans="1:6" x14ac:dyDescent="0.3">
      <c r="A18" t="s">
        <v>257</v>
      </c>
      <c r="B18">
        <f>4/24</f>
        <v>0.16666666666666666</v>
      </c>
    </row>
    <row r="20" spans="1:6" x14ac:dyDescent="0.3">
      <c r="A20" t="s">
        <v>92</v>
      </c>
      <c r="C20" t="s">
        <v>335</v>
      </c>
    </row>
    <row r="22" spans="1:6" x14ac:dyDescent="0.3">
      <c r="A22" t="s">
        <v>157</v>
      </c>
      <c r="B22">
        <v>61</v>
      </c>
      <c r="C22">
        <v>106</v>
      </c>
      <c r="D22" t="s">
        <v>336</v>
      </c>
    </row>
    <row r="23" spans="1:6" x14ac:dyDescent="0.3">
      <c r="B23">
        <f>4*B22</f>
        <v>244</v>
      </c>
      <c r="C23">
        <f>4*C22</f>
        <v>424</v>
      </c>
      <c r="D23" t="s">
        <v>337</v>
      </c>
      <c r="F23" t="s">
        <v>338</v>
      </c>
    </row>
    <row r="24" spans="1:6" x14ac:dyDescent="0.3">
      <c r="B24">
        <f>B23*1000/(3500*0.8)</f>
        <v>87.142857142857139</v>
      </c>
      <c r="C24">
        <f>C23*1000/(3500*0.8)</f>
        <v>151.42857142857142</v>
      </c>
      <c r="D24" t="s">
        <v>158</v>
      </c>
    </row>
    <row r="26" spans="1:6" x14ac:dyDescent="0.3">
      <c r="B26" t="s">
        <v>339</v>
      </c>
    </row>
    <row r="27" spans="1:6" x14ac:dyDescent="0.3">
      <c r="B27" t="s">
        <v>340</v>
      </c>
    </row>
    <row r="28" spans="1:6" x14ac:dyDescent="0.3">
      <c r="B28" t="s">
        <v>341</v>
      </c>
    </row>
    <row r="29" spans="1:6" x14ac:dyDescent="0.3">
      <c r="B29" t="s">
        <v>342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H2 Steam Reforming</vt:lpstr>
      <vt:lpstr>Keipi_SMR</vt:lpstr>
      <vt:lpstr>Keipi_SMR+CCS</vt:lpstr>
      <vt:lpstr>Keipi_electrolysis</vt:lpstr>
      <vt:lpstr>Li-ion</vt:lpstr>
      <vt:lpstr>PEMEC</vt:lpstr>
      <vt:lpstr>AEC</vt:lpstr>
      <vt:lpstr>SOEC</vt:lpstr>
      <vt:lpstr>SOFC</vt:lpstr>
      <vt:lpstr>PEMFC</vt:lpstr>
      <vt:lpstr>EIA_LCOE_WND_SOLAR</vt:lpstr>
      <vt:lpstr>Photoconversion</vt:lpstr>
      <vt:lpstr>Fossil fuel price</vt:lpstr>
      <vt:lpstr>Cap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2020-06-19T21:48:20Z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