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cb37244eba5cb0/Aerospace/BSc 3rd year/3rd quarter/AE3212-II SVV/Flight dynamics/"/>
    </mc:Choice>
  </mc:AlternateContent>
  <xr:revisionPtr revIDLastSave="1" documentId="8_{B45819FA-D696-4492-98C5-0C647CC8B621}" xr6:coauthVersionLast="45" xr6:coauthVersionMax="45" xr10:uidLastSave="{AAF3E93B-40C3-4690-8E9B-13964F47CF60}"/>
  <bookViews>
    <workbookView xWindow="3144" yWindow="4632" windowWidth="2388" windowHeight="564" xr2:uid="{62CE3197-060F-4620-9E8B-F6F36FAFA2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" i="1" l="1"/>
  <c r="F62" i="1" s="1"/>
  <c r="D63" i="1"/>
  <c r="F63" i="1" s="1"/>
  <c r="F61" i="1"/>
  <c r="F64" i="1"/>
  <c r="F65" i="1"/>
  <c r="F66" i="1"/>
  <c r="F67" i="1"/>
  <c r="F68" i="1"/>
  <c r="F60" i="1"/>
  <c r="C48" i="1"/>
  <c r="C68" i="1"/>
  <c r="C67" i="1"/>
  <c r="C66" i="1"/>
  <c r="C65" i="1"/>
  <c r="C64" i="1"/>
  <c r="C63" i="1"/>
  <c r="C62" i="1"/>
  <c r="C61" i="1"/>
  <c r="C60" i="1"/>
  <c r="B54" i="1"/>
  <c r="B55" i="1"/>
  <c r="B52" i="1"/>
  <c r="C44" i="1"/>
  <c r="C47" i="1"/>
  <c r="C46" i="1"/>
  <c r="C45" i="1"/>
  <c r="C21" i="1"/>
  <c r="B34" i="1"/>
  <c r="B33" i="1"/>
  <c r="B32" i="1"/>
  <c r="C12" i="1"/>
  <c r="B35" i="1" l="1"/>
  <c r="B41" i="1"/>
  <c r="B36" i="1" l="1"/>
  <c r="B38" i="1" l="1"/>
  <c r="B39" i="1" s="1"/>
  <c r="B40" i="1" s="1"/>
  <c r="B37" i="1"/>
</calcChain>
</file>

<file path=xl/sharedStrings.xml><?xml version="1.0" encoding="utf-8"?>
<sst xmlns="http://schemas.openxmlformats.org/spreadsheetml/2006/main" count="92" uniqueCount="68">
  <si>
    <t>Constants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</si>
  <si>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</si>
  <si>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</si>
  <si>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</si>
  <si>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</si>
  <si>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</si>
  <si>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</si>
  <si>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</si>
  <si>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</si>
  <si>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</si>
  <si>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hp</t>
  </si>
  <si>
    <t>IAS</t>
  </si>
  <si>
    <t>a</t>
  </si>
  <si>
    <t>FFl</t>
  </si>
  <si>
    <t>FFr</t>
  </si>
  <si>
    <t>F. used</t>
  </si>
  <si>
    <t>TAT</t>
  </si>
  <si>
    <t>[ft]</t>
  </si>
  <si>
    <t>[kts]</t>
  </si>
  <si>
    <t>[deg]</t>
  </si>
  <si>
    <t>[lbs/hr]</t>
  </si>
  <si>
    <t>[lbs]</t>
  </si>
  <si>
    <t>[°C]</t>
  </si>
  <si>
    <t>Measurement</t>
  </si>
  <si>
    <t>Block fuel</t>
  </si>
  <si>
    <t>kg</t>
  </si>
  <si>
    <t>Calculation</t>
  </si>
  <si>
    <t>g0</t>
  </si>
  <si>
    <t>lamda</t>
  </si>
  <si>
    <t>p0</t>
  </si>
  <si>
    <t>Pa</t>
  </si>
  <si>
    <t>rho0</t>
  </si>
  <si>
    <t>T0</t>
  </si>
  <si>
    <t>K</t>
  </si>
  <si>
    <t xml:space="preserve">R </t>
  </si>
  <si>
    <t>S</t>
  </si>
  <si>
    <t>m^2</t>
  </si>
  <si>
    <t xml:space="preserve">gamma </t>
  </si>
  <si>
    <t xml:space="preserve">p </t>
  </si>
  <si>
    <t>T</t>
  </si>
  <si>
    <t>M</t>
  </si>
  <si>
    <t>Vc</t>
  </si>
  <si>
    <t>m/s</t>
  </si>
  <si>
    <t>m</t>
  </si>
  <si>
    <t xml:space="preserve">T </t>
  </si>
  <si>
    <t>rho</t>
  </si>
  <si>
    <t>Vtas</t>
  </si>
  <si>
    <t>Veas</t>
  </si>
  <si>
    <t>W</t>
  </si>
  <si>
    <t>kg/m^3</t>
  </si>
  <si>
    <t>BEM</t>
  </si>
  <si>
    <t xml:space="preserve">Thrust input </t>
  </si>
  <si>
    <t>ffl</t>
  </si>
  <si>
    <t>ffr</t>
  </si>
  <si>
    <t>deltaT</t>
  </si>
  <si>
    <t>Tl</t>
  </si>
  <si>
    <t>Tr</t>
  </si>
  <si>
    <t xml:space="preserve">cl </t>
  </si>
  <si>
    <t>cd</t>
  </si>
  <si>
    <t>Comparison</t>
  </si>
  <si>
    <t>W_loc</t>
  </si>
  <si>
    <t>Thrustcalc</t>
  </si>
  <si>
    <t>VE</t>
  </si>
  <si>
    <t>VT</t>
  </si>
  <si>
    <t>cl</t>
  </si>
  <si>
    <t>excel</t>
  </si>
  <si>
    <t>matlab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</si>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</sst>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Protection="1">
      <protection locked="0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3" xfId="0" applyFill="1" applyBorder="1" applyAlignment="1">
      <alignment vertical="center"/>
    </xf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1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58CA-09ED-4334-BFDE-F292E10D2303}">
  <dimension ref="A1:G68"/>
  <sheetViews>
    <sheetView tabSelected="1" topLeftCell="A48" workbookViewId="0">
      <selection activeCell="G63" sqref="G63"/>
    </sheetView>
  </sheetViews>
  <sheetFormatPr defaultRowHeight="14.4" x14ac:dyDescent="0.3"/>
  <cols>
    <col min="1" max="1" width="11.88671875" bestFit="1" customWidth="1"/>
    <col min="2" max="2" width="12" bestFit="1" customWidth="1"/>
    <col min="3" max="3" width="11" bestFit="1" customWidth="1"/>
  </cols>
  <sheetData>
    <row r="1" spans="1:7" x14ac:dyDescent="0.3">
      <c r="A1" s="2" t="s">
        <v>0</v>
      </c>
      <c r="B1" s="1"/>
      <c r="C1" s="1"/>
      <c r="D1" s="1"/>
      <c r="E1" s="1"/>
      <c r="F1" s="1"/>
      <c r="G1" s="1"/>
    </row>
    <row r="2" spans="1:7" ht="15" thickBot="1" x14ac:dyDescent="0.35"/>
    <row r="3" spans="1:7" ht="15" thickBot="1" x14ac:dyDescent="0.35">
      <c r="A3" s="4" t="s">
        <v>1</v>
      </c>
      <c r="C3" s="3">
        <v>80</v>
      </c>
      <c r="D3" t="s">
        <v>25</v>
      </c>
    </row>
    <row r="4" spans="1:7" ht="15" thickBot="1" x14ac:dyDescent="0.35">
      <c r="A4" s="4" t="s">
        <v>2</v>
      </c>
      <c r="C4" s="3">
        <v>102</v>
      </c>
      <c r="D4" t="s">
        <v>25</v>
      </c>
    </row>
    <row r="5" spans="1:7" ht="15" thickBot="1" x14ac:dyDescent="0.35">
      <c r="A5" s="4" t="s">
        <v>3</v>
      </c>
      <c r="C5" s="3">
        <v>60</v>
      </c>
      <c r="D5" t="s">
        <v>25</v>
      </c>
    </row>
    <row r="6" spans="1:7" ht="15" thickBot="1" x14ac:dyDescent="0.35">
      <c r="A6" s="4" t="s">
        <v>4</v>
      </c>
      <c r="C6" s="3">
        <v>71</v>
      </c>
      <c r="D6" t="s">
        <v>25</v>
      </c>
    </row>
    <row r="7" spans="1:7" ht="15" thickBot="1" x14ac:dyDescent="0.35">
      <c r="A7" s="4" t="s">
        <v>5</v>
      </c>
      <c r="C7" s="3">
        <v>77</v>
      </c>
      <c r="D7" t="s">
        <v>25</v>
      </c>
    </row>
    <row r="8" spans="1:7" ht="15" thickBot="1" x14ac:dyDescent="0.35">
      <c r="A8" s="4" t="s">
        <v>6</v>
      </c>
      <c r="C8" s="3">
        <v>76</v>
      </c>
      <c r="D8" t="s">
        <v>25</v>
      </c>
    </row>
    <row r="9" spans="1:7" ht="15" thickBot="1" x14ac:dyDescent="0.35">
      <c r="A9" s="4" t="s">
        <v>7</v>
      </c>
      <c r="C9" s="3">
        <v>64</v>
      </c>
      <c r="D9" t="s">
        <v>25</v>
      </c>
    </row>
    <row r="10" spans="1:7" ht="15" thickBot="1" x14ac:dyDescent="0.35">
      <c r="A10" s="4" t="s">
        <v>8</v>
      </c>
      <c r="C10" s="3">
        <v>74</v>
      </c>
      <c r="D10" t="s">
        <v>25</v>
      </c>
    </row>
    <row r="11" spans="1:7" ht="15" thickBot="1" x14ac:dyDescent="0.35">
      <c r="A11" s="4" t="s">
        <v>9</v>
      </c>
      <c r="C11" s="3">
        <v>99</v>
      </c>
      <c r="D11" t="s">
        <v>25</v>
      </c>
    </row>
    <row r="12" spans="1:7" x14ac:dyDescent="0.3">
      <c r="A12" s="9" t="s">
        <v>24</v>
      </c>
      <c r="C12">
        <f>4100*0.453592</f>
        <v>1859.7272</v>
      </c>
      <c r="D12" t="s">
        <v>25</v>
      </c>
    </row>
    <row r="13" spans="1:7" x14ac:dyDescent="0.3">
      <c r="A13" s="9" t="s">
        <v>27</v>
      </c>
      <c r="C13" s="3">
        <v>9.81</v>
      </c>
    </row>
    <row r="14" spans="1:7" x14ac:dyDescent="0.3">
      <c r="A14" s="9" t="s">
        <v>28</v>
      </c>
      <c r="C14" s="3">
        <v>-6.4999999999999997E-3</v>
      </c>
    </row>
    <row r="15" spans="1:7" x14ac:dyDescent="0.3">
      <c r="A15" s="9" t="s">
        <v>29</v>
      </c>
      <c r="C15" s="3">
        <v>101325</v>
      </c>
      <c r="D15" t="s">
        <v>30</v>
      </c>
    </row>
    <row r="16" spans="1:7" x14ac:dyDescent="0.3">
      <c r="A16" s="9" t="s">
        <v>31</v>
      </c>
      <c r="C16" s="3">
        <v>1.2250000000000001</v>
      </c>
      <c r="D16" t="s">
        <v>49</v>
      </c>
    </row>
    <row r="17" spans="1:7" x14ac:dyDescent="0.3">
      <c r="A17" s="9" t="s">
        <v>32</v>
      </c>
      <c r="C17" s="3">
        <v>288.14999999999998</v>
      </c>
      <c r="D17" t="s">
        <v>33</v>
      </c>
    </row>
    <row r="18" spans="1:7" x14ac:dyDescent="0.3">
      <c r="A18" s="9" t="s">
        <v>34</v>
      </c>
      <c r="C18" s="3">
        <v>287.05</v>
      </c>
    </row>
    <row r="19" spans="1:7" x14ac:dyDescent="0.3">
      <c r="A19" s="9" t="s">
        <v>35</v>
      </c>
      <c r="C19" s="3">
        <v>30</v>
      </c>
      <c r="D19" t="s">
        <v>36</v>
      </c>
    </row>
    <row r="20" spans="1:7" x14ac:dyDescent="0.3">
      <c r="A20" s="9" t="s">
        <v>37</v>
      </c>
      <c r="C20" s="3">
        <v>1.4</v>
      </c>
    </row>
    <row r="21" spans="1:7" x14ac:dyDescent="0.3">
      <c r="A21" s="9" t="s">
        <v>50</v>
      </c>
      <c r="C21">
        <f>9165*0.453592</f>
        <v>4157.1706800000002</v>
      </c>
      <c r="D21" t="s">
        <v>25</v>
      </c>
    </row>
    <row r="24" spans="1:7" ht="15" thickBot="1" x14ac:dyDescent="0.35">
      <c r="A24" s="2" t="s">
        <v>23</v>
      </c>
      <c r="B24" s="1"/>
      <c r="C24" s="1"/>
      <c r="D24" s="1"/>
      <c r="E24" s="1"/>
      <c r="F24" s="1"/>
      <c r="G24" s="1"/>
    </row>
    <row r="25" spans="1:7" ht="15" thickBot="1" x14ac:dyDescent="0.35">
      <c r="A25" s="5" t="s">
        <v>10</v>
      </c>
      <c r="B25" s="5" t="s">
        <v>11</v>
      </c>
      <c r="C25" s="5" t="s">
        <v>12</v>
      </c>
      <c r="D25" s="5" t="s">
        <v>13</v>
      </c>
      <c r="E25" s="5" t="s">
        <v>14</v>
      </c>
      <c r="F25" s="5" t="s">
        <v>15</v>
      </c>
      <c r="G25" s="5" t="s">
        <v>16</v>
      </c>
    </row>
    <row r="26" spans="1:7" ht="15" thickBot="1" x14ac:dyDescent="0.35">
      <c r="A26" s="6" t="s">
        <v>17</v>
      </c>
      <c r="B26" s="6" t="s">
        <v>18</v>
      </c>
      <c r="C26" s="6" t="s">
        <v>19</v>
      </c>
      <c r="D26" s="6" t="s">
        <v>20</v>
      </c>
      <c r="E26" s="6" t="s">
        <v>20</v>
      </c>
      <c r="F26" s="6" t="s">
        <v>21</v>
      </c>
      <c r="G26" s="6" t="s">
        <v>22</v>
      </c>
    </row>
    <row r="27" spans="1:7" ht="15" thickBot="1" x14ac:dyDescent="0.35">
      <c r="A27" s="5"/>
      <c r="B27" s="5"/>
      <c r="C27" s="5"/>
      <c r="D27" s="5"/>
      <c r="E27" s="5"/>
      <c r="F27" s="5"/>
      <c r="G27" s="5"/>
    </row>
    <row r="28" spans="1:7" ht="15" thickBot="1" x14ac:dyDescent="0.35">
      <c r="A28" s="7">
        <v>5030</v>
      </c>
      <c r="B28" s="8">
        <v>251</v>
      </c>
      <c r="C28" s="8">
        <v>1.6</v>
      </c>
      <c r="D28" s="8">
        <v>770</v>
      </c>
      <c r="E28" s="8">
        <v>806</v>
      </c>
      <c r="F28" s="8">
        <v>367</v>
      </c>
      <c r="G28" s="8">
        <v>10.199999999999999</v>
      </c>
    </row>
    <row r="31" spans="1:7" x14ac:dyDescent="0.3">
      <c r="A31" s="2" t="s">
        <v>26</v>
      </c>
      <c r="B31" s="1"/>
      <c r="C31" s="1"/>
      <c r="D31" s="1"/>
      <c r="E31" s="1"/>
      <c r="F31" s="1"/>
      <c r="G31" s="1"/>
    </row>
    <row r="32" spans="1:7" x14ac:dyDescent="0.3">
      <c r="A32" t="s">
        <v>41</v>
      </c>
      <c r="B32">
        <f>($B$28-2)*0.514444</f>
        <v>128.09655599999999</v>
      </c>
      <c r="C32" t="s">
        <v>42</v>
      </c>
    </row>
    <row r="33" spans="1:3" x14ac:dyDescent="0.3">
      <c r="A33" t="s">
        <v>10</v>
      </c>
      <c r="B33">
        <f>A28*0.3048</f>
        <v>1533.144</v>
      </c>
      <c r="C33" t="s">
        <v>43</v>
      </c>
    </row>
    <row r="34" spans="1:3" x14ac:dyDescent="0.3">
      <c r="A34" t="s">
        <v>38</v>
      </c>
      <c r="B34">
        <f>$C$15*(1+($C$14*$B$33)/$C$17)^(-$C$13/($C$14*$C$18))</f>
        <v>84207.177332547435</v>
      </c>
      <c r="C34" t="s">
        <v>30</v>
      </c>
    </row>
    <row r="35" spans="1:3" x14ac:dyDescent="0.3">
      <c r="A35" t="s">
        <v>40</v>
      </c>
      <c r="B35">
        <f>SQRT((2/($C$20-1))*((1+($C$15/$B$34)*((1+(($C$20-1)/(2*$C$20))*($C$16/$C$15)*$B$32^2)^($C$20/($C$20-1))-1))^(($C$20-1)/$C$20)-1))</f>
        <v>0.41150799689233852</v>
      </c>
    </row>
    <row r="36" spans="1:3" x14ac:dyDescent="0.3">
      <c r="A36" t="s">
        <v>44</v>
      </c>
      <c r="B36">
        <f>($G$28+273.15)/(1+0.2*($B$35)^2)</f>
        <v>274.06793135035394</v>
      </c>
      <c r="C36" t="s">
        <v>33</v>
      </c>
    </row>
    <row r="37" spans="1:3" x14ac:dyDescent="0.3">
      <c r="A37" t="s">
        <v>45</v>
      </c>
      <c r="B37">
        <f>$B$34/($C$18*$B$36)</f>
        <v>1.0703685422359481</v>
      </c>
      <c r="C37" t="s">
        <v>49</v>
      </c>
    </row>
    <row r="38" spans="1:3" x14ac:dyDescent="0.3">
      <c r="A38" t="s">
        <v>12</v>
      </c>
      <c r="B38">
        <f>SQRT($C$20*$C$18*$B$36)</f>
        <v>331.87298710766856</v>
      </c>
      <c r="C38" t="s">
        <v>42</v>
      </c>
    </row>
    <row r="39" spans="1:3" x14ac:dyDescent="0.3">
      <c r="A39" t="s">
        <v>46</v>
      </c>
      <c r="B39">
        <f>$B$35*$B$38</f>
        <v>136.56838814735357</v>
      </c>
      <c r="C39" t="s">
        <v>42</v>
      </c>
    </row>
    <row r="40" spans="1:3" x14ac:dyDescent="0.3">
      <c r="A40" t="s">
        <v>47</v>
      </c>
      <c r="B40">
        <f>B39*SQRT($B$37/$C$16)</f>
        <v>127.65822681314198</v>
      </c>
      <c r="C40" t="s">
        <v>42</v>
      </c>
    </row>
    <row r="41" spans="1:3" x14ac:dyDescent="0.3">
      <c r="A41" t="s">
        <v>48</v>
      </c>
      <c r="B41">
        <f>SUM($C$3:$C$11)+$C$21+$C$12-$F$28*0.453592</f>
        <v>6553.4296160000004</v>
      </c>
      <c r="C41" t="s">
        <v>25</v>
      </c>
    </row>
    <row r="43" spans="1:3" x14ac:dyDescent="0.3">
      <c r="A43" s="10" t="s">
        <v>51</v>
      </c>
      <c r="B43" s="10"/>
      <c r="C43" s="10"/>
    </row>
    <row r="44" spans="1:3" x14ac:dyDescent="0.3">
      <c r="B44" t="s">
        <v>10</v>
      </c>
      <c r="C44">
        <f>$B$33</f>
        <v>1533.144</v>
      </c>
    </row>
    <row r="45" spans="1:3" x14ac:dyDescent="0.3">
      <c r="B45" t="s">
        <v>40</v>
      </c>
      <c r="C45">
        <f>$B$35</f>
        <v>0.41150799689233852</v>
      </c>
    </row>
    <row r="46" spans="1:3" x14ac:dyDescent="0.3">
      <c r="B46" t="s">
        <v>52</v>
      </c>
      <c r="C46">
        <f>$D$28*0.000125998</f>
        <v>9.7018460000000001E-2</v>
      </c>
    </row>
    <row r="47" spans="1:3" x14ac:dyDescent="0.3">
      <c r="B47" t="s">
        <v>53</v>
      </c>
      <c r="C47">
        <f>$E$28*0.000125998</f>
        <v>0.101554388</v>
      </c>
    </row>
    <row r="48" spans="1:3" x14ac:dyDescent="0.3">
      <c r="B48" t="s">
        <v>54</v>
      </c>
      <c r="C48">
        <f>$B$36-($C$17+($C$14*$C$44))</f>
        <v>-4.1166326496460215</v>
      </c>
    </row>
    <row r="50" spans="1:7" x14ac:dyDescent="0.3">
      <c r="A50" t="s">
        <v>55</v>
      </c>
      <c r="B50">
        <v>3494.28</v>
      </c>
    </row>
    <row r="51" spans="1:7" x14ac:dyDescent="0.3">
      <c r="A51" t="s">
        <v>56</v>
      </c>
      <c r="B51">
        <v>3745.81</v>
      </c>
    </row>
    <row r="52" spans="1:7" x14ac:dyDescent="0.3">
      <c r="A52" t="s">
        <v>39</v>
      </c>
      <c r="B52">
        <f>$B$50+$B$51</f>
        <v>7240.09</v>
      </c>
    </row>
    <row r="54" spans="1:7" x14ac:dyDescent="0.3">
      <c r="A54" t="s">
        <v>57</v>
      </c>
      <c r="B54">
        <f>($B$41*$C$13)/(0.5*$C$16*($B$40^2)*$C$19)</f>
        <v>0.21469042889586071</v>
      </c>
    </row>
    <row r="55" spans="1:7" x14ac:dyDescent="0.3">
      <c r="A55" t="s">
        <v>58</v>
      </c>
      <c r="B55">
        <f>$B$52/(0.5*$B$37*($B$39^2)*$C$19)</f>
        <v>2.4177923639156954E-2</v>
      </c>
    </row>
    <row r="57" spans="1:7" x14ac:dyDescent="0.3">
      <c r="A57" s="2" t="s">
        <v>59</v>
      </c>
      <c r="B57" s="1"/>
      <c r="C57" s="1"/>
      <c r="D57" s="1"/>
      <c r="E57" s="1"/>
      <c r="F57" s="1"/>
      <c r="G57" s="1"/>
    </row>
    <row r="59" spans="1:7" x14ac:dyDescent="0.3">
      <c r="C59" t="s">
        <v>65</v>
      </c>
      <c r="D59" t="s">
        <v>66</v>
      </c>
      <c r="F59" t="s">
        <v>67</v>
      </c>
    </row>
    <row r="60" spans="1:7" x14ac:dyDescent="0.3">
      <c r="A60" t="s">
        <v>60</v>
      </c>
      <c r="C60">
        <f>$B$41</f>
        <v>6553.4296160000004</v>
      </c>
      <c r="D60" s="11">
        <v>6553.4</v>
      </c>
      <c r="F60" s="11">
        <f>(D60-C60)/C60</f>
        <v>-4.5191604604111837E-6</v>
      </c>
    </row>
    <row r="61" spans="1:7" x14ac:dyDescent="0.3">
      <c r="A61" t="s">
        <v>40</v>
      </c>
      <c r="C61">
        <f>$B$35</f>
        <v>0.41150799689233852</v>
      </c>
      <c r="D61">
        <v>0.41149999999999998</v>
      </c>
      <c r="F61" s="11">
        <f t="shared" ref="F61:F68" si="0">(D61-C61)/C61</f>
        <v>-1.9433139571862811E-5</v>
      </c>
    </row>
    <row r="62" spans="1:7" x14ac:dyDescent="0.3">
      <c r="A62" t="s">
        <v>61</v>
      </c>
      <c r="C62">
        <f>$B$50</f>
        <v>3494.28</v>
      </c>
      <c r="D62">
        <f>3494.28</f>
        <v>3494.28</v>
      </c>
      <c r="F62" s="11">
        <f t="shared" si="0"/>
        <v>0</v>
      </c>
    </row>
    <row r="63" spans="1:7" x14ac:dyDescent="0.3">
      <c r="C63">
        <f>$B$51</f>
        <v>3745.81</v>
      </c>
      <c r="D63">
        <f>3.74581*1000</f>
        <v>3745.81</v>
      </c>
      <c r="F63" s="11">
        <f t="shared" si="0"/>
        <v>0</v>
      </c>
    </row>
    <row r="64" spans="1:7" x14ac:dyDescent="0.3">
      <c r="A64" t="s">
        <v>62</v>
      </c>
      <c r="C64">
        <f>$B$40</f>
        <v>127.65822681314198</v>
      </c>
      <c r="D64">
        <v>127.65819999999999</v>
      </c>
      <c r="F64" s="11">
        <f t="shared" si="0"/>
        <v>-2.1003849618774498E-7</v>
      </c>
    </row>
    <row r="65" spans="1:6" x14ac:dyDescent="0.3">
      <c r="A65" t="s">
        <v>63</v>
      </c>
      <c r="C65">
        <f>$B$39</f>
        <v>136.56838814735357</v>
      </c>
      <c r="D65">
        <v>136.5684</v>
      </c>
      <c r="F65" s="11">
        <f t="shared" si="0"/>
        <v>8.6789092148180764E-8</v>
      </c>
    </row>
    <row r="66" spans="1:6" x14ac:dyDescent="0.3">
      <c r="C66">
        <f>$B$37</f>
        <v>1.0703685422359481</v>
      </c>
      <c r="D66">
        <v>1.0704</v>
      </c>
      <c r="F66" s="11">
        <f t="shared" si="0"/>
        <v>2.9389656749605212E-5</v>
      </c>
    </row>
    <row r="67" spans="1:6" x14ac:dyDescent="0.3">
      <c r="A67" t="s">
        <v>58</v>
      </c>
      <c r="C67">
        <f>$B$55</f>
        <v>2.4177923639156954E-2</v>
      </c>
      <c r="D67">
        <v>2.4199999999999999E-2</v>
      </c>
      <c r="F67" s="11">
        <f t="shared" si="0"/>
        <v>9.1307926902756695E-4</v>
      </c>
    </row>
    <row r="68" spans="1:6" x14ac:dyDescent="0.3">
      <c r="A68" t="s">
        <v>64</v>
      </c>
      <c r="C68">
        <f>$B$54</f>
        <v>0.21469042889586071</v>
      </c>
      <c r="D68">
        <v>0.2147</v>
      </c>
      <c r="F68" s="11">
        <f t="shared" si="0"/>
        <v>4.458095402071661E-5</v>
      </c>
    </row>
  </sheetData>
  <conditionalFormatting sqref="C3:C11 C13:C20">
    <cfRule type="containsBlanks" dxfId="0" priority="1">
      <formula>LEN(TRIM(C3))=0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Strater</dc:creator>
  <cp:lastModifiedBy>Luc Strater</cp:lastModifiedBy>
  <dcterms:created xsi:type="dcterms:W3CDTF">2020-03-24T10:04:35Z</dcterms:created>
  <dcterms:modified xsi:type="dcterms:W3CDTF">2020-03-24T12:49:48Z</dcterms:modified>
</cp:coreProperties>
</file>